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bookViews>
    <workbookView xWindow="0" yWindow="60" windowWidth="21600" windowHeight="10005" tabRatio="875"/>
  </bookViews>
  <sheets>
    <sheet name="Disclaimer" sheetId="51" r:id="rId1"/>
    <sheet name="W-2s" sheetId="1" r:id="rId2"/>
    <sheet name="1099-R" sheetId="30" r:id="rId3"/>
    <sheet name="SSA-1099" sheetId="40" r:id="rId4"/>
    <sheet name="1040" sheetId="2" r:id="rId5"/>
    <sheet name="Sch. A" sheetId="3" r:id="rId6"/>
    <sheet name="Sch. B" sheetId="4" r:id="rId7"/>
    <sheet name="Sch. C" sheetId="5" r:id="rId8"/>
    <sheet name="Sch. D" sheetId="6" r:id="rId9"/>
    <sheet name="Sch. D WS" sheetId="37" r:id="rId10"/>
    <sheet name="Sch. E (1)" sheetId="47" r:id="rId11"/>
    <sheet name="Sch. E (2)" sheetId="48" r:id="rId12"/>
    <sheet name="Sch. F" sheetId="56" r:id="rId13"/>
    <sheet name="Sch. SE" sheetId="23" r:id="rId14"/>
    <sheet name="2441" sheetId="59" r:id="rId15"/>
    <sheet name="6251" sheetId="33" r:id="rId16"/>
    <sheet name="8949A" sheetId="43" r:id="rId17"/>
    <sheet name="8949B" sheetId="49" r:id="rId18"/>
    <sheet name="8949C" sheetId="50" r:id="rId19"/>
    <sheet name="8959" sheetId="52" r:id="rId20"/>
    <sheet name="8960" sheetId="53" r:id="rId21"/>
    <sheet name="8962" sheetId="58" r:id="rId22"/>
    <sheet name="Line 10" sheetId="12" r:id="rId23"/>
    <sheet name="Line 16" sheetId="13" r:id="rId24"/>
    <sheet name="Line 20" sheetId="14" r:id="rId25"/>
    <sheet name="Line 32" sheetId="15" r:id="rId26"/>
    <sheet name="Line 44" sheetId="28" r:id="rId27"/>
    <sheet name="Line 52" sheetId="46" r:id="rId28"/>
    <sheet name="Tax Table" sheetId="36" r:id="rId29"/>
    <sheet name="Changes" sheetId="55" r:id="rId30"/>
    <sheet name="Sheet1" sheetId="57" r:id="rId31"/>
  </sheets>
  <definedNames>
    <definedName name="Adj_Gross_Inc">'1040'!$AB$70</definedName>
    <definedName name="Alaska">'1040'!$AL$14</definedName>
    <definedName name="AltMinTax">'1040'!$AB$82</definedName>
    <definedName name="AltMinTaxInc">'6251'!$M$42</definedName>
    <definedName name="AMT">'6251'!$M$63</definedName>
    <definedName name="AMTExemption">'6251'!$AC$106</definedName>
    <definedName name="AMTExemptionFlag">'6251'!$AG$49</definedName>
    <definedName name="Business_Profit">'Sch. C'!$T$58</definedName>
    <definedName name="Cap_Gain">'Sch. D'!$R$92</definedName>
    <definedName name="Care_Expenses">'1040'!$V$86</definedName>
    <definedName name="CGTW">'Line 44'!$AC$5</definedName>
    <definedName name="CGTW_Line1">'Line 44'!$L$11</definedName>
    <definedName name="CGTW_Line7">'Line 44'!$L$23</definedName>
    <definedName name="CGTW_Tax">'Line 44'!$N$56</definedName>
    <definedName name="Child_Tax_Credit">'Line 52'!$P$119</definedName>
    <definedName name="Child_Tax_Credit_1040">'1040'!$V$89</definedName>
    <definedName name="ChildCareCredit">'2441'!$O$59</definedName>
    <definedName name="ChildUnder24">'6251'!$O$45</definedName>
    <definedName name="Ded_4_Exmptn_Wrks">'1040'!$BI$133</definedName>
    <definedName name="Deduction">'1040'!$AM$79</definedName>
    <definedName name="Dependent_Care">'2441'!$O$101</definedName>
    <definedName name="DependentSPOUSE">'1040'!$AK$28</definedName>
    <definedName name="DependentYOU">'1040'!$AK$26</definedName>
    <definedName name="Dividend_Inc">'Sch. B'!$I$55</definedName>
    <definedName name="Dotted_Line">'1040'!$V$69</definedName>
    <definedName name="Dual_Status_Alien">'1040'!$Z$76</definedName>
    <definedName name="EarnedIncome">'1040'!$BE$77</definedName>
    <definedName name="EarnedIncomeCredit">'1040'!$V$104</definedName>
    <definedName name="Education">'1040'!$V$87</definedName>
    <definedName name="EndOfTaxYear">'1040'!$V$3</definedName>
    <definedName name="ExcessSSTax">'1040'!$V$110</definedName>
    <definedName name="ExemptionAllowance">'1040'!$AO$82</definedName>
    <definedName name="F1040_Line10">'1040'!$AB$43</definedName>
    <definedName name="F1040_Line41">'1040'!$AB$78</definedName>
    <definedName name="F1040_Line47">'1040'!$AB$84</definedName>
    <definedName name="F6251_Needed">'6251'!$P$2</definedName>
    <definedName name="F6251_PIII">'6251'!$P$57</definedName>
    <definedName name="F8949ALBOXA">'8949A'!$C$78</definedName>
    <definedName name="F8949ALBOXB">'8949A'!$C$80</definedName>
    <definedName name="F8949ALBOXC">'8949A'!$C$82</definedName>
    <definedName name="F8949ALT">'8949A'!$A$116</definedName>
    <definedName name="F8949ALTD">'8949A'!$Q$116</definedName>
    <definedName name="F8949ALTE">'8949A'!$U$116</definedName>
    <definedName name="F8949ALTG">'8949A'!$AA$116</definedName>
    <definedName name="F8949ALTH">'8949A'!$AC$116</definedName>
    <definedName name="F8949ASBOXA">'8949A'!$C$25</definedName>
    <definedName name="F8949ASBOXB">'8949A'!$C$27</definedName>
    <definedName name="F8949ASBOXC">'8949A'!$C$29</definedName>
    <definedName name="F8949AST">'8949A'!$A$55</definedName>
    <definedName name="F8949ASTD">'8949A'!$Q$55</definedName>
    <definedName name="F8949ASTE">'8949A'!$U$55</definedName>
    <definedName name="F8949ASTG">'8949A'!$AA$55</definedName>
    <definedName name="F8949ASTH">'8949A'!$AC$55</definedName>
    <definedName name="F8949BLBOXA">'8949B'!$C$78</definedName>
    <definedName name="F8949BLBOXB">'8949B'!$C$80</definedName>
    <definedName name="F8949BLBOXC">'8949B'!$C$82</definedName>
    <definedName name="F8949BLT">'8949B'!$A$116</definedName>
    <definedName name="F8949BLTD">'8949B'!$Q$116</definedName>
    <definedName name="F8949BLTE">'8949B'!$U$116</definedName>
    <definedName name="F8949BLTG">'8949B'!$AA$116</definedName>
    <definedName name="F8949BLTH">'8949B'!$AC$116</definedName>
    <definedName name="F8949BSBOXA">'8949B'!$C$25</definedName>
    <definedName name="F8949BSBOXB">'8949B'!$C$27</definedName>
    <definedName name="F8949BSBOXC">'8949B'!$C$29</definedName>
    <definedName name="F8949BST">'8949B'!$A$55</definedName>
    <definedName name="F8949BSTD">'8949B'!$Q$55</definedName>
    <definedName name="F8949BSTE">'8949B'!$U$55</definedName>
    <definedName name="F8949BSTG">'8949B'!$AA$55</definedName>
    <definedName name="F8949BSTH">'8949B'!$AC$55</definedName>
    <definedName name="F8949CLBOXA">'8949C'!$C$78</definedName>
    <definedName name="F8949CLBOXB">'8949C'!$C$80</definedName>
    <definedName name="F8949CLBOXC">'8949C'!$C$82</definedName>
    <definedName name="F8949CLT">'8949C'!$A$116</definedName>
    <definedName name="F8949CLTD">'8949C'!$Q$116</definedName>
    <definedName name="F8949CLTE">'8949C'!$U$116</definedName>
    <definedName name="F8949CLTG">'8949C'!$AA$116</definedName>
    <definedName name="F8949CLTH">'8949C'!$AC$116</definedName>
    <definedName name="F8949CSBOXA">'8949C'!$C$25</definedName>
    <definedName name="F8949CSBOXB">'8949C'!$C$27</definedName>
    <definedName name="F8949CSBOXC">'8949C'!$C$29</definedName>
    <definedName name="F8949CST">'8949C'!$A$55</definedName>
    <definedName name="F8949CSTD">'8949C'!$Q$55</definedName>
    <definedName name="F8949CSTE">'8949C'!$U$55</definedName>
    <definedName name="F8949CSTG">'8949C'!$AA$55</definedName>
    <definedName name="F8949CSTH">'8949C'!$AC$55</definedName>
    <definedName name="F8959_Tax">'8959'!$M$49</definedName>
    <definedName name="F8959_WH">'8959'!$M$63</definedName>
    <definedName name="F8960_Tax">'8960'!$N$46</definedName>
    <definedName name="FarmProfitNet">'Sch. F'!$Y$54</definedName>
    <definedName name="File_Head">'1040'!$U$18</definedName>
    <definedName name="File_Marr_Joint">'1040'!$E$20</definedName>
    <definedName name="File_Marr_Sep">'1040'!$E$22</definedName>
    <definedName name="File_Qual_Widow">'1040'!$U$23</definedName>
    <definedName name="File_Single">'1040'!$E$18</definedName>
    <definedName name="Foreign_Tax_Credit">'1040'!$V$85</definedName>
    <definedName name="Form_2441">'2441'!$L$156</definedName>
    <definedName name="Gambling_Loss">'Sch. A'!$N$53</definedName>
    <definedName name="Hawaii">'1040'!$AM$14</definedName>
    <definedName name="Interest_Inc">'Sch. B'!$I$32</definedName>
    <definedName name="IRA_Deduction">'Line 32'!$L$105</definedName>
    <definedName name="IRA_Fed_Tax_WH">'1099-R'!$D$47</definedName>
    <definedName name="IRA_Taxable">'1099-R'!$D$45</definedName>
    <definedName name="Item_Deduct_Wks_L9">'Sch. A'!$AG$59</definedName>
    <definedName name="ItemizeAnyway">'Sch. A'!$M$62</definedName>
    <definedName name="ItemizedDeduct">'1040'!$AQ$76</definedName>
    <definedName name="Lived_apart">'Line 32'!$W$23</definedName>
    <definedName name="LivedApart">'Line 20'!$O$7</definedName>
    <definedName name="LivedWithYou">'1040'!$AG$28</definedName>
    <definedName name="LocalTaxIRA">'1099-R'!$D$59</definedName>
    <definedName name="LocalTaxPA">'1099-R'!$E$59</definedName>
    <definedName name="LocalTaxW2">'W-2s'!$C$69</definedName>
    <definedName name="MaxSSTax">'W-2s'!$J$6</definedName>
    <definedName name="MaxSSTaxEarnings">'W-2s'!$K$3</definedName>
    <definedName name="MedCare_Tax_Withheld">'W-2s'!$C$54</definedName>
    <definedName name="MedCare_wages">'W-2s'!$C$53</definedName>
    <definedName name="Name_1st_Sp">'1040'!$B$9</definedName>
    <definedName name="Name_1st_Yours">'1040'!$B$7</definedName>
    <definedName name="Name_Last_Sp">'1040'!$J$9</definedName>
    <definedName name="Name_Last_Yours">'1040'!$J$7</definedName>
    <definedName name="Names">'Sch. A'!$B$7</definedName>
    <definedName name="NameSpouse">'1040'!$AL$9</definedName>
    <definedName name="NameYours">'1040'!$AL$7</definedName>
    <definedName name="NoColor">'1040'!$AJ$2</definedName>
    <definedName name="NumFileStatusBoxes">'1040'!$AI$22</definedName>
    <definedName name="Over_65_or_Blind">'1040'!$Y$74</definedName>
    <definedName name="Overpaid">'1040'!$AB$114</definedName>
    <definedName name="PA_Fed_Tax_WH">'1099-R'!$E$47</definedName>
    <definedName name="Pension_taxable">'Line 16'!$L$47</definedName>
    <definedName name="Pension_total">'1040'!$AI$49</definedName>
    <definedName name="_xlnm.Print_Area" localSheetId="4">'1040'!$B$3:$AG$133</definedName>
    <definedName name="_xlnm.Print_Area" localSheetId="2">'1099-R'!$A$1:$J$61</definedName>
    <definedName name="_xlnm.Print_Area" localSheetId="14">'2441'!$B$2:$O$156</definedName>
    <definedName name="_xlnm.Print_Area" localSheetId="15">'6251'!$B$4:$M$127</definedName>
    <definedName name="_xlnm.Print_Area" localSheetId="16">'8949A'!$B$4:$AF$122</definedName>
    <definedName name="_xlnm.Print_Area" localSheetId="17">'8949B'!$B$4:$AF$122</definedName>
    <definedName name="_xlnm.Print_Area" localSheetId="18">'8949C'!$B$4:$AF$122</definedName>
    <definedName name="_xlnm.Print_Area" localSheetId="19">'8959'!$B$3:$M$64</definedName>
    <definedName name="_xlnm.Print_Area" localSheetId="20">'8960'!$B$3:$N$60</definedName>
    <definedName name="_xlnm.Print_Area" localSheetId="21">'8962'!$B$4:$AJ$129</definedName>
    <definedName name="_xlnm.Print_Area" localSheetId="22">'Line 10'!$B$22:$M$54</definedName>
    <definedName name="_xlnm.Print_Area" localSheetId="23">'Line 16'!$B$19:$M$76</definedName>
    <definedName name="_xlnm.Print_Area" localSheetId="24">'Line 20'!$B$2:$K$57</definedName>
    <definedName name="_xlnm.Print_Area" localSheetId="25">'Line 32'!$B$2:$T$106</definedName>
    <definedName name="_xlnm.Print_Area" localSheetId="26">'Line 44'!$B$2:$O$58</definedName>
    <definedName name="_xlnm.Print_Area" localSheetId="27">'Line 52'!$B$1:$S$244</definedName>
    <definedName name="_xlnm.Print_Area" localSheetId="5">'Sch. A'!$B$2:$N$63</definedName>
    <definedName name="_xlnm.Print_Area" localSheetId="6">'Sch. B'!$B$2:$O$72</definedName>
    <definedName name="_xlnm.Print_Area" localSheetId="7">'Sch. C'!$B$4:$U$117</definedName>
    <definedName name="_xlnm.Print_Area" localSheetId="8">'Sch. D'!$B$2:$O$98</definedName>
    <definedName name="_xlnm.Print_Area" localSheetId="9">'Sch. D WS'!$B$1:$Q$107</definedName>
    <definedName name="_xlnm.Print_Area" localSheetId="10">'Sch. E (1)'!$B$2:$Q$56</definedName>
    <definedName name="_xlnm.Print_Area" localSheetId="11">'Sch. E (2)'!$B$2:$O$66</definedName>
    <definedName name="_xlnm.Print_Area" localSheetId="12">'Sch. F'!$B$3:$AB$120</definedName>
    <definedName name="_xlnm.Print_Area" localSheetId="13">'Sch. SE'!$B$11:$X$129</definedName>
    <definedName name="_xlnm.Print_Area" localSheetId="3">'SSA-1099'!$A$1:$J$33</definedName>
    <definedName name="_xlnm.Print_Area" localSheetId="28">'Tax Table'!$A$1:$F$2063</definedName>
    <definedName name="_xlnm.Print_Area" localSheetId="1">'W-2s'!$B$2:$H$69</definedName>
    <definedName name="_xlnm.Print_Titles" localSheetId="28">'Tax Table'!$1:$1</definedName>
    <definedName name="Pub_972">'Line 52'!$D$13</definedName>
    <definedName name="Qual_Child_Count">'1040'!$AA$37</definedName>
    <definedName name="Qualified_Dividends">'1040'!$V$42</definedName>
    <definedName name="ResEnergyCredits">'1040'!$V$90</definedName>
    <definedName name="Retirement_Savings">'1040'!$V$88</definedName>
    <definedName name="SchA_Filed">'Sch. A'!$P$2</definedName>
    <definedName name="SchD_NotReqd">'1040'!$Y$46</definedName>
    <definedName name="SchDLine15">'Sch. D'!$N$50</definedName>
    <definedName name="SchDLine16">'Sch. D'!$N$58</definedName>
    <definedName name="SchDLine18">'Sch. D'!$N$72</definedName>
    <definedName name="SchDLine19">'Sch. D'!$N$75</definedName>
    <definedName name="SchDTW_Line1">'Sch. D WS'!$P$42</definedName>
    <definedName name="SchDTW_Line19">'Sch. D WS'!$N$64</definedName>
    <definedName name="SchDTW_Used">'Sch. D WS'!$R$31</definedName>
    <definedName name="SchE1_Line26">'Sch. E (1)'!$M$55</definedName>
    <definedName name="SchE2_Completed">'Sch. E (2)'!$M$57</definedName>
    <definedName name="SchE2_Line32">'Sch. E (2)'!$M$32</definedName>
    <definedName name="SchE2_Line37">'Sch. E (2)'!$M$47</definedName>
    <definedName name="SchE2_Line39">'Sch. E (2)'!$M$53</definedName>
    <definedName name="SchE2_Line40">'Sch. E (2)'!$M$55</definedName>
    <definedName name="SchE2_Line41">'Sch. E (2)'!$M$56</definedName>
    <definedName name="SCHEDULE_C">'Sch. C'!$B$4</definedName>
    <definedName name="SCHEDULE_D">'Sch. D'!$B$2</definedName>
    <definedName name="ScheduleF_PartIII">'Sch. F'!$Y$93</definedName>
    <definedName name="SD_Head">'1040'!$C$93</definedName>
    <definedName name="SD_MFJW">'1040'!$C$90</definedName>
    <definedName name="SD_Single">'1040'!$C$87</definedName>
    <definedName name="SectA_a3">'1040'!$AT$95</definedName>
    <definedName name="SectA_a4">'1040'!$AT$96</definedName>
    <definedName name="SectA_a5">'1040'!$AT$97</definedName>
    <definedName name="SectA_a6">'1040'!$AT$98</definedName>
    <definedName name="SectA_b4">'1040'!$AU$96</definedName>
    <definedName name="SectA_b5">'1040'!$AU$97</definedName>
    <definedName name="SectA_b6">'1040'!$AU$98</definedName>
    <definedName name="SectA_b7">'1040'!$AU$99</definedName>
    <definedName name="SectA_D1">'1040'!$AT$96</definedName>
    <definedName name="SectA_d4">'1040'!$AV$96</definedName>
    <definedName name="SectA_d5">'1040'!$AV$97</definedName>
    <definedName name="SectA_d6">'1040'!$AV$98</definedName>
    <definedName name="SectA_d7">'1040'!$AV$99</definedName>
    <definedName name="SectB_a2">'1040'!$AT$105</definedName>
    <definedName name="SectB_a3">'1040'!$AT$106</definedName>
    <definedName name="SectB_a4">'1040'!$AT$107</definedName>
    <definedName name="SectB_a5">'1040'!$AT$108</definedName>
    <definedName name="SectB_a6">'1040'!$AT$109</definedName>
    <definedName name="SectB_b3">'1040'!$AU$106</definedName>
    <definedName name="SectB_b4">'1040'!$AU$107</definedName>
    <definedName name="SectB_b5">'1040'!$AU$108</definedName>
    <definedName name="SectB_b6">'1040'!$AU$109</definedName>
    <definedName name="SectB_b7">'1040'!$AU$110</definedName>
    <definedName name="SectB_d3">'1040'!$AV$106</definedName>
    <definedName name="SectB_d4">'1040'!$AV$107</definedName>
    <definedName name="SectB_d5">'1040'!$AV$108</definedName>
    <definedName name="SectB_d6">'1040'!$AV$109</definedName>
    <definedName name="SectB_d7">'1040'!$AV$110</definedName>
    <definedName name="SectC_a2">'1040'!$AT$116</definedName>
    <definedName name="SectC_a3">'1040'!$AT$117</definedName>
    <definedName name="SectC_a4">'1040'!$AT$118</definedName>
    <definedName name="SectC_a5">'1040'!$AT$119</definedName>
    <definedName name="SectC_b3">'1040'!$AU$117</definedName>
    <definedName name="SectC_b4">'1040'!$AU$118</definedName>
    <definedName name="SectC_b5">'1040'!$AU$119</definedName>
    <definedName name="SectC_b6">'1040'!$AU$120</definedName>
    <definedName name="SectC_d3">'1040'!$AV$117</definedName>
    <definedName name="SectC_d4">'1040'!$AV$118</definedName>
    <definedName name="SectC_d5">'1040'!$AV$119</definedName>
    <definedName name="SectC_d6">'1040'!$AV$120</definedName>
    <definedName name="SectD_a2">'1040'!$AT$125</definedName>
    <definedName name="SectD_a3">'1040'!$AT$126</definedName>
    <definedName name="SectD_a4">'1040'!$AT$127</definedName>
    <definedName name="SectD_a5">'1040'!$AT$128</definedName>
    <definedName name="SectD_a6">'1040'!$AT$129</definedName>
    <definedName name="SectD_b3">'1040'!$AU$126</definedName>
    <definedName name="SectD_b4">'1040'!$AU$127</definedName>
    <definedName name="SectD_b5">'1040'!$AU$128</definedName>
    <definedName name="SectD_b6">'1040'!$AU$129</definedName>
    <definedName name="SectD_b7">'1040'!$AU$130</definedName>
    <definedName name="SectD_d3">'1040'!$AV$126</definedName>
    <definedName name="SectD_d4">'1040'!$AV$127</definedName>
    <definedName name="SectD_d5">'1040'!$AV$128</definedName>
    <definedName name="SectD_d6">'1040'!$AV$129</definedName>
    <definedName name="SectD_d7">'1040'!$AV$130</definedName>
    <definedName name="Skip2141">'Sch. D WS'!$S$65</definedName>
    <definedName name="Skip3141">'Sch. D WS'!$S$80</definedName>
    <definedName name="Skip3338">'Sch. D WS'!$S$83</definedName>
    <definedName name="Skip3941">'Sch. D WS'!$S$90</definedName>
    <definedName name="sp_blind">'1040'!$S$75</definedName>
    <definedName name="sp_over_64">'1040'!$H$75</definedName>
    <definedName name="SpaceUsed_1040">'1040'!$AI$15</definedName>
    <definedName name="SpaceUsed_8949A">'8949A'!$AH$29</definedName>
    <definedName name="SpaceUsed_8949A_LT">'8949A'!$AH$82</definedName>
    <definedName name="SpaceUsed_8949A_ST">'8949A'!$AH$29</definedName>
    <definedName name="SpaceUsed_8949B_LT">'8949B'!$AH$82</definedName>
    <definedName name="SpaceUsed_8949B_ST">'8949B'!$AH$29</definedName>
    <definedName name="SpaceUsed_8949C_LT">'8949C'!$AH$82</definedName>
    <definedName name="SpaceUsed_8949C_ST">'8949C'!$AH$29</definedName>
    <definedName name="Spouse">'1040'!$E$28</definedName>
    <definedName name="SpouseAge">'1040'!$AK$75</definedName>
    <definedName name="SpouseAgeDecimal">'1040'!$AK$76</definedName>
    <definedName name="SS_Spouse">'1040'!$Y$9</definedName>
    <definedName name="SS_Yours">'1040'!$Y$7</definedName>
    <definedName name="Standard">'1040'!$AP$78</definedName>
    <definedName name="state">'1040'!$O$38</definedName>
    <definedName name="State_Local_Tax_Refund">'Line 10'!$L$53</definedName>
    <definedName name="StateTaxIRA">'1099-R'!$D$56</definedName>
    <definedName name="StateTaxPA">'1099-R'!$E$56</definedName>
    <definedName name="StateTaxW2">'W-2s'!$C$67</definedName>
    <definedName name="Std_Ded_Wrks">'1040'!$BI$92</definedName>
    <definedName name="Std_Ded_Wrks_For_Dep">'1040'!$BI$92</definedName>
    <definedName name="StdDeduct">'1040'!$AP$76</definedName>
    <definedName name="Tax">'1040'!$AB$81</definedName>
    <definedName name="Tax_SS_Benefits">'Line 20'!$J$52</definedName>
    <definedName name="Taxable_Inc">'1040'!$AB$80</definedName>
    <definedName name="TaxableInterest">'1040'!$AB$39</definedName>
    <definedName name="TaxPenalty">'1040'!$V$120</definedName>
    <definedName name="TaxYear">'1040'!$Q$3</definedName>
    <definedName name="TaxYear2">'1040'!$Q$3</definedName>
    <definedName name="Tot_credits">'1040'!$AB$93</definedName>
    <definedName name="Tot_Exemptions">'1040'!$AG$37</definedName>
    <definedName name="Tot_Item_Deduct">'Sch. A'!$N$59</definedName>
    <definedName name="Tot_Payments">'1040'!$AB$113</definedName>
    <definedName name="Tot_Tax">'1040'!$AB$101</definedName>
    <definedName name="W2_Other">'W-2s'!$C$65</definedName>
    <definedName name="W2_SS_Tax_Excess">'W-2s'!$H$52</definedName>
    <definedName name="W2_SS_Tax_Withheld">'W-2s'!$C$52</definedName>
    <definedName name="W2_SS_Wages">'W-2s'!$C$51</definedName>
    <definedName name="W2_Tax_Withheld">'W-2s'!$C$50</definedName>
    <definedName name="W2_Wages">'W-2s'!$C$49</definedName>
    <definedName name="Wages">'1040'!$AB$38</definedName>
    <definedName name="you_blind">'1040'!$S$74</definedName>
    <definedName name="you_over_64">'1040'!$H$74</definedName>
    <definedName name="you_over_65">'1040'!$G$74</definedName>
    <definedName name="You_Owe">'1040'!$AB$119</definedName>
    <definedName name="YourAge">'1040'!$AK$73</definedName>
    <definedName name="YourAgeDecimal">'1040'!$AK$74</definedName>
    <definedName name="Yourself">'1040'!$E$26</definedName>
  </definedNames>
  <calcPr calcId="145621"/>
</workbook>
</file>

<file path=xl/calcChain.xml><?xml version="1.0" encoding="utf-8"?>
<calcChain xmlns="http://schemas.openxmlformats.org/spreadsheetml/2006/main">
  <c r="AO76" i="2" l="1"/>
  <c r="AO74" i="2" s="1"/>
  <c r="AN71" i="2" s="1"/>
  <c r="AO71" i="2"/>
  <c r="AO72" i="2" s="1"/>
  <c r="AM71" i="2" s="1"/>
  <c r="AJ44" i="47" l="1"/>
  <c r="AL44" i="47"/>
  <c r="AN44" i="47"/>
  <c r="AJ45" i="47"/>
  <c r="AN45" i="47"/>
  <c r="Y21" i="56"/>
  <c r="AI25" i="47" l="1"/>
  <c r="AK25" i="47"/>
  <c r="AJ25" i="47"/>
  <c r="AK26" i="47"/>
  <c r="AJ26" i="47"/>
  <c r="AI26" i="47"/>
  <c r="D27" i="47" l="1"/>
  <c r="N20" i="37"/>
  <c r="P59" i="2" l="1"/>
  <c r="B122" i="23" l="1"/>
  <c r="B121" i="23"/>
  <c r="B116" i="23"/>
  <c r="E65" i="23"/>
  <c r="AC7" i="28" l="1"/>
  <c r="AC6" i="28"/>
  <c r="V97" i="2" l="1"/>
  <c r="O33" i="59" l="1"/>
  <c r="O111" i="59" l="1"/>
  <c r="O71" i="59"/>
  <c r="M74" i="59" s="1"/>
  <c r="AL67" i="58" l="1"/>
  <c r="A90" i="59" l="1"/>
  <c r="A89" i="59"/>
  <c r="A91" i="59" l="1"/>
  <c r="G89" i="59" s="1"/>
  <c r="O89" i="59"/>
  <c r="O80" i="59"/>
  <c r="O90" i="59"/>
  <c r="M91" i="59" s="1"/>
  <c r="M87" i="59"/>
  <c r="N90" i="59" l="1"/>
  <c r="P32" i="59"/>
  <c r="P31" i="59"/>
  <c r="M35" i="59" l="1"/>
  <c r="C35" i="59"/>
  <c r="J22" i="59"/>
  <c r="C113" i="59" l="1"/>
  <c r="N101" i="59"/>
  <c r="N96" i="59"/>
  <c r="I92" i="59"/>
  <c r="L91" i="59" l="1"/>
  <c r="L87" i="59"/>
  <c r="C70" i="59"/>
  <c r="N71" i="59"/>
  <c r="C68" i="59"/>
  <c r="N69" i="59"/>
  <c r="P155" i="59" l="1"/>
  <c r="P154" i="59"/>
  <c r="P153" i="59"/>
  <c r="P152" i="59"/>
  <c r="P151" i="59"/>
  <c r="P150" i="59"/>
  <c r="P149" i="59"/>
  <c r="P148" i="59"/>
  <c r="B144" i="59"/>
  <c r="B125" i="59"/>
  <c r="O120" i="59"/>
  <c r="O116" i="59"/>
  <c r="O114" i="59"/>
  <c r="N113" i="59"/>
  <c r="F112" i="59"/>
  <c r="N111" i="59"/>
  <c r="C111" i="59"/>
  <c r="N109" i="59"/>
  <c r="F109" i="59"/>
  <c r="C108" i="59"/>
  <c r="N107" i="59"/>
  <c r="N106" i="59"/>
  <c r="C106" i="59"/>
  <c r="N93" i="59"/>
  <c r="L85" i="59"/>
  <c r="L81" i="59"/>
  <c r="L75" i="59"/>
  <c r="L74" i="59"/>
  <c r="L73" i="59"/>
  <c r="C73" i="59"/>
  <c r="N70" i="59"/>
  <c r="N67" i="59"/>
  <c r="J63" i="59"/>
  <c r="B61" i="59"/>
  <c r="O60" i="59"/>
  <c r="N59" i="59"/>
  <c r="P55" i="59"/>
  <c r="N55" i="59"/>
  <c r="C54" i="59"/>
  <c r="K52" i="59"/>
  <c r="N49" i="59"/>
  <c r="F47" i="59"/>
  <c r="F48" i="59" s="1"/>
  <c r="G46" i="59"/>
  <c r="G45" i="59"/>
  <c r="L40" i="59"/>
  <c r="N39" i="59"/>
  <c r="N38" i="59"/>
  <c r="N36" i="59"/>
  <c r="N35" i="59"/>
  <c r="C34" i="59"/>
  <c r="J33" i="59"/>
  <c r="C33" i="59"/>
  <c r="O29" i="59"/>
  <c r="B13" i="59"/>
  <c r="N8" i="59"/>
  <c r="O3" i="59"/>
  <c r="O146" i="59" s="1"/>
  <c r="P34" i="59" l="1"/>
  <c r="O106" i="59" s="1"/>
  <c r="G47" i="59"/>
  <c r="G48" i="59"/>
  <c r="F49" i="59"/>
  <c r="AM13" i="2"/>
  <c r="AL13" i="2"/>
  <c r="O34" i="59" l="1"/>
  <c r="G49" i="59"/>
  <c r="F50" i="59"/>
  <c r="C41" i="12"/>
  <c r="C39" i="12"/>
  <c r="F51" i="59" l="1"/>
  <c r="G50" i="59"/>
  <c r="AM12" i="2"/>
  <c r="AM14" i="2" s="1"/>
  <c r="V2" i="58" s="1"/>
  <c r="AO2" i="58" s="1"/>
  <c r="AL12" i="2"/>
  <c r="AL14" i="2" s="1"/>
  <c r="Z42" i="58"/>
  <c r="Z39" i="58"/>
  <c r="D27" i="58"/>
  <c r="BE39" i="58"/>
  <c r="BE41" i="58" s="1"/>
  <c r="AE17" i="58" s="1"/>
  <c r="AT27" i="58"/>
  <c r="AJ12" i="58"/>
  <c r="AM12" i="58" s="1"/>
  <c r="F52" i="59" l="1"/>
  <c r="G51" i="59"/>
  <c r="B2" i="58"/>
  <c r="AM2" i="58" s="1"/>
  <c r="L2" i="58"/>
  <c r="AN2" i="58" s="1"/>
  <c r="T10" i="58"/>
  <c r="AJ129" i="58"/>
  <c r="AE67" i="58"/>
  <c r="AJ78" i="58"/>
  <c r="J45" i="59" l="1"/>
  <c r="G52" i="59"/>
  <c r="AL2" i="58"/>
  <c r="V23" i="58" s="1"/>
  <c r="L9" i="53"/>
  <c r="AC5" i="58"/>
  <c r="J46" i="59" l="1"/>
  <c r="K45" i="59"/>
  <c r="Q23" i="58"/>
  <c r="K23" i="58"/>
  <c r="R2" i="58"/>
  <c r="K46" i="59" l="1"/>
  <c r="J47" i="59"/>
  <c r="AL22" i="47"/>
  <c r="AL21" i="47"/>
  <c r="AK22" i="47"/>
  <c r="AK21" i="47"/>
  <c r="AJ22" i="47"/>
  <c r="AJ21" i="47"/>
  <c r="M27" i="47"/>
  <c r="K27" i="47"/>
  <c r="I27" i="47"/>
  <c r="AM21" i="47" l="1"/>
  <c r="K46" i="47" s="1"/>
  <c r="K47" i="59"/>
  <c r="J48" i="59"/>
  <c r="AM22" i="47"/>
  <c r="K47" i="47" s="1"/>
  <c r="D103" i="33"/>
  <c r="D102" i="33"/>
  <c r="D101" i="33"/>
  <c r="D100" i="33"/>
  <c r="K48" i="59" l="1"/>
  <c r="J49" i="59"/>
  <c r="X46" i="2"/>
  <c r="AI46" i="2" s="1"/>
  <c r="J50" i="59" l="1"/>
  <c r="K49" i="59"/>
  <c r="AK46" i="2"/>
  <c r="AI43" i="2"/>
  <c r="AI44" i="2"/>
  <c r="AI45" i="2"/>
  <c r="BH75" i="2"/>
  <c r="J51" i="59" l="1"/>
  <c r="K50" i="59"/>
  <c r="BG75" i="2"/>
  <c r="BI84" i="2"/>
  <c r="V97" i="23"/>
  <c r="D90" i="23"/>
  <c r="D97" i="23"/>
  <c r="J52" i="59" l="1"/>
  <c r="K51" i="59"/>
  <c r="C58" i="53"/>
  <c r="C45" i="53"/>
  <c r="K21" i="53"/>
  <c r="AG48" i="3"/>
  <c r="AG47" i="3"/>
  <c r="AG46" i="3"/>
  <c r="P45" i="33"/>
  <c r="AG59" i="33" l="1"/>
  <c r="V57" i="33"/>
  <c r="AC32" i="33"/>
  <c r="V34" i="33"/>
  <c r="V33" i="33"/>
  <c r="V32" i="33"/>
  <c r="V45" i="33"/>
  <c r="V44" i="33"/>
  <c r="V43" i="33"/>
  <c r="W61" i="33"/>
  <c r="V53" i="33"/>
  <c r="W95" i="33"/>
  <c r="V16" i="33"/>
  <c r="W85" i="33"/>
  <c r="W84" i="33"/>
  <c r="W92" i="33"/>
  <c r="W91" i="33"/>
  <c r="W90" i="33"/>
  <c r="C113" i="33"/>
  <c r="C121" i="33"/>
  <c r="C117" i="33"/>
  <c r="B110" i="33"/>
  <c r="M9" i="37"/>
  <c r="E25" i="46"/>
  <c r="W16" i="15"/>
  <c r="L50" i="15"/>
  <c r="C31" i="15"/>
  <c r="L44" i="12"/>
  <c r="L37" i="12"/>
  <c r="P27" i="12"/>
  <c r="C19" i="12"/>
  <c r="C20" i="12"/>
  <c r="C18" i="12"/>
  <c r="B17" i="12"/>
  <c r="B16" i="12"/>
  <c r="S118" i="2" l="1"/>
  <c r="C96" i="2"/>
  <c r="L109" i="33" l="1"/>
  <c r="C14" i="56" l="1"/>
  <c r="O72" i="4" l="1"/>
  <c r="T88" i="56" l="1"/>
  <c r="Y81" i="56"/>
  <c r="Y53" i="56"/>
  <c r="B32" i="56"/>
  <c r="B31" i="56"/>
  <c r="B30" i="56"/>
  <c r="C56" i="56" l="1"/>
  <c r="C29" i="56"/>
  <c r="C28" i="56"/>
  <c r="C15" i="56"/>
  <c r="AB120" i="56"/>
  <c r="Y92" i="56"/>
  <c r="Y93" i="56" s="1"/>
  <c r="Z69" i="56"/>
  <c r="B61" i="56"/>
  <c r="AB60" i="56"/>
  <c r="I48" i="56"/>
  <c r="I47" i="56"/>
  <c r="I45" i="56"/>
  <c r="I44" i="56"/>
  <c r="I43" i="56"/>
  <c r="I41" i="56"/>
  <c r="I36" i="56"/>
  <c r="V29" i="56"/>
  <c r="B27" i="56"/>
  <c r="B22" i="56"/>
  <c r="Y94" i="56" l="1"/>
  <c r="Z67" i="56"/>
  <c r="AB61" i="56"/>
  <c r="I46" i="56"/>
  <c r="I39" i="56"/>
  <c r="I38" i="56"/>
  <c r="X4" i="56"/>
  <c r="Y33" i="56" l="1"/>
  <c r="Y54" i="56" s="1"/>
  <c r="AB51" i="2" s="1"/>
  <c r="AB68" i="2"/>
  <c r="AB67" i="2"/>
  <c r="L66" i="2" l="1"/>
  <c r="S65" i="2"/>
  <c r="L27" i="12" l="1"/>
  <c r="U57" i="28" l="1"/>
  <c r="U56" i="28"/>
  <c r="AB54" i="28"/>
  <c r="AA54" i="28"/>
  <c r="Z54" i="28"/>
  <c r="Y54" i="28"/>
  <c r="U48" i="28"/>
  <c r="U47" i="28"/>
  <c r="AB45" i="28"/>
  <c r="AA45" i="28"/>
  <c r="Z45" i="28"/>
  <c r="Y45" i="28"/>
  <c r="X107" i="37"/>
  <c r="X106" i="37"/>
  <c r="AE104" i="37"/>
  <c r="AD104" i="37"/>
  <c r="AC104" i="37"/>
  <c r="AB104" i="37"/>
  <c r="X97" i="37"/>
  <c r="X96" i="37"/>
  <c r="AE94" i="37"/>
  <c r="AD94" i="37"/>
  <c r="AC94" i="37"/>
  <c r="AB94" i="37"/>
  <c r="AP79" i="2" l="1"/>
  <c r="AV75" i="2"/>
  <c r="AU75" i="2"/>
  <c r="AT75" i="2"/>
  <c r="AS75" i="2"/>
  <c r="AI15" i="2" l="1"/>
  <c r="AH82" i="50" l="1"/>
  <c r="AH29" i="50"/>
  <c r="AH82" i="49"/>
  <c r="AH29" i="49"/>
  <c r="AH82" i="43"/>
  <c r="AH29" i="43"/>
  <c r="M43" i="52" l="1"/>
  <c r="M20" i="52"/>
  <c r="K20" i="52" s="1"/>
  <c r="M31" i="52"/>
  <c r="N43" i="53"/>
  <c r="L56" i="53" l="1"/>
  <c r="N57" i="53" s="1"/>
  <c r="N59" i="53" s="1"/>
  <c r="L42" i="53"/>
  <c r="K43" i="52"/>
  <c r="M44" i="52" s="1"/>
  <c r="M46" i="52" s="1"/>
  <c r="K31" i="52"/>
  <c r="AA48" i="53"/>
  <c r="N34" i="53" l="1"/>
  <c r="N36" i="53" s="1"/>
  <c r="K53" i="53"/>
  <c r="K48" i="53"/>
  <c r="M46" i="53"/>
  <c r="M44" i="53"/>
  <c r="K43" i="53"/>
  <c r="K42" i="53"/>
  <c r="K41" i="53"/>
  <c r="M39" i="53"/>
  <c r="M36" i="53"/>
  <c r="M35" i="53"/>
  <c r="K31" i="53"/>
  <c r="M29" i="53"/>
  <c r="M28" i="53"/>
  <c r="M27" i="53"/>
  <c r="K25" i="53"/>
  <c r="K23" i="53"/>
  <c r="K19" i="53"/>
  <c r="M15" i="53"/>
  <c r="M14" i="53"/>
  <c r="M13" i="53"/>
  <c r="N60" i="53"/>
  <c r="M59" i="53"/>
  <c r="M57" i="53"/>
  <c r="K17" i="53"/>
  <c r="M4" i="53"/>
  <c r="L63" i="52" l="1"/>
  <c r="L60" i="52"/>
  <c r="L58" i="52"/>
  <c r="C55" i="52"/>
  <c r="J56" i="52"/>
  <c r="J54" i="52"/>
  <c r="J53" i="52"/>
  <c r="L49" i="52"/>
  <c r="C46" i="52"/>
  <c r="L46" i="52"/>
  <c r="L44" i="52"/>
  <c r="J43" i="52"/>
  <c r="J39" i="52"/>
  <c r="C35" i="52"/>
  <c r="L36" i="52"/>
  <c r="L34" i="52"/>
  <c r="J33" i="52"/>
  <c r="J32" i="52"/>
  <c r="J31" i="52"/>
  <c r="J27" i="52"/>
  <c r="C22" i="52"/>
  <c r="L23" i="52"/>
  <c r="L21" i="52"/>
  <c r="J20" i="52"/>
  <c r="J16" i="52"/>
  <c r="J15" i="52"/>
  <c r="J14" i="52"/>
  <c r="J13" i="52"/>
  <c r="M64" i="52"/>
  <c r="K9" i="52"/>
  <c r="L4" i="52"/>
  <c r="N34" i="6" l="1"/>
  <c r="N14" i="6"/>
  <c r="L58" i="37" l="1"/>
  <c r="M82" i="37"/>
  <c r="D79" i="37"/>
  <c r="D94" i="37"/>
  <c r="D83" i="37"/>
  <c r="D90" i="37"/>
  <c r="K80" i="37"/>
  <c r="O79" i="37"/>
  <c r="M78" i="37"/>
  <c r="K77" i="37"/>
  <c r="K76" i="37"/>
  <c r="K75" i="37"/>
  <c r="U14" i="6"/>
  <c r="T14" i="6"/>
  <c r="U34" i="6"/>
  <c r="T34" i="6"/>
  <c r="L72" i="37"/>
  <c r="E72" i="37"/>
  <c r="E71" i="37"/>
  <c r="E74" i="37"/>
  <c r="K73" i="37"/>
  <c r="E73" i="37"/>
  <c r="AO83" i="2" l="1"/>
  <c r="B35" i="43" l="1"/>
  <c r="L8" i="47"/>
  <c r="I28" i="4" l="1"/>
  <c r="E183" i="46" l="1"/>
  <c r="P82" i="46"/>
  <c r="B136" i="46"/>
  <c r="E46" i="28"/>
  <c r="N39" i="28"/>
  <c r="N28" i="28"/>
  <c r="K45" i="28"/>
  <c r="K44" i="28"/>
  <c r="E43" i="28"/>
  <c r="K42" i="28"/>
  <c r="K41" i="28"/>
  <c r="K40" i="28"/>
  <c r="K39" i="28"/>
  <c r="E36" i="28"/>
  <c r="E35" i="28"/>
  <c r="E25" i="28"/>
  <c r="E38" i="28"/>
  <c r="E37" i="28"/>
  <c r="D70" i="15"/>
  <c r="D69" i="15"/>
  <c r="B26" i="13"/>
  <c r="B15" i="12"/>
  <c r="B14" i="12"/>
  <c r="B13" i="12"/>
  <c r="B12" i="12"/>
  <c r="B11" i="12"/>
  <c r="B10" i="12"/>
  <c r="B9" i="12"/>
  <c r="B7" i="12"/>
  <c r="B6" i="12"/>
  <c r="B4" i="12"/>
  <c r="B3" i="12"/>
  <c r="D112" i="23" l="1"/>
  <c r="D100" i="23" l="1"/>
  <c r="D58" i="23"/>
  <c r="D68" i="23"/>
  <c r="H48" i="33"/>
  <c r="H47" i="33"/>
  <c r="H46" i="33"/>
  <c r="J27" i="48" l="1"/>
  <c r="G27" i="48"/>
  <c r="D27" i="48"/>
  <c r="K123" i="33" l="1"/>
  <c r="M123" i="33"/>
  <c r="M53" i="33" l="1"/>
  <c r="M52" i="33"/>
  <c r="P32" i="33"/>
  <c r="P30" i="33"/>
  <c r="P29" i="33"/>
  <c r="P27" i="33"/>
  <c r="C44" i="33"/>
  <c r="C42" i="33"/>
  <c r="C19" i="33"/>
  <c r="V57" i="3"/>
  <c r="V47" i="3"/>
  <c r="V43" i="3"/>
  <c r="D56" i="3" l="1"/>
  <c r="C15" i="33"/>
  <c r="BF121" i="2" l="1"/>
  <c r="BA121" i="2"/>
  <c r="BA120" i="2"/>
  <c r="BG127" i="2"/>
  <c r="BA127" i="2" s="1"/>
  <c r="BF124" i="2"/>
  <c r="BG122" i="2"/>
  <c r="BA122" i="2"/>
  <c r="BG119" i="2"/>
  <c r="BA109" i="2"/>
  <c r="BB104" i="2"/>
  <c r="BG114" i="2"/>
  <c r="BA117" i="2"/>
  <c r="BA115" i="2"/>
  <c r="BA114" i="2"/>
  <c r="BF115" i="2"/>
  <c r="BF111" i="2"/>
  <c r="BH109" i="2"/>
  <c r="BB80" i="2"/>
  <c r="AT73" i="2"/>
  <c r="AR127" i="2"/>
  <c r="AR130" i="2"/>
  <c r="AR129" i="2"/>
  <c r="AR128" i="2"/>
  <c r="AR126" i="2"/>
  <c r="AQ130" i="2"/>
  <c r="AP130" i="2"/>
  <c r="AR120" i="2"/>
  <c r="AR119" i="2"/>
  <c r="AR118" i="2"/>
  <c r="AR117" i="2"/>
  <c r="AR106" i="2"/>
  <c r="AR107" i="2"/>
  <c r="AR108" i="2"/>
  <c r="AR109" i="2"/>
  <c r="AR110" i="2"/>
  <c r="AQ110" i="2"/>
  <c r="AP110" i="2"/>
  <c r="AR98" i="2"/>
  <c r="AR99" i="2"/>
  <c r="AR97" i="2"/>
  <c r="AR96" i="2"/>
  <c r="AQ99" i="2"/>
  <c r="AP99" i="2"/>
  <c r="BG115" i="2" l="1"/>
  <c r="AG49" i="3"/>
  <c r="V48" i="3" s="1"/>
  <c r="BA116" i="2"/>
  <c r="S13" i="37"/>
  <c r="U117" i="5"/>
  <c r="D11" i="3" l="1"/>
  <c r="H79" i="2" l="1"/>
  <c r="I4" i="4" l="1"/>
  <c r="J35" i="49" l="1"/>
  <c r="AS35" i="49" s="1"/>
  <c r="AA31" i="37"/>
  <c r="X31" i="37"/>
  <c r="M20" i="23" l="1"/>
  <c r="B8" i="23"/>
  <c r="B4" i="23"/>
  <c r="AL7" i="2"/>
  <c r="C2" i="30" s="1"/>
  <c r="AL9" i="2"/>
  <c r="C22" i="30" s="1"/>
  <c r="P7" i="13"/>
  <c r="P18" i="13"/>
  <c r="C7" i="40" l="1"/>
  <c r="B25" i="1"/>
  <c r="B2" i="1"/>
  <c r="C2" i="40"/>
  <c r="B6" i="23"/>
  <c r="AC98" i="23" s="1"/>
  <c r="S83" i="37"/>
  <c r="U15" i="23" l="1"/>
  <c r="B16" i="23"/>
  <c r="E6" i="23"/>
  <c r="V3" i="2" l="1"/>
  <c r="AA88" i="43" l="1"/>
  <c r="Y88" i="43"/>
  <c r="U88" i="43"/>
  <c r="Q88" i="43"/>
  <c r="M88" i="43"/>
  <c r="J88" i="43"/>
  <c r="AS40" i="6"/>
  <c r="AR40" i="6"/>
  <c r="AQ40" i="6"/>
  <c r="AS38" i="6"/>
  <c r="AS36" i="6"/>
  <c r="AR36" i="6"/>
  <c r="AQ36" i="6"/>
  <c r="AS20" i="6"/>
  <c r="AR20" i="6"/>
  <c r="AS18" i="6"/>
  <c r="AR18" i="6"/>
  <c r="AQ18" i="6"/>
  <c r="AS16" i="6"/>
  <c r="AQ16" i="6"/>
  <c r="AB40" i="6"/>
  <c r="AB38" i="6"/>
  <c r="AB36" i="6"/>
  <c r="AA40" i="6"/>
  <c r="AA36" i="6"/>
  <c r="Z40" i="6"/>
  <c r="Z36" i="6"/>
  <c r="AB20" i="6"/>
  <c r="AA20" i="6"/>
  <c r="AB18" i="6"/>
  <c r="AA18" i="6"/>
  <c r="Z18" i="6"/>
  <c r="AB16" i="6"/>
  <c r="Z16" i="6"/>
  <c r="AE16" i="6"/>
  <c r="AG16" i="6"/>
  <c r="AY88" i="43" l="1"/>
  <c r="AW88" i="43"/>
  <c r="AX88" i="43"/>
  <c r="AG88" i="43"/>
  <c r="AT88" i="43"/>
  <c r="AU88" i="43"/>
  <c r="AS88" i="43"/>
  <c r="AC18" i="6"/>
  <c r="N18" i="6" s="1"/>
  <c r="N39" i="6"/>
  <c r="AC36" i="6"/>
  <c r="N17" i="6"/>
  <c r="AC40" i="6"/>
  <c r="N35" i="6"/>
  <c r="BC88" i="43" l="1"/>
  <c r="K18" i="6"/>
  <c r="BB88" i="43"/>
  <c r="J18" i="6"/>
  <c r="BA88" i="43"/>
  <c r="H18" i="6"/>
  <c r="N36" i="6"/>
  <c r="N40" i="6"/>
  <c r="K40" i="6"/>
  <c r="J40" i="6"/>
  <c r="H40" i="6"/>
  <c r="AN40" i="6" l="1"/>
  <c r="AM40" i="6"/>
  <c r="AJ40" i="6"/>
  <c r="AI40" i="6"/>
  <c r="AF40" i="6"/>
  <c r="AE40" i="6"/>
  <c r="AO38" i="6"/>
  <c r="AK38" i="6"/>
  <c r="AG38" i="6"/>
  <c r="AO36" i="6"/>
  <c r="AN36" i="6"/>
  <c r="AK36" i="6"/>
  <c r="AJ36" i="6"/>
  <c r="AG36" i="6"/>
  <c r="AF36" i="6"/>
  <c r="AO18" i="6"/>
  <c r="AO16" i="6"/>
  <c r="AN20" i="6"/>
  <c r="AM18" i="6"/>
  <c r="AK18" i="6"/>
  <c r="AK16" i="6"/>
  <c r="AJ20" i="6"/>
  <c r="AI18" i="6"/>
  <c r="AG18" i="6"/>
  <c r="AF20" i="6"/>
  <c r="AE18" i="6"/>
  <c r="Q35" i="43"/>
  <c r="B82" i="50"/>
  <c r="B80" i="50"/>
  <c r="B78" i="50"/>
  <c r="B82" i="49"/>
  <c r="B80" i="49"/>
  <c r="B78" i="49"/>
  <c r="B82" i="43"/>
  <c r="B80" i="43"/>
  <c r="B78" i="43"/>
  <c r="B29" i="43"/>
  <c r="B27" i="43"/>
  <c r="B25" i="43"/>
  <c r="B29" i="49"/>
  <c r="B27" i="49"/>
  <c r="B25" i="49"/>
  <c r="B29" i="50"/>
  <c r="B27" i="50"/>
  <c r="B25" i="50"/>
  <c r="A82" i="50" l="1"/>
  <c r="A31" i="50" s="1"/>
  <c r="R82" i="50" s="1"/>
  <c r="A29" i="50"/>
  <c r="A82" i="49"/>
  <c r="A29" i="49"/>
  <c r="A82" i="43"/>
  <c r="A29" i="43"/>
  <c r="Y35" i="43"/>
  <c r="AA35" i="43"/>
  <c r="A31" i="49" l="1"/>
  <c r="R82" i="49" s="1"/>
  <c r="R29" i="50"/>
  <c r="A31" i="43"/>
  <c r="R29" i="43" s="1"/>
  <c r="D94" i="46"/>
  <c r="D105" i="46"/>
  <c r="M228" i="46"/>
  <c r="K228" i="46"/>
  <c r="M229" i="46"/>
  <c r="K229" i="46"/>
  <c r="E110" i="46"/>
  <c r="E108" i="46"/>
  <c r="D104" i="46"/>
  <c r="S10" i="46"/>
  <c r="P195" i="46"/>
  <c r="D34" i="46"/>
  <c r="K30" i="46"/>
  <c r="D27" i="46"/>
  <c r="D24" i="46"/>
  <c r="R29" i="49" l="1"/>
  <c r="R82" i="43"/>
  <c r="C40" i="3"/>
  <c r="K49" i="47" l="1"/>
  <c r="K48" i="47"/>
  <c r="C97" i="15" l="1"/>
  <c r="D29" i="15"/>
  <c r="C30" i="12" l="1"/>
  <c r="E17" i="47" l="1"/>
  <c r="I4" i="47"/>
  <c r="V80" i="33"/>
  <c r="AA119" i="33"/>
  <c r="AA113" i="33"/>
  <c r="AA116" i="33"/>
  <c r="AA122" i="33"/>
  <c r="Y115" i="33"/>
  <c r="Y119" i="33"/>
  <c r="Y113" i="33"/>
  <c r="W108" i="33"/>
  <c r="V79" i="33"/>
  <c r="AA123" i="33" l="1"/>
  <c r="Q45" i="33" l="1"/>
  <c r="W101" i="33"/>
  <c r="AF122" i="50"/>
  <c r="AA115" i="50"/>
  <c r="Y115" i="50"/>
  <c r="U115" i="50"/>
  <c r="Q115" i="50"/>
  <c r="AC115" i="50" s="1"/>
  <c r="M115" i="50"/>
  <c r="J115" i="50"/>
  <c r="B115" i="50"/>
  <c r="AA114" i="50"/>
  <c r="Y114" i="50"/>
  <c r="U114" i="50"/>
  <c r="Q114" i="50"/>
  <c r="M114" i="50"/>
  <c r="J114" i="50"/>
  <c r="B114" i="50"/>
  <c r="AA113" i="50"/>
  <c r="Y113" i="50"/>
  <c r="U113" i="50"/>
  <c r="Q113" i="50"/>
  <c r="M113" i="50"/>
  <c r="J113" i="50"/>
  <c r="B113" i="50"/>
  <c r="AA112" i="50"/>
  <c r="Y112" i="50"/>
  <c r="U112" i="50"/>
  <c r="Q112" i="50"/>
  <c r="M112" i="50"/>
  <c r="J112" i="50"/>
  <c r="B112" i="50"/>
  <c r="AA111" i="50"/>
  <c r="Y111" i="50"/>
  <c r="U111" i="50"/>
  <c r="Q111" i="50"/>
  <c r="M111" i="50"/>
  <c r="J111" i="50"/>
  <c r="B111" i="50"/>
  <c r="AA110" i="50"/>
  <c r="Y110" i="50"/>
  <c r="U110" i="50"/>
  <c r="Q110" i="50"/>
  <c r="AC110" i="50" s="1"/>
  <c r="M110" i="50"/>
  <c r="J110" i="50"/>
  <c r="B110" i="50"/>
  <c r="A110" i="50"/>
  <c r="AA109" i="50"/>
  <c r="Y109" i="50"/>
  <c r="U109" i="50"/>
  <c r="Q109" i="50"/>
  <c r="AC109" i="50" s="1"/>
  <c r="M109" i="50"/>
  <c r="J109" i="50"/>
  <c r="B109" i="50"/>
  <c r="AA108" i="50"/>
  <c r="Y108" i="50"/>
  <c r="U108" i="50"/>
  <c r="Q108" i="50"/>
  <c r="M108" i="50"/>
  <c r="J108" i="50"/>
  <c r="B108" i="50"/>
  <c r="AA107" i="50"/>
  <c r="Y107" i="50"/>
  <c r="U107" i="50"/>
  <c r="Q107" i="50"/>
  <c r="M107" i="50"/>
  <c r="J107" i="50"/>
  <c r="B107" i="50"/>
  <c r="AA106" i="50"/>
  <c r="Y106" i="50"/>
  <c r="U106" i="50"/>
  <c r="Q106" i="50"/>
  <c r="AC106" i="50" s="1"/>
  <c r="M106" i="50"/>
  <c r="J106" i="50"/>
  <c r="B106" i="50"/>
  <c r="AA105" i="50"/>
  <c r="Y105" i="50"/>
  <c r="U105" i="50"/>
  <c r="Q105" i="50"/>
  <c r="M105" i="50"/>
  <c r="J105" i="50"/>
  <c r="B105" i="50"/>
  <c r="AA104" i="50"/>
  <c r="Y104" i="50"/>
  <c r="U104" i="50"/>
  <c r="Q104" i="50"/>
  <c r="M104" i="50"/>
  <c r="J104" i="50"/>
  <c r="B104" i="50"/>
  <c r="AA103" i="50"/>
  <c r="Y103" i="50"/>
  <c r="U103" i="50"/>
  <c r="Q103" i="50"/>
  <c r="M103" i="50"/>
  <c r="J103" i="50"/>
  <c r="B103" i="50"/>
  <c r="AA102" i="50"/>
  <c r="Y102" i="50"/>
  <c r="U102" i="50"/>
  <c r="A102" i="50" s="1"/>
  <c r="Q102" i="50"/>
  <c r="M102" i="50"/>
  <c r="J102" i="50"/>
  <c r="B102" i="50"/>
  <c r="AA101" i="50"/>
  <c r="Y101" i="50"/>
  <c r="U101" i="50"/>
  <c r="Q101" i="50"/>
  <c r="M101" i="50"/>
  <c r="J101" i="50"/>
  <c r="B101" i="50"/>
  <c r="AA100" i="50"/>
  <c r="Y100" i="50"/>
  <c r="A100" i="50" s="1"/>
  <c r="U100" i="50"/>
  <c r="Q100" i="50"/>
  <c r="M100" i="50"/>
  <c r="J100" i="50"/>
  <c r="B100" i="50"/>
  <c r="AA99" i="50"/>
  <c r="Y99" i="50"/>
  <c r="U99" i="50"/>
  <c r="Q99" i="50"/>
  <c r="M99" i="50"/>
  <c r="J99" i="50"/>
  <c r="B99" i="50"/>
  <c r="AA98" i="50"/>
  <c r="Y98" i="50"/>
  <c r="U98" i="50"/>
  <c r="Q98" i="50"/>
  <c r="M98" i="50"/>
  <c r="J98" i="50"/>
  <c r="B98" i="50"/>
  <c r="AA97" i="50"/>
  <c r="Y97" i="50"/>
  <c r="U97" i="50"/>
  <c r="Q97" i="50"/>
  <c r="AC97" i="50" s="1"/>
  <c r="M97" i="50"/>
  <c r="J97" i="50"/>
  <c r="B97" i="50"/>
  <c r="AA96" i="50"/>
  <c r="Y96" i="50"/>
  <c r="U96" i="50"/>
  <c r="Q96" i="50"/>
  <c r="M96" i="50"/>
  <c r="J96" i="50"/>
  <c r="B96" i="50"/>
  <c r="AA95" i="50"/>
  <c r="Y95" i="50"/>
  <c r="U95" i="50"/>
  <c r="Q95" i="50"/>
  <c r="M95" i="50"/>
  <c r="J95" i="50"/>
  <c r="B95" i="50"/>
  <c r="AA94" i="50"/>
  <c r="Y94" i="50"/>
  <c r="U94" i="50"/>
  <c r="A94" i="50" s="1"/>
  <c r="Q94" i="50"/>
  <c r="M94" i="50"/>
  <c r="J94" i="50"/>
  <c r="B94" i="50"/>
  <c r="AA93" i="50"/>
  <c r="Y93" i="50"/>
  <c r="U93" i="50"/>
  <c r="Q93" i="50"/>
  <c r="M93" i="50"/>
  <c r="J93" i="50"/>
  <c r="B93" i="50"/>
  <c r="AA92" i="50"/>
  <c r="Y92" i="50"/>
  <c r="U92" i="50"/>
  <c r="Q92" i="50"/>
  <c r="M92" i="50"/>
  <c r="J92" i="50"/>
  <c r="B92" i="50"/>
  <c r="AA91" i="50"/>
  <c r="Y91" i="50"/>
  <c r="U91" i="50"/>
  <c r="A91" i="50" s="1"/>
  <c r="Q91" i="50"/>
  <c r="M91" i="50"/>
  <c r="J91" i="50"/>
  <c r="B91" i="50"/>
  <c r="AA90" i="50"/>
  <c r="Y90" i="50"/>
  <c r="U90" i="50"/>
  <c r="Q90" i="50"/>
  <c r="AC90" i="50" s="1"/>
  <c r="M90" i="50"/>
  <c r="J90" i="50"/>
  <c r="B90" i="50"/>
  <c r="AA89" i="50"/>
  <c r="Y89" i="50"/>
  <c r="U89" i="50"/>
  <c r="Q89" i="50"/>
  <c r="M89" i="50"/>
  <c r="J89" i="50"/>
  <c r="B89" i="50"/>
  <c r="AA88" i="50"/>
  <c r="Y88" i="50"/>
  <c r="U88" i="50"/>
  <c r="Q88" i="50"/>
  <c r="M88" i="50"/>
  <c r="J88" i="50"/>
  <c r="B88" i="50"/>
  <c r="V64" i="50"/>
  <c r="B62" i="50"/>
  <c r="AF61" i="50"/>
  <c r="AA54" i="50"/>
  <c r="Y54" i="50"/>
  <c r="U54" i="50"/>
  <c r="Q54" i="50"/>
  <c r="M54" i="50"/>
  <c r="J54" i="50"/>
  <c r="B54" i="50"/>
  <c r="AA53" i="50"/>
  <c r="Y53" i="50"/>
  <c r="U53" i="50"/>
  <c r="A53" i="50" s="1"/>
  <c r="Q53" i="50"/>
  <c r="M53" i="50"/>
  <c r="J53" i="50"/>
  <c r="B53" i="50"/>
  <c r="AA52" i="50"/>
  <c r="Y52" i="50"/>
  <c r="U52" i="50"/>
  <c r="Q52" i="50"/>
  <c r="AC52" i="50" s="1"/>
  <c r="M52" i="50"/>
  <c r="J52" i="50"/>
  <c r="B52" i="50"/>
  <c r="AA51" i="50"/>
  <c r="Y51" i="50"/>
  <c r="U51" i="50"/>
  <c r="A51" i="50" s="1"/>
  <c r="Q51" i="50"/>
  <c r="M51" i="50"/>
  <c r="J51" i="50"/>
  <c r="B51" i="50"/>
  <c r="AA50" i="50"/>
  <c r="Y50" i="50"/>
  <c r="U50" i="50"/>
  <c r="Q50" i="50"/>
  <c r="M50" i="50"/>
  <c r="J50" i="50"/>
  <c r="B50" i="50"/>
  <c r="AA49" i="50"/>
  <c r="Y49" i="50"/>
  <c r="U49" i="50"/>
  <c r="A49" i="50" s="1"/>
  <c r="Q49" i="50"/>
  <c r="M49" i="50"/>
  <c r="J49" i="50"/>
  <c r="B49" i="50"/>
  <c r="AA48" i="50"/>
  <c r="Y48" i="50"/>
  <c r="U48" i="50"/>
  <c r="Q48" i="50"/>
  <c r="M48" i="50"/>
  <c r="J48" i="50"/>
  <c r="B48" i="50"/>
  <c r="AA47" i="50"/>
  <c r="Y47" i="50"/>
  <c r="U47" i="50"/>
  <c r="A47" i="50" s="1"/>
  <c r="Q47" i="50"/>
  <c r="M47" i="50"/>
  <c r="J47" i="50"/>
  <c r="B47" i="50"/>
  <c r="AA46" i="50"/>
  <c r="Y46" i="50"/>
  <c r="A46" i="50" s="1"/>
  <c r="U46" i="50"/>
  <c r="Q46" i="50"/>
  <c r="AC46" i="50" s="1"/>
  <c r="M46" i="50"/>
  <c r="J46" i="50"/>
  <c r="B46" i="50"/>
  <c r="AA45" i="50"/>
  <c r="Y45" i="50"/>
  <c r="U45" i="50"/>
  <c r="Q45" i="50"/>
  <c r="M45" i="50"/>
  <c r="J45" i="50"/>
  <c r="B45" i="50"/>
  <c r="AA44" i="50"/>
  <c r="Y44" i="50"/>
  <c r="U44" i="50"/>
  <c r="Q44" i="50"/>
  <c r="M44" i="50"/>
  <c r="J44" i="50"/>
  <c r="B44" i="50"/>
  <c r="AA43" i="50"/>
  <c r="Y43" i="50"/>
  <c r="U43" i="50"/>
  <c r="A43" i="50" s="1"/>
  <c r="Q43" i="50"/>
  <c r="M43" i="50"/>
  <c r="J43" i="50"/>
  <c r="B43" i="50"/>
  <c r="AA42" i="50"/>
  <c r="Y42" i="50"/>
  <c r="U42" i="50"/>
  <c r="Q42" i="50"/>
  <c r="M42" i="50"/>
  <c r="J42" i="50"/>
  <c r="B42" i="50"/>
  <c r="AA41" i="50"/>
  <c r="Y41" i="50"/>
  <c r="U41" i="50"/>
  <c r="Q41" i="50"/>
  <c r="M41" i="50"/>
  <c r="J41" i="50"/>
  <c r="B41" i="50"/>
  <c r="AA40" i="50"/>
  <c r="Y40" i="50"/>
  <c r="U40" i="50"/>
  <c r="Q40" i="50"/>
  <c r="M40" i="50"/>
  <c r="J40" i="50"/>
  <c r="B40" i="50"/>
  <c r="AA39" i="50"/>
  <c r="Y39" i="50"/>
  <c r="U39" i="50"/>
  <c r="Q39" i="50"/>
  <c r="M39" i="50"/>
  <c r="J39" i="50"/>
  <c r="B39" i="50"/>
  <c r="AA38" i="50"/>
  <c r="Y38" i="50"/>
  <c r="U38" i="50"/>
  <c r="Q38" i="50"/>
  <c r="M38" i="50"/>
  <c r="J38" i="50"/>
  <c r="B38" i="50"/>
  <c r="AA37" i="50"/>
  <c r="Y37" i="50"/>
  <c r="U37" i="50"/>
  <c r="Q37" i="50"/>
  <c r="M37" i="50"/>
  <c r="J37" i="50"/>
  <c r="B37" i="50"/>
  <c r="AA36" i="50"/>
  <c r="Y36" i="50"/>
  <c r="U36" i="50"/>
  <c r="Q36" i="50"/>
  <c r="AC36" i="50" s="1"/>
  <c r="M36" i="50"/>
  <c r="J36" i="50"/>
  <c r="B36" i="50"/>
  <c r="AA35" i="50"/>
  <c r="Y35" i="50"/>
  <c r="U35" i="50"/>
  <c r="Q35" i="50"/>
  <c r="M35" i="50"/>
  <c r="J35" i="50"/>
  <c r="B35" i="50"/>
  <c r="V11" i="50"/>
  <c r="AB5" i="50"/>
  <c r="AF122" i="49"/>
  <c r="AA115" i="49"/>
  <c r="Y115" i="49"/>
  <c r="U115" i="49"/>
  <c r="Q115" i="49"/>
  <c r="M115" i="49"/>
  <c r="J115" i="49"/>
  <c r="B115" i="49"/>
  <c r="AA114" i="49"/>
  <c r="Y114" i="49"/>
  <c r="U114" i="49"/>
  <c r="Q114" i="49"/>
  <c r="M114" i="49"/>
  <c r="J114" i="49"/>
  <c r="B114" i="49"/>
  <c r="AA113" i="49"/>
  <c r="Y113" i="49"/>
  <c r="U113" i="49"/>
  <c r="Q113" i="49"/>
  <c r="M113" i="49"/>
  <c r="J113" i="49"/>
  <c r="B113" i="49"/>
  <c r="AA112" i="49"/>
  <c r="Y112" i="49"/>
  <c r="U112" i="49"/>
  <c r="Q112" i="49"/>
  <c r="M112" i="49"/>
  <c r="J112" i="49"/>
  <c r="B112" i="49"/>
  <c r="AA111" i="49"/>
  <c r="Y111" i="49"/>
  <c r="U111" i="49"/>
  <c r="Q111" i="49"/>
  <c r="M111" i="49"/>
  <c r="J111" i="49"/>
  <c r="B111" i="49"/>
  <c r="AA110" i="49"/>
  <c r="Y110" i="49"/>
  <c r="U110" i="49"/>
  <c r="Q110" i="49"/>
  <c r="AC110" i="49" s="1"/>
  <c r="M110" i="49"/>
  <c r="J110" i="49"/>
  <c r="B110" i="49"/>
  <c r="AA109" i="49"/>
  <c r="Y109" i="49"/>
  <c r="U109" i="49"/>
  <c r="Q109" i="49"/>
  <c r="M109" i="49"/>
  <c r="J109" i="49"/>
  <c r="B109" i="49"/>
  <c r="AA108" i="49"/>
  <c r="Y108" i="49"/>
  <c r="U108" i="49"/>
  <c r="Q108" i="49"/>
  <c r="M108" i="49"/>
  <c r="J108" i="49"/>
  <c r="B108" i="49"/>
  <c r="AA107" i="49"/>
  <c r="Y107" i="49"/>
  <c r="U107" i="49"/>
  <c r="A107" i="49" s="1"/>
  <c r="Q107" i="49"/>
  <c r="M107" i="49"/>
  <c r="J107" i="49"/>
  <c r="B107" i="49"/>
  <c r="AA106" i="49"/>
  <c r="Y106" i="49"/>
  <c r="A106" i="49" s="1"/>
  <c r="U106" i="49"/>
  <c r="Q106" i="49"/>
  <c r="AC106" i="49" s="1"/>
  <c r="M106" i="49"/>
  <c r="J106" i="49"/>
  <c r="B106" i="49"/>
  <c r="AA105" i="49"/>
  <c r="Y105" i="49"/>
  <c r="U105" i="49"/>
  <c r="Q105" i="49"/>
  <c r="M105" i="49"/>
  <c r="J105" i="49"/>
  <c r="B105" i="49"/>
  <c r="AA104" i="49"/>
  <c r="Y104" i="49"/>
  <c r="U104" i="49"/>
  <c r="Q104" i="49"/>
  <c r="AC104" i="49" s="1"/>
  <c r="M104" i="49"/>
  <c r="J104" i="49"/>
  <c r="B104" i="49"/>
  <c r="AA103" i="49"/>
  <c r="Y103" i="49"/>
  <c r="U103" i="49"/>
  <c r="A103" i="49" s="1"/>
  <c r="Q103" i="49"/>
  <c r="M103" i="49"/>
  <c r="J103" i="49"/>
  <c r="B103" i="49"/>
  <c r="AA102" i="49"/>
  <c r="Y102" i="49"/>
  <c r="U102" i="49"/>
  <c r="Q102" i="49"/>
  <c r="M102" i="49"/>
  <c r="J102" i="49"/>
  <c r="B102" i="49"/>
  <c r="AA101" i="49"/>
  <c r="Y101" i="49"/>
  <c r="U101" i="49"/>
  <c r="A101" i="49" s="1"/>
  <c r="Q101" i="49"/>
  <c r="M101" i="49"/>
  <c r="J101" i="49"/>
  <c r="B101" i="49"/>
  <c r="AA100" i="49"/>
  <c r="Y100" i="49"/>
  <c r="U100" i="49"/>
  <c r="Q100" i="49"/>
  <c r="M100" i="49"/>
  <c r="J100" i="49"/>
  <c r="B100" i="49"/>
  <c r="AA99" i="49"/>
  <c r="Y99" i="49"/>
  <c r="U99" i="49"/>
  <c r="A99" i="49" s="1"/>
  <c r="Q99" i="49"/>
  <c r="M99" i="49"/>
  <c r="J99" i="49"/>
  <c r="B99" i="49"/>
  <c r="AA98" i="49"/>
  <c r="Y98" i="49"/>
  <c r="A98" i="49" s="1"/>
  <c r="U98" i="49"/>
  <c r="Q98" i="49"/>
  <c r="AC98" i="49" s="1"/>
  <c r="M98" i="49"/>
  <c r="J98" i="49"/>
  <c r="B98" i="49"/>
  <c r="AA97" i="49"/>
  <c r="Y97" i="49"/>
  <c r="U97" i="49"/>
  <c r="A97" i="49" s="1"/>
  <c r="Q97" i="49"/>
  <c r="M97" i="49"/>
  <c r="J97" i="49"/>
  <c r="B97" i="49"/>
  <c r="AA96" i="49"/>
  <c r="Y96" i="49"/>
  <c r="U96" i="49"/>
  <c r="Q96" i="49"/>
  <c r="AC96" i="49" s="1"/>
  <c r="M96" i="49"/>
  <c r="J96" i="49"/>
  <c r="AG96" i="49" s="1"/>
  <c r="B96" i="49"/>
  <c r="AA95" i="49"/>
  <c r="Y95" i="49"/>
  <c r="U95" i="49"/>
  <c r="A95" i="49" s="1"/>
  <c r="Q95" i="49"/>
  <c r="M95" i="49"/>
  <c r="J95" i="49"/>
  <c r="B95" i="49"/>
  <c r="AA94" i="49"/>
  <c r="Y94" i="49"/>
  <c r="U94" i="49"/>
  <c r="Q94" i="49"/>
  <c r="M94" i="49"/>
  <c r="J94" i="49"/>
  <c r="B94" i="49"/>
  <c r="AA93" i="49"/>
  <c r="Y93" i="49"/>
  <c r="U93" i="49"/>
  <c r="A93" i="49" s="1"/>
  <c r="Q93" i="49"/>
  <c r="M93" i="49"/>
  <c r="J93" i="49"/>
  <c r="B93" i="49"/>
  <c r="AA92" i="49"/>
  <c r="Y92" i="49"/>
  <c r="A92" i="49" s="1"/>
  <c r="U92" i="49"/>
  <c r="Q92" i="49"/>
  <c r="AC92" i="49" s="1"/>
  <c r="M92" i="49"/>
  <c r="J92" i="49"/>
  <c r="B92" i="49"/>
  <c r="AA91" i="49"/>
  <c r="Y91" i="49"/>
  <c r="U91" i="49"/>
  <c r="Q91" i="49"/>
  <c r="M91" i="49"/>
  <c r="J91" i="49"/>
  <c r="B91" i="49"/>
  <c r="AA90" i="49"/>
  <c r="Y90" i="49"/>
  <c r="U90" i="49"/>
  <c r="Q90" i="49"/>
  <c r="M90" i="49"/>
  <c r="J90" i="49"/>
  <c r="B90" i="49"/>
  <c r="AA89" i="49"/>
  <c r="Y89" i="49"/>
  <c r="U89" i="49"/>
  <c r="Q89" i="49"/>
  <c r="M89" i="49"/>
  <c r="J89" i="49"/>
  <c r="B89" i="49"/>
  <c r="AA88" i="49"/>
  <c r="Y88" i="49"/>
  <c r="U88" i="49"/>
  <c r="Q88" i="49"/>
  <c r="M88" i="49"/>
  <c r="J88" i="49"/>
  <c r="B88" i="49"/>
  <c r="V64" i="49"/>
  <c r="B62" i="49"/>
  <c r="AF61" i="49"/>
  <c r="AA54" i="49"/>
  <c r="Y54" i="49"/>
  <c r="U54" i="49"/>
  <c r="Q54" i="49"/>
  <c r="M54" i="49"/>
  <c r="J54" i="49"/>
  <c r="B54" i="49"/>
  <c r="AA53" i="49"/>
  <c r="Y53" i="49"/>
  <c r="U53" i="49"/>
  <c r="A53" i="49" s="1"/>
  <c r="Q53" i="49"/>
  <c r="M53" i="49"/>
  <c r="J53" i="49"/>
  <c r="B53" i="49"/>
  <c r="AA52" i="49"/>
  <c r="Y52" i="49"/>
  <c r="U52" i="49"/>
  <c r="Q52" i="49"/>
  <c r="AC52" i="49" s="1"/>
  <c r="M52" i="49"/>
  <c r="J52" i="49"/>
  <c r="B52" i="49"/>
  <c r="A52" i="49"/>
  <c r="AA51" i="49"/>
  <c r="Y51" i="49"/>
  <c r="U51" i="49"/>
  <c r="Q51" i="49"/>
  <c r="AC51" i="49" s="1"/>
  <c r="M51" i="49"/>
  <c r="J51" i="49"/>
  <c r="B51" i="49"/>
  <c r="A51" i="49"/>
  <c r="AA50" i="49"/>
  <c r="Y50" i="49"/>
  <c r="U50" i="49"/>
  <c r="Q50" i="49"/>
  <c r="AC50" i="49" s="1"/>
  <c r="M50" i="49"/>
  <c r="J50" i="49"/>
  <c r="B50" i="49"/>
  <c r="AA49" i="49"/>
  <c r="Y49" i="49"/>
  <c r="U49" i="49"/>
  <c r="A49" i="49" s="1"/>
  <c r="Q49" i="49"/>
  <c r="M49" i="49"/>
  <c r="J49" i="49"/>
  <c r="B49" i="49"/>
  <c r="AA48" i="49"/>
  <c r="Y48" i="49"/>
  <c r="U48" i="49"/>
  <c r="Q48" i="49"/>
  <c r="M48" i="49"/>
  <c r="J48" i="49"/>
  <c r="B48" i="49"/>
  <c r="AA47" i="49"/>
  <c r="Y47" i="49"/>
  <c r="U47" i="49"/>
  <c r="Q47" i="49"/>
  <c r="M47" i="49"/>
  <c r="J47" i="49"/>
  <c r="B47" i="49"/>
  <c r="AA46" i="49"/>
  <c r="Y46" i="49"/>
  <c r="U46" i="49"/>
  <c r="Q46" i="49"/>
  <c r="M46" i="49"/>
  <c r="J46" i="49"/>
  <c r="B46" i="49"/>
  <c r="AA45" i="49"/>
  <c r="Y45" i="49"/>
  <c r="U45" i="49"/>
  <c r="A45" i="49" s="1"/>
  <c r="Q45" i="49"/>
  <c r="M45" i="49"/>
  <c r="J45" i="49"/>
  <c r="B45" i="49"/>
  <c r="AA44" i="49"/>
  <c r="Y44" i="49"/>
  <c r="A44" i="49" s="1"/>
  <c r="U44" i="49"/>
  <c r="Q44" i="49"/>
  <c r="AC44" i="49" s="1"/>
  <c r="M44" i="49"/>
  <c r="J44" i="49"/>
  <c r="B44" i="49"/>
  <c r="AA43" i="49"/>
  <c r="Y43" i="49"/>
  <c r="U43" i="49"/>
  <c r="Q43" i="49"/>
  <c r="M43" i="49"/>
  <c r="J43" i="49"/>
  <c r="B43" i="49"/>
  <c r="AA42" i="49"/>
  <c r="Y42" i="49"/>
  <c r="U42" i="49"/>
  <c r="Q42" i="49"/>
  <c r="AC42" i="49" s="1"/>
  <c r="M42" i="49"/>
  <c r="J42" i="49"/>
  <c r="B42" i="49"/>
  <c r="AA41" i="49"/>
  <c r="Y41" i="49"/>
  <c r="U41" i="49"/>
  <c r="A41" i="49" s="1"/>
  <c r="Q41" i="49"/>
  <c r="M41" i="49"/>
  <c r="J41" i="49"/>
  <c r="B41" i="49"/>
  <c r="AA40" i="49"/>
  <c r="Y40" i="49"/>
  <c r="U40" i="49"/>
  <c r="Q40" i="49"/>
  <c r="M40" i="49"/>
  <c r="J40" i="49"/>
  <c r="B40" i="49"/>
  <c r="AA39" i="49"/>
  <c r="Y39" i="49"/>
  <c r="U39" i="49"/>
  <c r="Q39" i="49"/>
  <c r="M39" i="49"/>
  <c r="J39" i="49"/>
  <c r="B39" i="49"/>
  <c r="AA38" i="49"/>
  <c r="Y38" i="49"/>
  <c r="U38" i="49"/>
  <c r="Q38" i="49"/>
  <c r="M38" i="49"/>
  <c r="J38" i="49"/>
  <c r="B38" i="49"/>
  <c r="AA37" i="49"/>
  <c r="Y37" i="49"/>
  <c r="U37" i="49"/>
  <c r="Q37" i="49"/>
  <c r="M37" i="49"/>
  <c r="J37" i="49"/>
  <c r="B37" i="49"/>
  <c r="AA36" i="49"/>
  <c r="Y36" i="49"/>
  <c r="A36" i="49" s="1"/>
  <c r="U36" i="49"/>
  <c r="Q36" i="49"/>
  <c r="AC36" i="49" s="1"/>
  <c r="M36" i="49"/>
  <c r="J36" i="49"/>
  <c r="B36" i="49"/>
  <c r="AA35" i="49"/>
  <c r="Y35" i="49"/>
  <c r="U35" i="49"/>
  <c r="Q35" i="49"/>
  <c r="M35" i="49"/>
  <c r="AG35" i="49" s="1"/>
  <c r="B35" i="49"/>
  <c r="V11" i="49"/>
  <c r="AB5" i="49"/>
  <c r="M35" i="43"/>
  <c r="J35" i="43"/>
  <c r="J89" i="43"/>
  <c r="J90" i="43"/>
  <c r="J91" i="43"/>
  <c r="J92" i="43"/>
  <c r="J93" i="43"/>
  <c r="J94" i="43"/>
  <c r="J95" i="43"/>
  <c r="J96" i="43"/>
  <c r="J97" i="43"/>
  <c r="J98" i="43"/>
  <c r="J99" i="43"/>
  <c r="J100" i="43"/>
  <c r="J101" i="43"/>
  <c r="J102" i="43"/>
  <c r="J103" i="43"/>
  <c r="J104" i="43"/>
  <c r="J105" i="43"/>
  <c r="J106" i="43"/>
  <c r="J107" i="43"/>
  <c r="J108" i="43"/>
  <c r="J109" i="43"/>
  <c r="J110" i="43"/>
  <c r="J111" i="43"/>
  <c r="J112" i="43"/>
  <c r="J113" i="43"/>
  <c r="J114" i="43"/>
  <c r="J115" i="43"/>
  <c r="AA115" i="43"/>
  <c r="Y115" i="43"/>
  <c r="U115" i="43"/>
  <c r="Q115" i="43"/>
  <c r="M115" i="43"/>
  <c r="B115" i="43"/>
  <c r="AA114" i="43"/>
  <c r="Y114" i="43"/>
  <c r="U114" i="43"/>
  <c r="A114" i="43" s="1"/>
  <c r="Q114" i="43"/>
  <c r="M114" i="43"/>
  <c r="B114" i="43"/>
  <c r="AA113" i="43"/>
  <c r="Y113" i="43"/>
  <c r="U113" i="43"/>
  <c r="Q113" i="43"/>
  <c r="M113" i="43"/>
  <c r="B113" i="43"/>
  <c r="AA112" i="43"/>
  <c r="Y112" i="43"/>
  <c r="U112" i="43"/>
  <c r="A112" i="43" s="1"/>
  <c r="Q112" i="43"/>
  <c r="M112" i="43"/>
  <c r="B112" i="43"/>
  <c r="AA111" i="43"/>
  <c r="Y111" i="43"/>
  <c r="U111" i="43"/>
  <c r="Q111" i="43"/>
  <c r="M111" i="43"/>
  <c r="B111" i="43"/>
  <c r="AA110" i="43"/>
  <c r="Y110" i="43"/>
  <c r="U110" i="43"/>
  <c r="Q110" i="43"/>
  <c r="M110" i="43"/>
  <c r="B110" i="43"/>
  <c r="A110" i="43"/>
  <c r="AA109" i="43"/>
  <c r="Y109" i="43"/>
  <c r="A109" i="43" s="1"/>
  <c r="U109" i="43"/>
  <c r="Q109" i="43"/>
  <c r="M109" i="43"/>
  <c r="B109" i="43"/>
  <c r="AA108" i="43"/>
  <c r="Y108" i="43"/>
  <c r="U108" i="43"/>
  <c r="Q108" i="43"/>
  <c r="AC108" i="43" s="1"/>
  <c r="M108" i="43"/>
  <c r="B108" i="43"/>
  <c r="AA107" i="43"/>
  <c r="Y107" i="43"/>
  <c r="U107" i="43"/>
  <c r="Q107" i="43"/>
  <c r="AC107" i="43" s="1"/>
  <c r="M107" i="43"/>
  <c r="B107" i="43"/>
  <c r="AA106" i="43"/>
  <c r="Y106" i="43"/>
  <c r="A106" i="43" s="1"/>
  <c r="U106" i="43"/>
  <c r="Q106" i="43"/>
  <c r="M106" i="43"/>
  <c r="B106" i="43"/>
  <c r="AA105" i="43"/>
  <c r="Y105" i="43"/>
  <c r="U105" i="43"/>
  <c r="Q105" i="43"/>
  <c r="M105" i="43"/>
  <c r="B105" i="43"/>
  <c r="AA104" i="43"/>
  <c r="Y104" i="43"/>
  <c r="U104" i="43"/>
  <c r="Q104" i="43"/>
  <c r="M104" i="43"/>
  <c r="B104" i="43"/>
  <c r="AA103" i="43"/>
  <c r="Y103" i="43"/>
  <c r="U103" i="43"/>
  <c r="Q103" i="43"/>
  <c r="M103" i="43"/>
  <c r="B103" i="43"/>
  <c r="AA102" i="43"/>
  <c r="Y102" i="43"/>
  <c r="U102" i="43"/>
  <c r="Q102" i="43"/>
  <c r="M102" i="43"/>
  <c r="B102" i="43"/>
  <c r="AA101" i="43"/>
  <c r="Y101" i="43"/>
  <c r="U101" i="43"/>
  <c r="Q101" i="43"/>
  <c r="M101" i="43"/>
  <c r="B101" i="43"/>
  <c r="AA100" i="43"/>
  <c r="Y100" i="43"/>
  <c r="A100" i="43" s="1"/>
  <c r="U100" i="43"/>
  <c r="Q100" i="43"/>
  <c r="M100" i="43"/>
  <c r="B100" i="43"/>
  <c r="AA99" i="43"/>
  <c r="Y99" i="43"/>
  <c r="U99" i="43"/>
  <c r="Q99" i="43"/>
  <c r="M99" i="43"/>
  <c r="B99" i="43"/>
  <c r="AA98" i="43"/>
  <c r="Y98" i="43"/>
  <c r="U98" i="43"/>
  <c r="Q98" i="43"/>
  <c r="M98" i="43"/>
  <c r="B98" i="43"/>
  <c r="AA97" i="43"/>
  <c r="Y97" i="43"/>
  <c r="U97" i="43"/>
  <c r="Q97" i="43"/>
  <c r="M97" i="43"/>
  <c r="B97" i="43"/>
  <c r="AA96" i="43"/>
  <c r="Y96" i="43"/>
  <c r="U96" i="43"/>
  <c r="Q96" i="43"/>
  <c r="M96" i="43"/>
  <c r="B96" i="43"/>
  <c r="AA95" i="43"/>
  <c r="Y95" i="43"/>
  <c r="U95" i="43"/>
  <c r="Q95" i="43"/>
  <c r="M95" i="43"/>
  <c r="B95" i="43"/>
  <c r="AA94" i="43"/>
  <c r="Y94" i="43"/>
  <c r="U94" i="43"/>
  <c r="Q94" i="43"/>
  <c r="M94" i="43"/>
  <c r="B94" i="43"/>
  <c r="AA93" i="43"/>
  <c r="Y93" i="43"/>
  <c r="U93" i="43"/>
  <c r="Q93" i="43"/>
  <c r="M93" i="43"/>
  <c r="B93" i="43"/>
  <c r="AA92" i="43"/>
  <c r="Y92" i="43"/>
  <c r="U92" i="43"/>
  <c r="Q92" i="43"/>
  <c r="M92" i="43"/>
  <c r="B92" i="43"/>
  <c r="AA91" i="43"/>
  <c r="Y91" i="43"/>
  <c r="U91" i="43"/>
  <c r="Q91" i="43"/>
  <c r="M91" i="43"/>
  <c r="B91" i="43"/>
  <c r="AA90" i="43"/>
  <c r="Y90" i="43"/>
  <c r="U90" i="43"/>
  <c r="Q90" i="43"/>
  <c r="M90" i="43"/>
  <c r="B90" i="43"/>
  <c r="AA89" i="43"/>
  <c r="Y89" i="43"/>
  <c r="U89" i="43"/>
  <c r="Q89" i="43"/>
  <c r="M89" i="43"/>
  <c r="B89" i="43"/>
  <c r="AI88" i="43"/>
  <c r="B88" i="43"/>
  <c r="M41" i="43"/>
  <c r="J41" i="43"/>
  <c r="AA54" i="43"/>
  <c r="Y54" i="43"/>
  <c r="U54" i="43"/>
  <c r="Q54" i="43"/>
  <c r="M54" i="43"/>
  <c r="J54" i="43"/>
  <c r="B54" i="43"/>
  <c r="AA53" i="43"/>
  <c r="Y53" i="43"/>
  <c r="U53" i="43"/>
  <c r="Q53" i="43"/>
  <c r="M53" i="43"/>
  <c r="J53" i="43"/>
  <c r="B53" i="43"/>
  <c r="AA52" i="43"/>
  <c r="Y52" i="43"/>
  <c r="U52" i="43"/>
  <c r="Q52" i="43"/>
  <c r="M52" i="43"/>
  <c r="J52" i="43"/>
  <c r="B52" i="43"/>
  <c r="AA51" i="43"/>
  <c r="Y51" i="43"/>
  <c r="U51" i="43"/>
  <c r="Q51" i="43"/>
  <c r="M51" i="43"/>
  <c r="J51" i="43"/>
  <c r="B51" i="43"/>
  <c r="AA50" i="43"/>
  <c r="Y50" i="43"/>
  <c r="U50" i="43"/>
  <c r="Q50" i="43"/>
  <c r="M50" i="43"/>
  <c r="J50" i="43"/>
  <c r="B50" i="43"/>
  <c r="AA49" i="43"/>
  <c r="Y49" i="43"/>
  <c r="U49" i="43"/>
  <c r="Q49" i="43"/>
  <c r="M49" i="43"/>
  <c r="J49" i="43"/>
  <c r="B49" i="43"/>
  <c r="AA48" i="43"/>
  <c r="Y48" i="43"/>
  <c r="U48" i="43"/>
  <c r="Q48" i="43"/>
  <c r="M48" i="43"/>
  <c r="J48" i="43"/>
  <c r="B48" i="43"/>
  <c r="AA47" i="43"/>
  <c r="Y47" i="43"/>
  <c r="U47" i="43"/>
  <c r="Q47" i="43"/>
  <c r="M47" i="43"/>
  <c r="J47" i="43"/>
  <c r="B47" i="43"/>
  <c r="AA46" i="43"/>
  <c r="Y46" i="43"/>
  <c r="U46" i="43"/>
  <c r="Q46" i="43"/>
  <c r="M46" i="43"/>
  <c r="J46" i="43"/>
  <c r="B46" i="43"/>
  <c r="AA45" i="43"/>
  <c r="Y45" i="43"/>
  <c r="U45" i="43"/>
  <c r="Q45" i="43"/>
  <c r="M45" i="43"/>
  <c r="J45" i="43"/>
  <c r="B45" i="43"/>
  <c r="AA44" i="43"/>
  <c r="Y44" i="43"/>
  <c r="U44" i="43"/>
  <c r="Q44" i="43"/>
  <c r="M44" i="43"/>
  <c r="J44" i="43"/>
  <c r="B44" i="43"/>
  <c r="AA43" i="43"/>
  <c r="Y43" i="43"/>
  <c r="U43" i="43"/>
  <c r="Q43" i="43"/>
  <c r="M43" i="43"/>
  <c r="J43" i="43"/>
  <c r="B43" i="43"/>
  <c r="AA42" i="43"/>
  <c r="Y42" i="43"/>
  <c r="U42" i="43"/>
  <c r="Q42" i="43"/>
  <c r="M42" i="43"/>
  <c r="J42" i="43"/>
  <c r="B42" i="43"/>
  <c r="AA41" i="43"/>
  <c r="Y41" i="43"/>
  <c r="U41" i="43"/>
  <c r="A41" i="43" s="1"/>
  <c r="Q41" i="43"/>
  <c r="B41" i="43"/>
  <c r="AA40" i="43"/>
  <c r="Y40" i="43"/>
  <c r="U40" i="43"/>
  <c r="Q40" i="43"/>
  <c r="M40" i="43"/>
  <c r="J40" i="43"/>
  <c r="B40" i="43"/>
  <c r="AA39" i="43"/>
  <c r="Y39" i="43"/>
  <c r="U39" i="43"/>
  <c r="A39" i="43" s="1"/>
  <c r="Q39" i="43"/>
  <c r="M39" i="43"/>
  <c r="J39" i="43"/>
  <c r="B39" i="43"/>
  <c r="AA38" i="43"/>
  <c r="Y38" i="43"/>
  <c r="U38" i="43"/>
  <c r="Q38" i="43"/>
  <c r="AC38" i="43" s="1"/>
  <c r="M38" i="43"/>
  <c r="J38" i="43"/>
  <c r="B38" i="43"/>
  <c r="AA37" i="43"/>
  <c r="Y37" i="43"/>
  <c r="U37" i="43"/>
  <c r="Q37" i="43"/>
  <c r="M37" i="43"/>
  <c r="J37" i="43"/>
  <c r="B37" i="43"/>
  <c r="AA36" i="43"/>
  <c r="Y36" i="43"/>
  <c r="U36" i="43"/>
  <c r="Q36" i="43"/>
  <c r="M36" i="43"/>
  <c r="J36" i="43"/>
  <c r="B36" i="43"/>
  <c r="AI53" i="43"/>
  <c r="AI49" i="43"/>
  <c r="A45" i="43"/>
  <c r="U35" i="43"/>
  <c r="AC35" i="43" s="1"/>
  <c r="V64" i="43"/>
  <c r="V11" i="43"/>
  <c r="A110" i="49" l="1"/>
  <c r="A35" i="50"/>
  <c r="A36" i="50"/>
  <c r="AC42" i="50"/>
  <c r="AC43" i="50"/>
  <c r="A88" i="50"/>
  <c r="A92" i="50"/>
  <c r="AC99" i="50"/>
  <c r="A113" i="50"/>
  <c r="A43" i="49"/>
  <c r="A107" i="50"/>
  <c r="A37" i="50"/>
  <c r="A41" i="50"/>
  <c r="AC45" i="50"/>
  <c r="A54" i="43"/>
  <c r="AI41" i="43"/>
  <c r="A90" i="43"/>
  <c r="A92" i="43"/>
  <c r="AC43" i="49"/>
  <c r="A89" i="50"/>
  <c r="AC96" i="50"/>
  <c r="AC100" i="50"/>
  <c r="A36" i="43"/>
  <c r="AC44" i="43"/>
  <c r="AC48" i="43"/>
  <c r="A49" i="43"/>
  <c r="AC52" i="43"/>
  <c r="A53" i="43"/>
  <c r="AC89" i="43"/>
  <c r="A94" i="43"/>
  <c r="AC97" i="43"/>
  <c r="AC99" i="43"/>
  <c r="A102" i="43"/>
  <c r="AC39" i="49"/>
  <c r="A40" i="49"/>
  <c r="A46" i="49"/>
  <c r="A47" i="49"/>
  <c r="AC91" i="49"/>
  <c r="A108" i="49"/>
  <c r="AC111" i="49"/>
  <c r="A112" i="49"/>
  <c r="AC115" i="49"/>
  <c r="A38" i="50"/>
  <c r="A103" i="50"/>
  <c r="A52" i="50"/>
  <c r="A97" i="50"/>
  <c r="A101" i="50"/>
  <c r="A105" i="50"/>
  <c r="A37" i="43"/>
  <c r="AI39" i="43"/>
  <c r="AC40" i="43"/>
  <c r="A43" i="43"/>
  <c r="AC46" i="43"/>
  <c r="A47" i="43"/>
  <c r="A52" i="43"/>
  <c r="AC54" i="43"/>
  <c r="AC94" i="43"/>
  <c r="AC96" i="43"/>
  <c r="A99" i="43"/>
  <c r="A38" i="49"/>
  <c r="A39" i="49"/>
  <c r="AC47" i="49"/>
  <c r="A48" i="49"/>
  <c r="A54" i="49"/>
  <c r="AC89" i="49"/>
  <c r="A94" i="49"/>
  <c r="A102" i="49"/>
  <c r="AC109" i="49"/>
  <c r="A111" i="49"/>
  <c r="AC113" i="49"/>
  <c r="AC39" i="50"/>
  <c r="A40" i="50"/>
  <c r="AC48" i="50"/>
  <c r="AC49" i="50"/>
  <c r="A50" i="50"/>
  <c r="A54" i="50"/>
  <c r="AC93" i="50"/>
  <c r="AC94" i="50"/>
  <c r="AC103" i="50"/>
  <c r="A104" i="50"/>
  <c r="A108" i="50"/>
  <c r="AC112" i="50"/>
  <c r="AC113" i="50"/>
  <c r="A114" i="50"/>
  <c r="A51" i="43"/>
  <c r="AC92" i="43"/>
  <c r="A93" i="43"/>
  <c r="AC101" i="43"/>
  <c r="A104" i="43"/>
  <c r="AC105" i="43"/>
  <c r="A108" i="43"/>
  <c r="AC110" i="43"/>
  <c r="AC112" i="43"/>
  <c r="A115" i="43"/>
  <c r="AC40" i="49"/>
  <c r="AC41" i="49"/>
  <c r="A42" i="49"/>
  <c r="AC48" i="49"/>
  <c r="AC49" i="49"/>
  <c r="A50" i="49"/>
  <c r="A89" i="49"/>
  <c r="AG90" i="49"/>
  <c r="AU90" i="49"/>
  <c r="AS90" i="49"/>
  <c r="AT90" i="49"/>
  <c r="A90" i="49"/>
  <c r="AI91" i="49"/>
  <c r="AW91" i="49"/>
  <c r="AX91" i="49"/>
  <c r="AY91" i="49"/>
  <c r="AY92" i="49"/>
  <c r="AW92" i="49"/>
  <c r="AX92" i="49"/>
  <c r="AC93" i="49"/>
  <c r="AC94" i="49"/>
  <c r="AC95" i="49"/>
  <c r="A96" i="49"/>
  <c r="AC99" i="49"/>
  <c r="A100" i="49"/>
  <c r="AS101" i="49"/>
  <c r="AT101" i="49"/>
  <c r="AG101" i="49"/>
  <c r="AU101" i="49"/>
  <c r="AI102" i="49"/>
  <c r="AT102" i="49"/>
  <c r="AU102" i="49"/>
  <c r="AS102" i="49"/>
  <c r="AG102" i="49"/>
  <c r="AG103" i="49"/>
  <c r="AS103" i="49"/>
  <c r="AU103" i="49"/>
  <c r="AT103" i="49"/>
  <c r="AX104" i="49"/>
  <c r="AY104" i="49"/>
  <c r="AW104" i="49"/>
  <c r="AC105" i="49"/>
  <c r="AG107" i="49"/>
  <c r="AT107" i="49"/>
  <c r="AU107" i="49"/>
  <c r="AS107" i="49"/>
  <c r="AI108" i="49"/>
  <c r="AG108" i="49"/>
  <c r="AT108" i="49"/>
  <c r="AS108" i="49"/>
  <c r="AU108" i="49"/>
  <c r="AI109" i="49"/>
  <c r="AY109" i="49"/>
  <c r="AW109" i="49"/>
  <c r="AX109" i="49"/>
  <c r="AW110" i="49"/>
  <c r="AY110" i="49"/>
  <c r="AX110" i="49"/>
  <c r="AI111" i="49"/>
  <c r="AY111" i="49"/>
  <c r="AW111" i="49"/>
  <c r="AX111" i="49"/>
  <c r="AC112" i="49"/>
  <c r="A113" i="49"/>
  <c r="AT114" i="49"/>
  <c r="AG114" i="49"/>
  <c r="AS114" i="49"/>
  <c r="AU114" i="49"/>
  <c r="A114" i="49"/>
  <c r="AI115" i="49"/>
  <c r="AX115" i="49"/>
  <c r="AW115" i="49"/>
  <c r="AY115" i="49"/>
  <c r="AT37" i="50"/>
  <c r="AU37" i="50"/>
  <c r="AS37" i="50"/>
  <c r="AG37" i="50"/>
  <c r="AI38" i="50"/>
  <c r="AT38" i="50"/>
  <c r="AU38" i="50"/>
  <c r="AG38" i="50"/>
  <c r="AS38" i="50"/>
  <c r="AI39" i="50"/>
  <c r="AY39" i="50"/>
  <c r="AW39" i="50"/>
  <c r="AX39" i="50"/>
  <c r="AC40" i="50"/>
  <c r="AC41" i="50"/>
  <c r="A42" i="50"/>
  <c r="AU44" i="50"/>
  <c r="AS44" i="50"/>
  <c r="AT44" i="50"/>
  <c r="AG44" i="50"/>
  <c r="A44" i="50"/>
  <c r="AI45" i="50"/>
  <c r="AW45" i="50"/>
  <c r="AY45" i="50"/>
  <c r="AX45" i="50"/>
  <c r="AW46" i="50"/>
  <c r="AY46" i="50"/>
  <c r="AX46" i="50"/>
  <c r="AC47" i="50"/>
  <c r="A48" i="50"/>
  <c r="AS50" i="50"/>
  <c r="AU50" i="50"/>
  <c r="AT50" i="50"/>
  <c r="AG50" i="50"/>
  <c r="AI51" i="50"/>
  <c r="AU51" i="50"/>
  <c r="AS51" i="50"/>
  <c r="AG51" i="50"/>
  <c r="AT51" i="50"/>
  <c r="AI52" i="50"/>
  <c r="AY52" i="50"/>
  <c r="AX52" i="50"/>
  <c r="AW52" i="50"/>
  <c r="AC53" i="50"/>
  <c r="AC54" i="50"/>
  <c r="AU88" i="50"/>
  <c r="AT88" i="50"/>
  <c r="AS88" i="50"/>
  <c r="AG88" i="50"/>
  <c r="AI89" i="50"/>
  <c r="AU89" i="50"/>
  <c r="AT89" i="50"/>
  <c r="AS89" i="50"/>
  <c r="AG89" i="50"/>
  <c r="AI90" i="50"/>
  <c r="AY90" i="50"/>
  <c r="AX90" i="50"/>
  <c r="AW90" i="50"/>
  <c r="AC91" i="50"/>
  <c r="AC92" i="50"/>
  <c r="A93" i="50"/>
  <c r="AS95" i="50"/>
  <c r="AU95" i="50"/>
  <c r="AT95" i="50"/>
  <c r="AG95" i="50"/>
  <c r="A95" i="50"/>
  <c r="AI96" i="50"/>
  <c r="AX96" i="50"/>
  <c r="AW96" i="50"/>
  <c r="AY96" i="50"/>
  <c r="AY97" i="50"/>
  <c r="AX97" i="50"/>
  <c r="AW97" i="50"/>
  <c r="AC98" i="50"/>
  <c r="A99" i="50"/>
  <c r="AT101" i="50"/>
  <c r="AS101" i="50"/>
  <c r="AU101" i="50"/>
  <c r="AG101" i="50"/>
  <c r="AI102" i="50"/>
  <c r="AU102" i="50"/>
  <c r="AT102" i="50"/>
  <c r="AS102" i="50"/>
  <c r="AG102" i="50"/>
  <c r="AI103" i="50"/>
  <c r="AY103" i="50"/>
  <c r="AX103" i="50"/>
  <c r="AW103" i="50"/>
  <c r="AC104" i="50"/>
  <c r="AC105" i="50"/>
  <c r="A106" i="50"/>
  <c r="AI107" i="50"/>
  <c r="AU107" i="50"/>
  <c r="AT107" i="50"/>
  <c r="AS107" i="50"/>
  <c r="AG107" i="50"/>
  <c r="AI108" i="50"/>
  <c r="AT108" i="50"/>
  <c r="AS108" i="50"/>
  <c r="AU108" i="50"/>
  <c r="AG108" i="50"/>
  <c r="AI109" i="50"/>
  <c r="AW109" i="50"/>
  <c r="AY109" i="50"/>
  <c r="AX109" i="50"/>
  <c r="AX110" i="50"/>
  <c r="AW110" i="50"/>
  <c r="AY110" i="50"/>
  <c r="AC111" i="50"/>
  <c r="A112" i="50"/>
  <c r="AU114" i="50"/>
  <c r="AT114" i="50"/>
  <c r="AS114" i="50"/>
  <c r="AG114" i="50"/>
  <c r="AY115" i="50"/>
  <c r="AX115" i="50"/>
  <c r="AW115" i="50"/>
  <c r="AI89" i="49"/>
  <c r="AG89" i="49"/>
  <c r="AU89" i="49"/>
  <c r="AS89" i="49"/>
  <c r="AT89" i="49"/>
  <c r="AI90" i="49"/>
  <c r="AW90" i="49"/>
  <c r="AX90" i="49"/>
  <c r="AY90" i="49"/>
  <c r="AI101" i="49"/>
  <c r="AX101" i="49"/>
  <c r="AY101" i="49"/>
  <c r="AW101" i="49"/>
  <c r="AX102" i="49"/>
  <c r="AY102" i="49"/>
  <c r="AW102" i="49"/>
  <c r="AI103" i="49"/>
  <c r="AX103" i="49"/>
  <c r="AW103" i="49"/>
  <c r="AY103" i="49"/>
  <c r="AG106" i="49"/>
  <c r="AS106" i="49"/>
  <c r="AU106" i="49"/>
  <c r="AT106" i="49"/>
  <c r="AI107" i="49"/>
  <c r="AY107" i="49"/>
  <c r="AW107" i="49"/>
  <c r="AX107" i="49"/>
  <c r="AW108" i="49"/>
  <c r="AY108" i="49"/>
  <c r="AX108" i="49"/>
  <c r="AI113" i="49"/>
  <c r="AT113" i="49"/>
  <c r="AG113" i="49"/>
  <c r="AS113" i="49"/>
  <c r="AU113" i="49"/>
  <c r="AI114" i="49"/>
  <c r="AY114" i="49"/>
  <c r="AW114" i="49"/>
  <c r="AX114" i="49"/>
  <c r="AI36" i="50"/>
  <c r="AS36" i="50"/>
  <c r="AU36" i="50"/>
  <c r="AT36" i="50"/>
  <c r="AG36" i="50"/>
  <c r="AI37" i="50"/>
  <c r="AY37" i="50"/>
  <c r="AW37" i="50"/>
  <c r="AX37" i="50"/>
  <c r="AY38" i="50"/>
  <c r="AW38" i="50"/>
  <c r="AX38" i="50"/>
  <c r="AU42" i="50"/>
  <c r="AS42" i="50"/>
  <c r="AG42" i="50"/>
  <c r="AT42" i="50"/>
  <c r="AI43" i="50"/>
  <c r="AS43" i="50"/>
  <c r="AU43" i="50"/>
  <c r="AG43" i="50"/>
  <c r="AT43" i="50"/>
  <c r="AI44" i="50"/>
  <c r="AX44" i="50"/>
  <c r="AW44" i="50"/>
  <c r="AY44" i="50"/>
  <c r="AS48" i="50"/>
  <c r="AU48" i="50"/>
  <c r="AT48" i="50"/>
  <c r="AG48" i="50"/>
  <c r="AI49" i="50"/>
  <c r="AU49" i="50"/>
  <c r="AG49" i="50"/>
  <c r="AS49" i="50"/>
  <c r="AT49" i="50"/>
  <c r="AI50" i="50"/>
  <c r="AX50" i="50"/>
  <c r="AY50" i="50"/>
  <c r="AW50" i="50"/>
  <c r="AY51" i="50"/>
  <c r="AX51" i="50"/>
  <c r="AW51" i="50"/>
  <c r="AI88" i="50"/>
  <c r="AY88" i="50"/>
  <c r="AX88" i="50"/>
  <c r="AW88" i="50"/>
  <c r="AW89" i="50"/>
  <c r="AY89" i="50"/>
  <c r="AX89" i="50"/>
  <c r="AU93" i="50"/>
  <c r="AT93" i="50"/>
  <c r="AS93" i="50"/>
  <c r="AG93" i="50"/>
  <c r="AI94" i="50"/>
  <c r="AS94" i="50"/>
  <c r="AU94" i="50"/>
  <c r="AT94" i="50"/>
  <c r="AG94" i="50"/>
  <c r="AI95" i="50"/>
  <c r="AX95" i="50"/>
  <c r="AW95" i="50"/>
  <c r="AY95" i="50"/>
  <c r="AI99" i="50"/>
  <c r="AT99" i="50"/>
  <c r="AS99" i="50"/>
  <c r="AU99" i="50"/>
  <c r="AG99" i="50"/>
  <c r="AI100" i="50"/>
  <c r="AU100" i="50"/>
  <c r="AT100" i="50"/>
  <c r="AS100" i="50"/>
  <c r="AG100" i="50"/>
  <c r="AI101" i="50"/>
  <c r="AY101" i="50"/>
  <c r="AX101" i="50"/>
  <c r="AW101" i="50"/>
  <c r="AY102" i="50"/>
  <c r="AX102" i="50"/>
  <c r="AW102" i="50"/>
  <c r="AT106" i="50"/>
  <c r="AS106" i="50"/>
  <c r="AU106" i="50"/>
  <c r="AG106" i="50"/>
  <c r="AW107" i="50"/>
  <c r="AY107" i="50"/>
  <c r="AX107" i="50"/>
  <c r="AY108" i="50"/>
  <c r="AX108" i="50"/>
  <c r="AW108" i="50"/>
  <c r="AS112" i="50"/>
  <c r="AU112" i="50"/>
  <c r="AT112" i="50"/>
  <c r="AG112" i="50"/>
  <c r="AI113" i="50"/>
  <c r="AT113" i="50"/>
  <c r="AS113" i="50"/>
  <c r="AU113" i="50"/>
  <c r="AG113" i="50"/>
  <c r="AI114" i="50"/>
  <c r="AW114" i="50"/>
  <c r="AY114" i="50"/>
  <c r="AX114" i="50"/>
  <c r="AC37" i="43"/>
  <c r="A38" i="43"/>
  <c r="AC43" i="43"/>
  <c r="A44" i="43"/>
  <c r="AC47" i="43"/>
  <c r="A48" i="43"/>
  <c r="AC91" i="43"/>
  <c r="A96" i="43"/>
  <c r="A98" i="43"/>
  <c r="AC100" i="43"/>
  <c r="A101" i="43"/>
  <c r="AC102" i="43"/>
  <c r="AC113" i="43"/>
  <c r="AC115" i="43"/>
  <c r="AC38" i="49"/>
  <c r="AC45" i="49"/>
  <c r="AC46" i="49"/>
  <c r="AC53" i="49"/>
  <c r="AC54" i="49"/>
  <c r="AU88" i="49"/>
  <c r="AG88" i="49"/>
  <c r="AS88" i="49"/>
  <c r="AT88" i="49"/>
  <c r="AY89" i="49"/>
  <c r="AW89" i="49"/>
  <c r="AX89" i="49"/>
  <c r="AC90" i="49"/>
  <c r="A91" i="49"/>
  <c r="AS93" i="49"/>
  <c r="AT93" i="49"/>
  <c r="AG93" i="49"/>
  <c r="AU93" i="49"/>
  <c r="AI94" i="49"/>
  <c r="AS94" i="49"/>
  <c r="AG94" i="49"/>
  <c r="AT94" i="49"/>
  <c r="AU94" i="49"/>
  <c r="AU95" i="49"/>
  <c r="AG95" i="49"/>
  <c r="AS95" i="49"/>
  <c r="AT95" i="49"/>
  <c r="AC97" i="49"/>
  <c r="AC101" i="49"/>
  <c r="AC102" i="49"/>
  <c r="AC103" i="49"/>
  <c r="A104" i="49"/>
  <c r="AI105" i="49"/>
  <c r="AS105" i="49"/>
  <c r="AG105" i="49"/>
  <c r="AU105" i="49"/>
  <c r="AT105" i="49"/>
  <c r="A105" i="49"/>
  <c r="AI106" i="49"/>
  <c r="AW106" i="49"/>
  <c r="AX106" i="49"/>
  <c r="AY106" i="49"/>
  <c r="AC107" i="49"/>
  <c r="AC108" i="49"/>
  <c r="A109" i="49"/>
  <c r="AG112" i="49"/>
  <c r="AT112" i="49"/>
  <c r="AS112" i="49"/>
  <c r="AU112" i="49"/>
  <c r="AY113" i="49"/>
  <c r="AW113" i="49"/>
  <c r="AX113" i="49"/>
  <c r="AC114" i="49"/>
  <c r="A115" i="49"/>
  <c r="AI35" i="50"/>
  <c r="AU35" i="50"/>
  <c r="AS35" i="50"/>
  <c r="AT35" i="50"/>
  <c r="AG35" i="50"/>
  <c r="AX36" i="50"/>
  <c r="AY36" i="50"/>
  <c r="AW36" i="50"/>
  <c r="AC37" i="50"/>
  <c r="AC38" i="50"/>
  <c r="A39" i="50"/>
  <c r="AI40" i="50"/>
  <c r="AU40" i="50"/>
  <c r="AS40" i="50"/>
  <c r="AT40" i="50"/>
  <c r="AG40" i="50"/>
  <c r="AI41" i="50"/>
  <c r="AS41" i="50"/>
  <c r="AG41" i="50"/>
  <c r="AU41" i="50"/>
  <c r="AT41" i="50"/>
  <c r="AI42" i="50"/>
  <c r="AX42" i="50"/>
  <c r="AY42" i="50"/>
  <c r="AW42" i="50"/>
  <c r="AX43" i="50"/>
  <c r="AY43" i="50"/>
  <c r="AW43" i="50"/>
  <c r="AC44" i="50"/>
  <c r="A45" i="50"/>
  <c r="AT47" i="50"/>
  <c r="AG47" i="50"/>
  <c r="AU47" i="50"/>
  <c r="AS47" i="50"/>
  <c r="AX48" i="50"/>
  <c r="AY48" i="50"/>
  <c r="AW48" i="50"/>
  <c r="AX49" i="50"/>
  <c r="AY49" i="50"/>
  <c r="AW49" i="50"/>
  <c r="AC50" i="50"/>
  <c r="AC51" i="50"/>
  <c r="AU53" i="50"/>
  <c r="AT53" i="50"/>
  <c r="AG53" i="50"/>
  <c r="AS53" i="50"/>
  <c r="AI54" i="50"/>
  <c r="AU54" i="50"/>
  <c r="AT54" i="50"/>
  <c r="AS54" i="50"/>
  <c r="AG54" i="50"/>
  <c r="AC88" i="50"/>
  <c r="AC89" i="50"/>
  <c r="A90" i="50"/>
  <c r="AU91" i="50"/>
  <c r="AT91" i="50"/>
  <c r="AS91" i="50"/>
  <c r="AG91" i="50"/>
  <c r="AI92" i="50"/>
  <c r="AT92" i="50"/>
  <c r="AS92" i="50"/>
  <c r="AU92" i="50"/>
  <c r="AG92" i="50"/>
  <c r="AI93" i="50"/>
  <c r="AW93" i="50"/>
  <c r="AY93" i="50"/>
  <c r="AX93" i="50"/>
  <c r="AX94" i="50"/>
  <c r="AW94" i="50"/>
  <c r="AY94" i="50"/>
  <c r="AC95" i="50"/>
  <c r="A96" i="50"/>
  <c r="AU98" i="50"/>
  <c r="AT98" i="50"/>
  <c r="AS98" i="50"/>
  <c r="AG98" i="50"/>
  <c r="AY99" i="50"/>
  <c r="AX99" i="50"/>
  <c r="AW99" i="50"/>
  <c r="AW100" i="50"/>
  <c r="AY100" i="50"/>
  <c r="AX100" i="50"/>
  <c r="AC101" i="50"/>
  <c r="AC102" i="50"/>
  <c r="AU104" i="50"/>
  <c r="AT104" i="50"/>
  <c r="AS104" i="50"/>
  <c r="AG104" i="50"/>
  <c r="AI105" i="50"/>
  <c r="AU105" i="50"/>
  <c r="AT105" i="50"/>
  <c r="AS105" i="50"/>
  <c r="AG105" i="50"/>
  <c r="AI106" i="50"/>
  <c r="AY106" i="50"/>
  <c r="AX106" i="50"/>
  <c r="AW106" i="50"/>
  <c r="AC107" i="50"/>
  <c r="AC108" i="50"/>
  <c r="A109" i="50"/>
  <c r="AS111" i="50"/>
  <c r="AU111" i="50"/>
  <c r="AT111" i="50"/>
  <c r="AG111" i="50"/>
  <c r="A111" i="50"/>
  <c r="AX112" i="50"/>
  <c r="AW112" i="50"/>
  <c r="BA112" i="50" s="1"/>
  <c r="AY112" i="50"/>
  <c r="AY113" i="50"/>
  <c r="AX113" i="50"/>
  <c r="AW113" i="50"/>
  <c r="AC114" i="50"/>
  <c r="A115" i="50"/>
  <c r="AX88" i="49"/>
  <c r="BB88" i="49" s="1"/>
  <c r="AY88" i="49"/>
  <c r="AW88" i="49"/>
  <c r="BA88" i="49" s="1"/>
  <c r="AU91" i="49"/>
  <c r="AG91" i="49"/>
  <c r="AS91" i="49"/>
  <c r="AT91" i="49"/>
  <c r="AI92" i="49"/>
  <c r="AT92" i="49"/>
  <c r="AU92" i="49"/>
  <c r="AG92" i="49"/>
  <c r="AS92" i="49"/>
  <c r="AI93" i="49"/>
  <c r="AW93" i="49"/>
  <c r="AX93" i="49"/>
  <c r="AY93" i="49"/>
  <c r="AY94" i="49"/>
  <c r="AW94" i="49"/>
  <c r="AX94" i="49"/>
  <c r="AI95" i="49"/>
  <c r="AY95" i="49"/>
  <c r="AW95" i="49"/>
  <c r="AX95" i="49"/>
  <c r="AT104" i="49"/>
  <c r="AU104" i="49"/>
  <c r="AG104" i="49"/>
  <c r="AS104" i="49"/>
  <c r="AW105" i="49"/>
  <c r="AX105" i="49"/>
  <c r="AY105" i="49"/>
  <c r="AT109" i="49"/>
  <c r="AG109" i="49"/>
  <c r="AS109" i="49"/>
  <c r="AU109" i="49"/>
  <c r="AI110" i="49"/>
  <c r="AT110" i="49"/>
  <c r="AG110" i="49"/>
  <c r="AS110" i="49"/>
  <c r="AU110" i="49"/>
  <c r="AG111" i="49"/>
  <c r="AT111" i="49"/>
  <c r="AU111" i="49"/>
  <c r="AS111" i="49"/>
  <c r="AW112" i="49"/>
  <c r="AY112" i="49"/>
  <c r="AX112" i="49"/>
  <c r="AG115" i="49"/>
  <c r="AU115" i="49"/>
  <c r="AS115" i="49"/>
  <c r="AT115" i="49"/>
  <c r="AX35" i="50"/>
  <c r="AY35" i="50"/>
  <c r="AW35" i="50"/>
  <c r="AT39" i="50"/>
  <c r="AG39" i="50"/>
  <c r="AU39" i="50"/>
  <c r="AS39" i="50"/>
  <c r="AX40" i="50"/>
  <c r="AW40" i="50"/>
  <c r="AY40" i="50"/>
  <c r="AX41" i="50"/>
  <c r="AY41" i="50"/>
  <c r="AW41" i="50"/>
  <c r="AG45" i="50"/>
  <c r="AT45" i="50"/>
  <c r="AU45" i="50"/>
  <c r="AS45" i="50"/>
  <c r="AI46" i="50"/>
  <c r="AT46" i="50"/>
  <c r="AG46" i="50"/>
  <c r="AU46" i="50"/>
  <c r="AS46" i="50"/>
  <c r="AI47" i="50"/>
  <c r="AW47" i="50"/>
  <c r="BA47" i="50" s="1"/>
  <c r="AY47" i="50"/>
  <c r="AX47" i="50"/>
  <c r="BB47" i="50" s="1"/>
  <c r="AT52" i="50"/>
  <c r="AS52" i="50"/>
  <c r="AU52" i="50"/>
  <c r="AG52" i="50"/>
  <c r="AI53" i="50"/>
  <c r="AY53" i="50"/>
  <c r="AX53" i="50"/>
  <c r="AW53" i="50"/>
  <c r="AY54" i="50"/>
  <c r="AX54" i="50"/>
  <c r="AW54" i="50"/>
  <c r="AT90" i="50"/>
  <c r="AS90" i="50"/>
  <c r="AU90" i="50"/>
  <c r="AG90" i="50"/>
  <c r="AW91" i="50"/>
  <c r="AY91" i="50"/>
  <c r="AX91" i="50"/>
  <c r="AY92" i="50"/>
  <c r="AX92" i="50"/>
  <c r="AW92" i="50"/>
  <c r="AS96" i="50"/>
  <c r="AU96" i="50"/>
  <c r="AT96" i="50"/>
  <c r="AG96" i="50"/>
  <c r="AI97" i="50"/>
  <c r="AT97" i="50"/>
  <c r="AS97" i="50"/>
  <c r="AU97" i="50"/>
  <c r="AG97" i="50"/>
  <c r="AW98" i="50"/>
  <c r="AY98" i="50"/>
  <c r="AX98" i="50"/>
  <c r="AU103" i="50"/>
  <c r="AT103" i="50"/>
  <c r="AS103" i="50"/>
  <c r="AG103" i="50"/>
  <c r="AI104" i="50"/>
  <c r="AY104" i="50"/>
  <c r="AX104" i="50"/>
  <c r="AW104" i="50"/>
  <c r="BA104" i="50" s="1"/>
  <c r="AW105" i="50"/>
  <c r="AY105" i="50"/>
  <c r="AX105" i="50"/>
  <c r="AU109" i="50"/>
  <c r="AT109" i="50"/>
  <c r="AS109" i="50"/>
  <c r="AG109" i="50"/>
  <c r="AI110" i="50"/>
  <c r="AS110" i="50"/>
  <c r="AU110" i="50"/>
  <c r="AT110" i="50"/>
  <c r="AG110" i="50"/>
  <c r="AI111" i="50"/>
  <c r="AX111" i="50"/>
  <c r="AW111" i="50"/>
  <c r="AY111" i="50"/>
  <c r="AI115" i="50"/>
  <c r="AT115" i="50"/>
  <c r="AS115" i="50"/>
  <c r="AU115" i="50"/>
  <c r="AG115" i="50"/>
  <c r="AC37" i="49"/>
  <c r="AC100" i="49"/>
  <c r="A37" i="49"/>
  <c r="AC51" i="43"/>
  <c r="AI36" i="43"/>
  <c r="AX47" i="43"/>
  <c r="AW47" i="43"/>
  <c r="AY47" i="43"/>
  <c r="AU92" i="43"/>
  <c r="AS92" i="43"/>
  <c r="AT92" i="43"/>
  <c r="AG92" i="43"/>
  <c r="AI46" i="43"/>
  <c r="AX46" i="43"/>
  <c r="AW46" i="43"/>
  <c r="AY46" i="43"/>
  <c r="A103" i="43"/>
  <c r="AG99" i="43"/>
  <c r="AU99" i="43"/>
  <c r="AT99" i="43"/>
  <c r="AS99" i="43"/>
  <c r="AX45" i="43"/>
  <c r="AW45" i="43"/>
  <c r="AY45" i="43"/>
  <c r="A113" i="43"/>
  <c r="AG114" i="43"/>
  <c r="AT114" i="43"/>
  <c r="AU114" i="43"/>
  <c r="AS114" i="43"/>
  <c r="AG106" i="43"/>
  <c r="AU106" i="43"/>
  <c r="AT106" i="43"/>
  <c r="AS106" i="43"/>
  <c r="AS98" i="43"/>
  <c r="AU98" i="43"/>
  <c r="AG98" i="43"/>
  <c r="AT98" i="43"/>
  <c r="AT90" i="43"/>
  <c r="AS90" i="43"/>
  <c r="AG90" i="43"/>
  <c r="AU90" i="43"/>
  <c r="AU37" i="43"/>
  <c r="AT37" i="43"/>
  <c r="AG37" i="43"/>
  <c r="AS37" i="43"/>
  <c r="AI38" i="43"/>
  <c r="AY38" i="43"/>
  <c r="AX38" i="43"/>
  <c r="AW38" i="43"/>
  <c r="AC39" i="43"/>
  <c r="A40" i="43"/>
  <c r="AT43" i="43"/>
  <c r="AS43" i="43"/>
  <c r="AU43" i="43"/>
  <c r="AG43" i="43"/>
  <c r="AI44" i="43"/>
  <c r="AW44" i="43"/>
  <c r="AY44" i="43"/>
  <c r="AX44" i="43"/>
  <c r="AC45" i="43"/>
  <c r="A46" i="43"/>
  <c r="AU51" i="43"/>
  <c r="AS51" i="43"/>
  <c r="AT51" i="43"/>
  <c r="AI52" i="43"/>
  <c r="AY52" i="43"/>
  <c r="AX52" i="43"/>
  <c r="AW52" i="43"/>
  <c r="AC53" i="43"/>
  <c r="AI89" i="43"/>
  <c r="AX89" i="43"/>
  <c r="AY89" i="43"/>
  <c r="AW89" i="43"/>
  <c r="AC90" i="43"/>
  <c r="A91" i="43"/>
  <c r="AC95" i="43"/>
  <c r="AI100" i="43"/>
  <c r="AX100" i="43"/>
  <c r="AY100" i="43"/>
  <c r="AW100" i="43"/>
  <c r="AI105" i="43"/>
  <c r="AW105" i="43"/>
  <c r="AY105" i="43"/>
  <c r="AX105" i="43"/>
  <c r="AC106" i="43"/>
  <c r="A107" i="43"/>
  <c r="AC111" i="43"/>
  <c r="AU113" i="43"/>
  <c r="AG113" i="43"/>
  <c r="AT113" i="43"/>
  <c r="AS113" i="43"/>
  <c r="AS105" i="43"/>
  <c r="AU105" i="43"/>
  <c r="AT105" i="43"/>
  <c r="AG105" i="43"/>
  <c r="AT97" i="43"/>
  <c r="AS97" i="43"/>
  <c r="AG97" i="43"/>
  <c r="AU97" i="43"/>
  <c r="AU89" i="43"/>
  <c r="AG89" i="43"/>
  <c r="AS89" i="43"/>
  <c r="AT89" i="43"/>
  <c r="AI102" i="43"/>
  <c r="AY102" i="43"/>
  <c r="AX102" i="43"/>
  <c r="AW102" i="43"/>
  <c r="AI107" i="43"/>
  <c r="AX107" i="43"/>
  <c r="AY107" i="43"/>
  <c r="AW107" i="43"/>
  <c r="AT108" i="43"/>
  <c r="AS108" i="43"/>
  <c r="AG108" i="43"/>
  <c r="AU108" i="43"/>
  <c r="AI40" i="43"/>
  <c r="AW40" i="43"/>
  <c r="AY40" i="43"/>
  <c r="AX40" i="43"/>
  <c r="AT53" i="43"/>
  <c r="AG53" i="43"/>
  <c r="AU53" i="43"/>
  <c r="AS53" i="43"/>
  <c r="AG91" i="43"/>
  <c r="AU91" i="43"/>
  <c r="AS91" i="43"/>
  <c r="AT91" i="43"/>
  <c r="AS44" i="43"/>
  <c r="AU44" i="43"/>
  <c r="AT44" i="43"/>
  <c r="AG44" i="43"/>
  <c r="AU52" i="43"/>
  <c r="AS52" i="43"/>
  <c r="AT52" i="43"/>
  <c r="AG52" i="43"/>
  <c r="AI90" i="43"/>
  <c r="AY90" i="43"/>
  <c r="AX90" i="43"/>
  <c r="AW90" i="43"/>
  <c r="AX111" i="43"/>
  <c r="AW111" i="43"/>
  <c r="AY111" i="43"/>
  <c r="AT36" i="43"/>
  <c r="AS36" i="43"/>
  <c r="AU36" i="43"/>
  <c r="AG36" i="43"/>
  <c r="AU104" i="43"/>
  <c r="AG104" i="43"/>
  <c r="AT104" i="43"/>
  <c r="AS104" i="43"/>
  <c r="AU49" i="43"/>
  <c r="AG49" i="43"/>
  <c r="AT49" i="43"/>
  <c r="AS49" i="43"/>
  <c r="AI50" i="43"/>
  <c r="AY50" i="43"/>
  <c r="AX50" i="43"/>
  <c r="AW50" i="43"/>
  <c r="AX93" i="43"/>
  <c r="AY93" i="43"/>
  <c r="AW93" i="43"/>
  <c r="A95" i="43"/>
  <c r="AX104" i="43"/>
  <c r="AY104" i="43"/>
  <c r="AW104" i="43"/>
  <c r="AW109" i="43"/>
  <c r="AY109" i="43"/>
  <c r="AX109" i="43"/>
  <c r="A111" i="43"/>
  <c r="AT111" i="43"/>
  <c r="AU111" i="43"/>
  <c r="AS111" i="43"/>
  <c r="AG111" i="43"/>
  <c r="AU103" i="43"/>
  <c r="AT103" i="43"/>
  <c r="AS103" i="43"/>
  <c r="AG103" i="43"/>
  <c r="AS95" i="43"/>
  <c r="AG95" i="43"/>
  <c r="AU95" i="43"/>
  <c r="AT95" i="43"/>
  <c r="AY35" i="43"/>
  <c r="AX35" i="43"/>
  <c r="AW35" i="43"/>
  <c r="AU46" i="43"/>
  <c r="AT46" i="43"/>
  <c r="AS46" i="43"/>
  <c r="AG46" i="43"/>
  <c r="AU54" i="43"/>
  <c r="AG54" i="43"/>
  <c r="AT54" i="43"/>
  <c r="AS54" i="43"/>
  <c r="AG45" i="43"/>
  <c r="AT45" i="43"/>
  <c r="AU45" i="43"/>
  <c r="AS45" i="43"/>
  <c r="AI101" i="43"/>
  <c r="AW101" i="43"/>
  <c r="AY101" i="43"/>
  <c r="AX101" i="43"/>
  <c r="AT115" i="43"/>
  <c r="AG115" i="43"/>
  <c r="AS115" i="43"/>
  <c r="AU115" i="43"/>
  <c r="AU38" i="43"/>
  <c r="AT38" i="43"/>
  <c r="AS38" i="43"/>
  <c r="AG38" i="43"/>
  <c r="A97" i="43"/>
  <c r="AI106" i="43"/>
  <c r="AY106" i="43"/>
  <c r="AX106" i="43"/>
  <c r="AW106" i="43"/>
  <c r="AY37" i="43"/>
  <c r="AX37" i="43"/>
  <c r="AW37" i="43"/>
  <c r="AX43" i="43"/>
  <c r="AY43" i="43"/>
  <c r="AW43" i="43"/>
  <c r="AW51" i="43"/>
  <c r="AX51" i="43"/>
  <c r="AY51" i="43"/>
  <c r="AY94" i="43"/>
  <c r="AW94" i="43"/>
  <c r="AX94" i="43"/>
  <c r="AI99" i="43"/>
  <c r="AY99" i="43"/>
  <c r="AX99" i="43"/>
  <c r="AW99" i="43"/>
  <c r="AX110" i="43"/>
  <c r="AW110" i="43"/>
  <c r="AY110" i="43"/>
  <c r="AT112" i="43"/>
  <c r="AG112" i="43"/>
  <c r="AU112" i="43"/>
  <c r="AS112" i="43"/>
  <c r="AI35" i="43"/>
  <c r="AU35" i="43"/>
  <c r="AT35" i="43"/>
  <c r="AS35" i="43"/>
  <c r="AG35" i="43"/>
  <c r="AI43" i="43"/>
  <c r="AC36" i="43"/>
  <c r="AC42" i="43"/>
  <c r="AU48" i="43"/>
  <c r="AS48" i="43"/>
  <c r="AG48" i="43"/>
  <c r="AT48" i="43"/>
  <c r="AX49" i="43"/>
  <c r="AY49" i="43"/>
  <c r="AW49" i="43"/>
  <c r="AC50" i="43"/>
  <c r="AU41" i="43"/>
  <c r="AG41" i="43"/>
  <c r="AS41" i="43"/>
  <c r="AT41" i="43"/>
  <c r="A89" i="43"/>
  <c r="AC93" i="43"/>
  <c r="AW98" i="43"/>
  <c r="AY98" i="43"/>
  <c r="AX98" i="43"/>
  <c r="AY103" i="43"/>
  <c r="AX103" i="43"/>
  <c r="AW103" i="43"/>
  <c r="AC104" i="43"/>
  <c r="A105" i="43"/>
  <c r="AC109" i="43"/>
  <c r="AX114" i="43"/>
  <c r="AY114" i="43"/>
  <c r="AW114" i="43"/>
  <c r="AT110" i="43"/>
  <c r="AG110" i="43"/>
  <c r="AU110" i="43"/>
  <c r="AS110" i="43"/>
  <c r="AU102" i="43"/>
  <c r="AT102" i="43"/>
  <c r="AG102" i="43"/>
  <c r="AS102" i="43"/>
  <c r="AS94" i="43"/>
  <c r="AG94" i="43"/>
  <c r="AT94" i="43"/>
  <c r="AU94" i="43"/>
  <c r="AU40" i="43"/>
  <c r="AS40" i="43"/>
  <c r="AT40" i="43"/>
  <c r="AG40" i="43"/>
  <c r="AI91" i="43"/>
  <c r="AW91" i="43"/>
  <c r="AY91" i="43"/>
  <c r="AX91" i="43"/>
  <c r="AU100" i="43"/>
  <c r="AS100" i="43"/>
  <c r="AG100" i="43"/>
  <c r="AT100" i="43"/>
  <c r="AI47" i="43"/>
  <c r="AU39" i="43"/>
  <c r="AG39" i="43"/>
  <c r="AT39" i="43"/>
  <c r="AS39" i="43"/>
  <c r="AI54" i="43"/>
  <c r="AW54" i="43"/>
  <c r="AY54" i="43"/>
  <c r="AX54" i="43"/>
  <c r="AY96" i="43"/>
  <c r="AX96" i="43"/>
  <c r="AW96" i="43"/>
  <c r="AX112" i="43"/>
  <c r="AW112" i="43"/>
  <c r="BA112" i="43" s="1"/>
  <c r="AY112" i="43"/>
  <c r="AG107" i="43"/>
  <c r="AT107" i="43"/>
  <c r="AU107" i="43"/>
  <c r="AS107" i="43"/>
  <c r="AY39" i="43"/>
  <c r="AX39" i="43"/>
  <c r="AW39" i="43"/>
  <c r="AY53" i="43"/>
  <c r="AW53" i="43"/>
  <c r="AX53" i="43"/>
  <c r="AY95" i="43"/>
  <c r="AX95" i="43"/>
  <c r="AW95" i="43"/>
  <c r="AG42" i="43"/>
  <c r="AU42" i="43"/>
  <c r="AS42" i="43"/>
  <c r="AT42" i="43"/>
  <c r="AT50" i="43"/>
  <c r="AG50" i="43"/>
  <c r="AS50" i="43"/>
  <c r="AU50" i="43"/>
  <c r="AW115" i="43"/>
  <c r="AY115" i="43"/>
  <c r="AX115" i="43"/>
  <c r="AS96" i="43"/>
  <c r="AG96" i="43"/>
  <c r="AU96" i="43"/>
  <c r="AT96" i="43"/>
  <c r="AX36" i="43"/>
  <c r="AY36" i="43"/>
  <c r="AW36" i="43"/>
  <c r="AI42" i="43"/>
  <c r="AX42" i="43"/>
  <c r="AY42" i="43"/>
  <c r="AW42" i="43"/>
  <c r="AI45" i="43"/>
  <c r="AC41" i="43"/>
  <c r="A42" i="43"/>
  <c r="AT47" i="43"/>
  <c r="AG47" i="43"/>
  <c r="AU47" i="43"/>
  <c r="AS47" i="43"/>
  <c r="AI48" i="43"/>
  <c r="AY48" i="43"/>
  <c r="AX48" i="43"/>
  <c r="AW48" i="43"/>
  <c r="AC49" i="43"/>
  <c r="A50" i="43"/>
  <c r="AY41" i="43"/>
  <c r="AX41" i="43"/>
  <c r="AW41" i="43"/>
  <c r="AI92" i="43"/>
  <c r="AY92" i="43"/>
  <c r="AX92" i="43"/>
  <c r="AW92" i="43"/>
  <c r="AI97" i="43"/>
  <c r="AY97" i="43"/>
  <c r="AX97" i="43"/>
  <c r="AW97" i="43"/>
  <c r="AC98" i="43"/>
  <c r="AC103" i="43"/>
  <c r="AI108" i="43"/>
  <c r="AW108" i="43"/>
  <c r="AY108" i="43"/>
  <c r="AX108" i="43"/>
  <c r="AI113" i="43"/>
  <c r="AY113" i="43"/>
  <c r="AX113" i="43"/>
  <c r="AW113" i="43"/>
  <c r="AC114" i="43"/>
  <c r="AU109" i="43"/>
  <c r="AS109" i="43"/>
  <c r="AT109" i="43"/>
  <c r="AG109" i="43"/>
  <c r="AT101" i="43"/>
  <c r="AS101" i="43"/>
  <c r="AU101" i="43"/>
  <c r="AG101" i="43"/>
  <c r="AU93" i="43"/>
  <c r="AT93" i="43"/>
  <c r="AG93" i="43"/>
  <c r="AS93" i="43"/>
  <c r="AS99" i="49"/>
  <c r="AT99" i="49"/>
  <c r="AG99" i="49"/>
  <c r="AU99" i="49"/>
  <c r="AG98" i="49"/>
  <c r="AS98" i="49"/>
  <c r="AT98" i="49"/>
  <c r="AU98" i="49"/>
  <c r="AI99" i="49"/>
  <c r="AW99" i="49"/>
  <c r="AX99" i="49"/>
  <c r="AY99" i="49"/>
  <c r="AI98" i="49"/>
  <c r="AW98" i="49"/>
  <c r="AX98" i="49"/>
  <c r="AY98" i="49"/>
  <c r="AI97" i="49"/>
  <c r="AG97" i="49"/>
  <c r="AS97" i="49"/>
  <c r="AT97" i="49"/>
  <c r="AU97" i="49"/>
  <c r="AW97" i="49"/>
  <c r="AX97" i="49"/>
  <c r="AY97" i="49"/>
  <c r="AW37" i="49"/>
  <c r="AX37" i="49"/>
  <c r="AY37" i="49"/>
  <c r="AS50" i="49"/>
  <c r="AT50" i="49"/>
  <c r="AU50" i="49"/>
  <c r="AX53" i="49"/>
  <c r="AY53" i="49"/>
  <c r="AW53" i="49"/>
  <c r="AY54" i="49"/>
  <c r="AW54" i="49"/>
  <c r="AX54" i="49"/>
  <c r="AW36" i="49"/>
  <c r="AY36" i="49"/>
  <c r="AX36" i="49"/>
  <c r="AS48" i="49"/>
  <c r="AT48" i="49"/>
  <c r="AU48" i="49"/>
  <c r="AI49" i="49"/>
  <c r="AS49" i="49"/>
  <c r="AT49" i="49"/>
  <c r="AU49" i="49"/>
  <c r="AW50" i="49"/>
  <c r="AX50" i="49"/>
  <c r="AY50" i="49"/>
  <c r="AW51" i="49"/>
  <c r="AX51" i="49"/>
  <c r="AY51" i="49"/>
  <c r="AX52" i="49"/>
  <c r="AY52" i="49"/>
  <c r="AW52" i="49"/>
  <c r="AU47" i="49"/>
  <c r="AS47" i="49"/>
  <c r="AT47" i="49"/>
  <c r="AX48" i="49"/>
  <c r="AY48" i="49"/>
  <c r="AW48" i="49"/>
  <c r="AW49" i="49"/>
  <c r="AX49" i="49"/>
  <c r="AY49" i="49"/>
  <c r="AT42" i="49"/>
  <c r="AS42" i="49"/>
  <c r="AU42" i="49"/>
  <c r="AS40" i="49"/>
  <c r="AT40" i="49"/>
  <c r="AU40" i="49"/>
  <c r="AI41" i="49"/>
  <c r="AT41" i="49"/>
  <c r="AU41" i="49"/>
  <c r="AS41" i="49"/>
  <c r="AW42" i="49"/>
  <c r="AX42" i="49"/>
  <c r="AY42" i="49"/>
  <c r="AY43" i="49"/>
  <c r="AX43" i="49"/>
  <c r="AW43" i="49"/>
  <c r="AW44" i="49"/>
  <c r="AY44" i="49"/>
  <c r="AX44" i="49"/>
  <c r="AU36" i="49"/>
  <c r="AT36" i="49"/>
  <c r="AS36" i="49"/>
  <c r="AU51" i="49"/>
  <c r="AS51" i="49"/>
  <c r="AT51" i="49"/>
  <c r="AI46" i="49"/>
  <c r="AS46" i="49"/>
  <c r="AT46" i="49"/>
  <c r="AU46" i="49"/>
  <c r="AI44" i="49"/>
  <c r="AS44" i="49"/>
  <c r="AT44" i="49"/>
  <c r="AU44" i="49"/>
  <c r="AG44" i="49"/>
  <c r="AW46" i="49"/>
  <c r="AX46" i="49"/>
  <c r="AY46" i="49"/>
  <c r="AS39" i="49"/>
  <c r="AT39" i="49"/>
  <c r="AU39" i="49"/>
  <c r="AG39" i="49"/>
  <c r="AW40" i="49"/>
  <c r="AX40" i="49"/>
  <c r="AY40" i="49"/>
  <c r="AW41" i="49"/>
  <c r="AY41" i="49"/>
  <c r="AX41" i="49"/>
  <c r="AW38" i="49"/>
  <c r="AX38" i="49"/>
  <c r="AY38" i="49"/>
  <c r="AI52" i="49"/>
  <c r="AS52" i="49"/>
  <c r="AT52" i="49"/>
  <c r="AU52" i="49"/>
  <c r="AS45" i="49"/>
  <c r="AU45" i="49"/>
  <c r="AT45" i="49"/>
  <c r="AW47" i="49"/>
  <c r="AX47" i="49"/>
  <c r="AY47" i="49"/>
  <c r="AS43" i="49"/>
  <c r="AT43" i="49"/>
  <c r="AU43" i="49"/>
  <c r="AG43" i="49"/>
  <c r="AW45" i="49"/>
  <c r="AY45" i="49"/>
  <c r="AX45" i="49"/>
  <c r="AU37" i="49"/>
  <c r="AS37" i="49"/>
  <c r="AT37" i="49"/>
  <c r="AI38" i="49"/>
  <c r="AU38" i="49"/>
  <c r="AS38" i="49"/>
  <c r="AT38" i="49"/>
  <c r="AY39" i="49"/>
  <c r="AW39" i="49"/>
  <c r="AX39" i="49"/>
  <c r="AS53" i="49"/>
  <c r="AT53" i="49"/>
  <c r="AU53" i="49"/>
  <c r="AG53" i="49"/>
  <c r="AI54" i="49"/>
  <c r="AS54" i="49"/>
  <c r="AU54" i="49"/>
  <c r="AT54" i="49"/>
  <c r="AY100" i="49"/>
  <c r="AX100" i="49"/>
  <c r="AW100" i="49"/>
  <c r="AI100" i="49"/>
  <c r="AT100" i="49"/>
  <c r="AU100" i="49"/>
  <c r="AS100" i="49"/>
  <c r="AY96" i="49"/>
  <c r="AW96" i="49"/>
  <c r="AX96" i="49"/>
  <c r="AU96" i="49"/>
  <c r="AS96" i="49"/>
  <c r="AT96" i="49"/>
  <c r="AI51" i="49"/>
  <c r="AY35" i="49"/>
  <c r="AX35" i="49"/>
  <c r="AW35" i="49"/>
  <c r="AI36" i="49"/>
  <c r="AI35" i="49"/>
  <c r="AU35" i="49"/>
  <c r="AT35" i="49"/>
  <c r="AI42" i="49"/>
  <c r="AI39" i="49"/>
  <c r="AI48" i="49"/>
  <c r="AI40" i="49"/>
  <c r="AI47" i="49"/>
  <c r="AI50" i="49"/>
  <c r="A88" i="43"/>
  <c r="AC88" i="43"/>
  <c r="AC35" i="50"/>
  <c r="AC35" i="49"/>
  <c r="A88" i="49"/>
  <c r="AC88" i="49"/>
  <c r="A35" i="49"/>
  <c r="A55" i="49" s="1"/>
  <c r="AA16" i="6" s="1"/>
  <c r="AC16" i="6" s="1"/>
  <c r="AI98" i="50"/>
  <c r="A55" i="50"/>
  <c r="AI48" i="50"/>
  <c r="AI91" i="50"/>
  <c r="A98" i="50"/>
  <c r="A116" i="50" s="1"/>
  <c r="AI112" i="50"/>
  <c r="AI43" i="49"/>
  <c r="AI37" i="49"/>
  <c r="AI45" i="49"/>
  <c r="AI53" i="49"/>
  <c r="AI88" i="49"/>
  <c r="AI96" i="49"/>
  <c r="AI104" i="49"/>
  <c r="AI112" i="49"/>
  <c r="AI103" i="43"/>
  <c r="AI104" i="43"/>
  <c r="AI109" i="43"/>
  <c r="AI93" i="43"/>
  <c r="AI94" i="43"/>
  <c r="AI110" i="43"/>
  <c r="AI95" i="43"/>
  <c r="AI96" i="43"/>
  <c r="AI111" i="43"/>
  <c r="AI112" i="43"/>
  <c r="AI98" i="43"/>
  <c r="AI114" i="43"/>
  <c r="AI115" i="43"/>
  <c r="AI51" i="43"/>
  <c r="AI37" i="43"/>
  <c r="B62" i="43"/>
  <c r="A116" i="49" l="1"/>
  <c r="AA38" i="6" s="1"/>
  <c r="BC101" i="43"/>
  <c r="BA104" i="43"/>
  <c r="BA110" i="49"/>
  <c r="BB51" i="49"/>
  <c r="BC46" i="43"/>
  <c r="BC39" i="50"/>
  <c r="BB112" i="50"/>
  <c r="BA39" i="43"/>
  <c r="BC100" i="43"/>
  <c r="BC45" i="43"/>
  <c r="BC54" i="43"/>
  <c r="BC111" i="43"/>
  <c r="BC110" i="50"/>
  <c r="BA105" i="50"/>
  <c r="BC105" i="50"/>
  <c r="BB105" i="50"/>
  <c r="BC96" i="50"/>
  <c r="BC52" i="50"/>
  <c r="BB95" i="49"/>
  <c r="BA94" i="49"/>
  <c r="BC94" i="49"/>
  <c r="BA93" i="49"/>
  <c r="BC93" i="49"/>
  <c r="BB93" i="49"/>
  <c r="BC113" i="50"/>
  <c r="BA113" i="50"/>
  <c r="BB113" i="50"/>
  <c r="BC104" i="50"/>
  <c r="BC99" i="50"/>
  <c r="BA99" i="50"/>
  <c r="BB99" i="50"/>
  <c r="BC35" i="50"/>
  <c r="BB108" i="50"/>
  <c r="BA108" i="50"/>
  <c r="BB95" i="50"/>
  <c r="BA95" i="50"/>
  <c r="BB88" i="50"/>
  <c r="BA44" i="50"/>
  <c r="BB44" i="50"/>
  <c r="BB37" i="50"/>
  <c r="BA37" i="50"/>
  <c r="BC102" i="49"/>
  <c r="BC115" i="50"/>
  <c r="BB115" i="50"/>
  <c r="BA115" i="50"/>
  <c r="BC101" i="50"/>
  <c r="BA97" i="50"/>
  <c r="BB97" i="50"/>
  <c r="BC97" i="50"/>
  <c r="BA96" i="50"/>
  <c r="BC51" i="50"/>
  <c r="BB39" i="50"/>
  <c r="BC38" i="50"/>
  <c r="BA109" i="49"/>
  <c r="BB109" i="49"/>
  <c r="BC109" i="49"/>
  <c r="BB92" i="49"/>
  <c r="BA92" i="49"/>
  <c r="BC92" i="49"/>
  <c r="BA91" i="49"/>
  <c r="BB91" i="49"/>
  <c r="BC91" i="49"/>
  <c r="BC41" i="49"/>
  <c r="BA49" i="49"/>
  <c r="BB104" i="43"/>
  <c r="BC53" i="43"/>
  <c r="BB92" i="50"/>
  <c r="BA92" i="50"/>
  <c r="BB35" i="50"/>
  <c r="BA35" i="50"/>
  <c r="BC54" i="50"/>
  <c r="BC53" i="50"/>
  <c r="BC47" i="50"/>
  <c r="BB112" i="49"/>
  <c r="BB106" i="49"/>
  <c r="BA106" i="49"/>
  <c r="BC106" i="49"/>
  <c r="BC88" i="49"/>
  <c r="BC114" i="50"/>
  <c r="BB114" i="50"/>
  <c r="BA114" i="50"/>
  <c r="BC107" i="50"/>
  <c r="BA107" i="50"/>
  <c r="BB107" i="50"/>
  <c r="BA101" i="50"/>
  <c r="BB101" i="50"/>
  <c r="BC93" i="50"/>
  <c r="BB38" i="50"/>
  <c r="BA38" i="50"/>
  <c r="BB114" i="49"/>
  <c r="BA114" i="49"/>
  <c r="BC114" i="49"/>
  <c r="BA107" i="49"/>
  <c r="BC107" i="49"/>
  <c r="BB107" i="49"/>
  <c r="BB103" i="49"/>
  <c r="BC103" i="49"/>
  <c r="BB90" i="49"/>
  <c r="BA90" i="49"/>
  <c r="BC90" i="49"/>
  <c r="BA103" i="50"/>
  <c r="BB103" i="50"/>
  <c r="BB96" i="50"/>
  <c r="BA39" i="50"/>
  <c r="BB111" i="49"/>
  <c r="BA111" i="49"/>
  <c r="BB104" i="49"/>
  <c r="BA104" i="49"/>
  <c r="BA102" i="49"/>
  <c r="BA96" i="43"/>
  <c r="BB111" i="50"/>
  <c r="BA111" i="50"/>
  <c r="BB104" i="50"/>
  <c r="BC103" i="50"/>
  <c r="BC91" i="50"/>
  <c r="BA91" i="50"/>
  <c r="BB91" i="50"/>
  <c r="BA53" i="50"/>
  <c r="BB53" i="50"/>
  <c r="BC46" i="50"/>
  <c r="BC112" i="49"/>
  <c r="BA112" i="49"/>
  <c r="BB110" i="49"/>
  <c r="BC105" i="49"/>
  <c r="BA105" i="49"/>
  <c r="BB105" i="49"/>
  <c r="BC111" i="50"/>
  <c r="BC106" i="50"/>
  <c r="BA106" i="50"/>
  <c r="BB106" i="50"/>
  <c r="BB94" i="50"/>
  <c r="BA94" i="50"/>
  <c r="BA93" i="50"/>
  <c r="BB93" i="50"/>
  <c r="BC92" i="50"/>
  <c r="BA48" i="50"/>
  <c r="BC48" i="50"/>
  <c r="BB48" i="50"/>
  <c r="BC42" i="50"/>
  <c r="BA42" i="50"/>
  <c r="BB42" i="50"/>
  <c r="BC113" i="49"/>
  <c r="BB113" i="49"/>
  <c r="BA113" i="49"/>
  <c r="BC95" i="49"/>
  <c r="BC89" i="49"/>
  <c r="BA89" i="49"/>
  <c r="BB89" i="49"/>
  <c r="BA102" i="50"/>
  <c r="BB102" i="50"/>
  <c r="BC100" i="50"/>
  <c r="BC94" i="50"/>
  <c r="BA89" i="50"/>
  <c r="BB89" i="50"/>
  <c r="BC89" i="50"/>
  <c r="BC50" i="50"/>
  <c r="BB50" i="50"/>
  <c r="BA50" i="50"/>
  <c r="BC43" i="50"/>
  <c r="BC36" i="50"/>
  <c r="BB110" i="50"/>
  <c r="BA110" i="50"/>
  <c r="BA109" i="50"/>
  <c r="BB109" i="50"/>
  <c r="BC108" i="50"/>
  <c r="BC102" i="50"/>
  <c r="BA52" i="50"/>
  <c r="BB52" i="50"/>
  <c r="BB45" i="50"/>
  <c r="BA45" i="50"/>
  <c r="BC37" i="50"/>
  <c r="BA115" i="49"/>
  <c r="BC115" i="49"/>
  <c r="BB115" i="49"/>
  <c r="BC110" i="49"/>
  <c r="BA103" i="49"/>
  <c r="BC43" i="43"/>
  <c r="BC37" i="43"/>
  <c r="BC109" i="50"/>
  <c r="BC98" i="50"/>
  <c r="BB98" i="50"/>
  <c r="BA98" i="50"/>
  <c r="BA54" i="50"/>
  <c r="BB54" i="50"/>
  <c r="BC45" i="50"/>
  <c r="BC41" i="50"/>
  <c r="BA41" i="50"/>
  <c r="BB41" i="50"/>
  <c r="BC40" i="50"/>
  <c r="BB40" i="50"/>
  <c r="BA40" i="50"/>
  <c r="BC111" i="49"/>
  <c r="BC104" i="49"/>
  <c r="BB100" i="50"/>
  <c r="BA100" i="50"/>
  <c r="BC49" i="50"/>
  <c r="BB49" i="50"/>
  <c r="BA49" i="50"/>
  <c r="BB43" i="50"/>
  <c r="BA43" i="50"/>
  <c r="BA36" i="50"/>
  <c r="BB36" i="50"/>
  <c r="BA95" i="49"/>
  <c r="BB94" i="49"/>
  <c r="BC112" i="50"/>
  <c r="BA88" i="50"/>
  <c r="BC88" i="50"/>
  <c r="BB51" i="50"/>
  <c r="BA51" i="50"/>
  <c r="BA108" i="49"/>
  <c r="BB108" i="49"/>
  <c r="BC108" i="49"/>
  <c r="BA101" i="49"/>
  <c r="BB101" i="49"/>
  <c r="BC101" i="49"/>
  <c r="BC95" i="50"/>
  <c r="BA90" i="50"/>
  <c r="BB90" i="50"/>
  <c r="BC90" i="50"/>
  <c r="BB46" i="50"/>
  <c r="BA46" i="50"/>
  <c r="BC44" i="50"/>
  <c r="BB102" i="49"/>
  <c r="BC35" i="43"/>
  <c r="BB92" i="43"/>
  <c r="BA92" i="43"/>
  <c r="BC115" i="43"/>
  <c r="BB115" i="43"/>
  <c r="BA115" i="43"/>
  <c r="BC39" i="43"/>
  <c r="BC49" i="43"/>
  <c r="BA49" i="43"/>
  <c r="BB49" i="43"/>
  <c r="BB43" i="43"/>
  <c r="BA43" i="43"/>
  <c r="BC90" i="43"/>
  <c r="BA90" i="43"/>
  <c r="BB90" i="43"/>
  <c r="BB102" i="43"/>
  <c r="BA102" i="43"/>
  <c r="BC113" i="43"/>
  <c r="BA113" i="43"/>
  <c r="BB113" i="43"/>
  <c r="BB95" i="43"/>
  <c r="BA95" i="43"/>
  <c r="BC110" i="43"/>
  <c r="BC95" i="43"/>
  <c r="BA105" i="43"/>
  <c r="BB105" i="43"/>
  <c r="BC105" i="43"/>
  <c r="BB108" i="43"/>
  <c r="BA108" i="43"/>
  <c r="BC112" i="43"/>
  <c r="BB98" i="43"/>
  <c r="BC98" i="43"/>
  <c r="BA98" i="43"/>
  <c r="BB96" i="43"/>
  <c r="BC89" i="43"/>
  <c r="BA89" i="43"/>
  <c r="BB89" i="43"/>
  <c r="BC97" i="43"/>
  <c r="BA97" i="43"/>
  <c r="BB97" i="43"/>
  <c r="BC36" i="43"/>
  <c r="BB100" i="43"/>
  <c r="BA100" i="43"/>
  <c r="BC93" i="43"/>
  <c r="BC94" i="43"/>
  <c r="BB51" i="43"/>
  <c r="BA51" i="43"/>
  <c r="BA52" i="43"/>
  <c r="BB52" i="43"/>
  <c r="BA48" i="43"/>
  <c r="BB48" i="43"/>
  <c r="BC48" i="43"/>
  <c r="BB112" i="43"/>
  <c r="BC108" i="43"/>
  <c r="BC91" i="43"/>
  <c r="BA91" i="43"/>
  <c r="BB91" i="43"/>
  <c r="BB94" i="43"/>
  <c r="BA94" i="43"/>
  <c r="BB35" i="43"/>
  <c r="BA35" i="43"/>
  <c r="BC44" i="43"/>
  <c r="BC47" i="43"/>
  <c r="BC96" i="43"/>
  <c r="BA53" i="43"/>
  <c r="BB53" i="43"/>
  <c r="BC102" i="43"/>
  <c r="BC114" i="43"/>
  <c r="BA114" i="43"/>
  <c r="BB114" i="43"/>
  <c r="BA101" i="43"/>
  <c r="BB101" i="43"/>
  <c r="BA109" i="43"/>
  <c r="BB109" i="43"/>
  <c r="BC50" i="43"/>
  <c r="BA50" i="43"/>
  <c r="BB50" i="43"/>
  <c r="BC104" i="43"/>
  <c r="BC51" i="43"/>
  <c r="BB45" i="43"/>
  <c r="BA45" i="43"/>
  <c r="BB46" i="43"/>
  <c r="BA46" i="43"/>
  <c r="BA47" i="43"/>
  <c r="BA36" i="43"/>
  <c r="BB36" i="43"/>
  <c r="BB39" i="43"/>
  <c r="BA93" i="43"/>
  <c r="BB93" i="43"/>
  <c r="BC92" i="43"/>
  <c r="BB41" i="43"/>
  <c r="BA41" i="43"/>
  <c r="BC41" i="43"/>
  <c r="BC42" i="43"/>
  <c r="BA42" i="43"/>
  <c r="BB42" i="43"/>
  <c r="BB103" i="43"/>
  <c r="BA103" i="43"/>
  <c r="BB37" i="43"/>
  <c r="BA37" i="43"/>
  <c r="BC103" i="43"/>
  <c r="BA44" i="43"/>
  <c r="BB44" i="43"/>
  <c r="BB38" i="43"/>
  <c r="BA38" i="43"/>
  <c r="BA110" i="43"/>
  <c r="BB110" i="43"/>
  <c r="BC38" i="43"/>
  <c r="BC107" i="43"/>
  <c r="BB107" i="43"/>
  <c r="BA107" i="43"/>
  <c r="BC109" i="43"/>
  <c r="BA54" i="43"/>
  <c r="BB54" i="43"/>
  <c r="BC99" i="43"/>
  <c r="BB99" i="43"/>
  <c r="BA99" i="43"/>
  <c r="BB106" i="43"/>
  <c r="BA106" i="43"/>
  <c r="BC106" i="43"/>
  <c r="BA111" i="43"/>
  <c r="BB111" i="43"/>
  <c r="BC52" i="43"/>
  <c r="BC40" i="43"/>
  <c r="BA40" i="43"/>
  <c r="BB40" i="43"/>
  <c r="BB47" i="43"/>
  <c r="BC97" i="49"/>
  <c r="BB97" i="49"/>
  <c r="BA97" i="49"/>
  <c r="BB98" i="49"/>
  <c r="BA98" i="49"/>
  <c r="BC98" i="49"/>
  <c r="BA99" i="49"/>
  <c r="BB99" i="49"/>
  <c r="BC99" i="49"/>
  <c r="BA38" i="49"/>
  <c r="BC38" i="49"/>
  <c r="BB38" i="49"/>
  <c r="AG38" i="49" s="1"/>
  <c r="BC52" i="49"/>
  <c r="BA52" i="49"/>
  <c r="AG52" i="49" s="1"/>
  <c r="BB52" i="49"/>
  <c r="BC50" i="49"/>
  <c r="AG50" i="49" s="1"/>
  <c r="BB50" i="49"/>
  <c r="BC49" i="49"/>
  <c r="BB49" i="49"/>
  <c r="AG49" i="49" s="1"/>
  <c r="BB43" i="49"/>
  <c r="BC36" i="49"/>
  <c r="BA36" i="49"/>
  <c r="AG36" i="49" s="1"/>
  <c r="BB36" i="49"/>
  <c r="BB42" i="49"/>
  <c r="AG42" i="49" s="1"/>
  <c r="BA54" i="49"/>
  <c r="BB54" i="49"/>
  <c r="AG54" i="49" s="1"/>
  <c r="BC54" i="49"/>
  <c r="BC43" i="49"/>
  <c r="BA43" i="49"/>
  <c r="BA50" i="49"/>
  <c r="BA47" i="49"/>
  <c r="BC47" i="49"/>
  <c r="BB47" i="49"/>
  <c r="BA40" i="49"/>
  <c r="BC40" i="49"/>
  <c r="BB40" i="49"/>
  <c r="AG40" i="49" s="1"/>
  <c r="BA41" i="49"/>
  <c r="BA42" i="49"/>
  <c r="BC51" i="49"/>
  <c r="BA51" i="49"/>
  <c r="BA39" i="49"/>
  <c r="BC39" i="49"/>
  <c r="BB39" i="49"/>
  <c r="BB41" i="49"/>
  <c r="AG41" i="49" s="1"/>
  <c r="BA48" i="49"/>
  <c r="BC48" i="49"/>
  <c r="BB48" i="49"/>
  <c r="AG48" i="49" s="1"/>
  <c r="BA46" i="49"/>
  <c r="BB46" i="49"/>
  <c r="AG46" i="49" s="1"/>
  <c r="BC46" i="49"/>
  <c r="BB45" i="49"/>
  <c r="BA45" i="49"/>
  <c r="BC45" i="49"/>
  <c r="AG45" i="49" s="1"/>
  <c r="BC44" i="49"/>
  <c r="BB44" i="49"/>
  <c r="BA44" i="49"/>
  <c r="BC42" i="49"/>
  <c r="BB53" i="49"/>
  <c r="BA53" i="49"/>
  <c r="BC53" i="49"/>
  <c r="BB37" i="49"/>
  <c r="BA37" i="49"/>
  <c r="BC37" i="49"/>
  <c r="BA100" i="49"/>
  <c r="BB100" i="49"/>
  <c r="BC100" i="49"/>
  <c r="BC96" i="49"/>
  <c r="BA96" i="49"/>
  <c r="BB96" i="49"/>
  <c r="AG51" i="49"/>
  <c r="BB35" i="49"/>
  <c r="BC35" i="49"/>
  <c r="BA35" i="49"/>
  <c r="AC116" i="50"/>
  <c r="AA116" i="50"/>
  <c r="AO40" i="6" s="1"/>
  <c r="K39" i="6" s="1"/>
  <c r="U116" i="50"/>
  <c r="AK40" i="6" s="1"/>
  <c r="J39" i="6" s="1"/>
  <c r="Q116" i="50"/>
  <c r="AG40" i="6" s="1"/>
  <c r="H39" i="6" s="1"/>
  <c r="AC116" i="49"/>
  <c r="AR38" i="6" s="1"/>
  <c r="AA116" i="49"/>
  <c r="AN38" i="6" s="1"/>
  <c r="U116" i="49"/>
  <c r="AJ38" i="6" s="1"/>
  <c r="Q116" i="49"/>
  <c r="AF38" i="6" s="1"/>
  <c r="AC55" i="50"/>
  <c r="AA55" i="50"/>
  <c r="AO20" i="6" s="1"/>
  <c r="U55" i="50"/>
  <c r="AK20" i="6" s="1"/>
  <c r="Q55" i="50"/>
  <c r="AG20" i="6" s="1"/>
  <c r="AA55" i="49"/>
  <c r="U55" i="49"/>
  <c r="Q55" i="49"/>
  <c r="AF16" i="6" s="1"/>
  <c r="AC55" i="49"/>
  <c r="AR16" i="6" s="1"/>
  <c r="N15" i="6" s="1"/>
  <c r="N16" i="6" s="1"/>
  <c r="AG69" i="50"/>
  <c r="AG16" i="50"/>
  <c r="N76" i="6"/>
  <c r="R27" i="6"/>
  <c r="M28" i="6"/>
  <c r="R26" i="6"/>
  <c r="R25" i="6"/>
  <c r="R49" i="6"/>
  <c r="R48" i="6"/>
  <c r="R47" i="6"/>
  <c r="M50" i="6"/>
  <c r="M42" i="6"/>
  <c r="M44" i="6"/>
  <c r="AN18" i="6" l="1"/>
  <c r="K17" i="6" s="1"/>
  <c r="AN16" i="6"/>
  <c r="AJ18" i="6"/>
  <c r="J17" i="6" s="1"/>
  <c r="AJ16" i="6"/>
  <c r="AG37" i="49"/>
  <c r="AG51" i="43"/>
  <c r="AG100" i="49"/>
  <c r="AG69" i="49" s="1"/>
  <c r="AG47" i="49"/>
  <c r="AF18" i="6"/>
  <c r="H17" i="6" s="1"/>
  <c r="AG16" i="49" l="1"/>
  <c r="D51" i="3"/>
  <c r="T27" i="5" l="1"/>
  <c r="AJ2" i="2" l="1"/>
  <c r="J19" i="14" l="1"/>
  <c r="C64" i="15" l="1"/>
  <c r="C65" i="15"/>
  <c r="R35" i="37" l="1"/>
  <c r="I17" i="30"/>
  <c r="H17" i="30"/>
  <c r="I37" i="30"/>
  <c r="H37" i="30"/>
  <c r="I10" i="30"/>
  <c r="H10" i="30"/>
  <c r="I30" i="30"/>
  <c r="H30" i="30"/>
  <c r="E50" i="30"/>
  <c r="D50" i="30"/>
  <c r="N35" i="30"/>
  <c r="M35" i="30"/>
  <c r="L35" i="30"/>
  <c r="K35" i="30"/>
  <c r="N34" i="30"/>
  <c r="M34" i="30"/>
  <c r="L34" i="30"/>
  <c r="K34" i="30"/>
  <c r="N26" i="30"/>
  <c r="M26" i="30"/>
  <c r="L26" i="30"/>
  <c r="K26" i="30"/>
  <c r="N15" i="30"/>
  <c r="M15" i="30"/>
  <c r="L15" i="30"/>
  <c r="K15" i="30"/>
  <c r="N14" i="30"/>
  <c r="M14" i="30"/>
  <c r="L14" i="30"/>
  <c r="K14" i="30"/>
  <c r="N6" i="30"/>
  <c r="M6" i="30"/>
  <c r="L6" i="30"/>
  <c r="K6" i="30"/>
  <c r="K43" i="47"/>
  <c r="K44" i="47" s="1"/>
  <c r="M43" i="47"/>
  <c r="M44" i="47" s="1"/>
  <c r="I43" i="47"/>
  <c r="I44" i="47" s="1"/>
  <c r="K4" i="48"/>
  <c r="M12" i="47"/>
  <c r="C11" i="47"/>
  <c r="M66" i="48"/>
  <c r="B2" i="48"/>
  <c r="J65" i="48"/>
  <c r="J60" i="48"/>
  <c r="L56" i="48"/>
  <c r="L55" i="48"/>
  <c r="M53" i="48"/>
  <c r="L53" i="48"/>
  <c r="L47" i="48"/>
  <c r="L45" i="48"/>
  <c r="L44" i="48"/>
  <c r="J43" i="48"/>
  <c r="D43" i="48"/>
  <c r="L42" i="48"/>
  <c r="F42" i="48"/>
  <c r="L32" i="48"/>
  <c r="L30" i="48"/>
  <c r="L29" i="48"/>
  <c r="J28" i="48"/>
  <c r="G28" i="48"/>
  <c r="D28" i="48"/>
  <c r="M27" i="48"/>
  <c r="F27" i="48"/>
  <c r="B8" i="48"/>
  <c r="N3" i="47"/>
  <c r="Q56" i="47"/>
  <c r="T116" i="5"/>
  <c r="T47" i="5" s="1"/>
  <c r="T49" i="5" s="1"/>
  <c r="D80" i="2"/>
  <c r="E9" i="28" s="1"/>
  <c r="BB79" i="2"/>
  <c r="AA79" i="2"/>
  <c r="J6" i="1"/>
  <c r="E11" i="46"/>
  <c r="E9" i="46"/>
  <c r="G209" i="46"/>
  <c r="E163" i="46"/>
  <c r="N93" i="46"/>
  <c r="N92" i="46"/>
  <c r="N90" i="46"/>
  <c r="D30" i="46"/>
  <c r="B244" i="46"/>
  <c r="O239" i="46"/>
  <c r="E237" i="46"/>
  <c r="E215" i="46"/>
  <c r="E207" i="46"/>
  <c r="E160" i="46"/>
  <c r="H156" i="46"/>
  <c r="E151" i="46"/>
  <c r="B137" i="46"/>
  <c r="H120" i="46"/>
  <c r="H118" i="46"/>
  <c r="D116" i="46"/>
  <c r="D114" i="46"/>
  <c r="H108" i="46"/>
  <c r="D103" i="46"/>
  <c r="D102" i="46"/>
  <c r="G93" i="46"/>
  <c r="D88" i="46"/>
  <c r="D85" i="46"/>
  <c r="D70" i="46"/>
  <c r="D67" i="46"/>
  <c r="D57" i="46"/>
  <c r="G54" i="46"/>
  <c r="G53" i="46"/>
  <c r="N52" i="46"/>
  <c r="G51" i="46"/>
  <c r="D49" i="46"/>
  <c r="D46" i="46"/>
  <c r="P40" i="46"/>
  <c r="O40" i="46"/>
  <c r="D38" i="46"/>
  <c r="K230" i="46"/>
  <c r="S9" i="46"/>
  <c r="E48" i="15"/>
  <c r="D26" i="15"/>
  <c r="D25" i="15"/>
  <c r="D24" i="15"/>
  <c r="D23" i="15"/>
  <c r="D28" i="15"/>
  <c r="E33" i="14"/>
  <c r="O11" i="14"/>
  <c r="O10" i="14"/>
  <c r="O9" i="14"/>
  <c r="L39" i="12"/>
  <c r="L38" i="12"/>
  <c r="M127" i="33"/>
  <c r="AF122" i="43"/>
  <c r="AF61" i="43"/>
  <c r="J4" i="1"/>
  <c r="S62" i="23"/>
  <c r="R118" i="23"/>
  <c r="G21" i="23"/>
  <c r="J108" i="23"/>
  <c r="D93" i="23"/>
  <c r="C93" i="6"/>
  <c r="M72" i="6"/>
  <c r="M87" i="6"/>
  <c r="M75" i="6"/>
  <c r="M58" i="6"/>
  <c r="M46" i="6"/>
  <c r="H29" i="6"/>
  <c r="M48" i="6"/>
  <c r="A35" i="43"/>
  <c r="AB5" i="43"/>
  <c r="H9" i="6"/>
  <c r="H44" i="5"/>
  <c r="H43" i="5"/>
  <c r="H41" i="5"/>
  <c r="H38" i="5"/>
  <c r="H37" i="5"/>
  <c r="C20" i="5"/>
  <c r="C21" i="5"/>
  <c r="C19" i="5"/>
  <c r="C57" i="4"/>
  <c r="D59" i="4"/>
  <c r="D56" i="4"/>
  <c r="N63" i="3"/>
  <c r="K19" i="3"/>
  <c r="BE88" i="2"/>
  <c r="BH84" i="2"/>
  <c r="BH80" i="2"/>
  <c r="BA91" i="2"/>
  <c r="BA90" i="2"/>
  <c r="BA83" i="2"/>
  <c r="BC78" i="2"/>
  <c r="O75" i="2"/>
  <c r="N74" i="2"/>
  <c r="D12" i="3" s="1"/>
  <c r="I75" i="2"/>
  <c r="I74" i="2"/>
  <c r="C5" i="2"/>
  <c r="D33" i="4"/>
  <c r="AH18" i="2"/>
  <c r="AI18" i="2"/>
  <c r="AH20" i="2"/>
  <c r="AI20" i="2"/>
  <c r="AH22" i="2"/>
  <c r="AL28" i="2"/>
  <c r="AA32" i="2"/>
  <c r="AA33" i="2"/>
  <c r="AA34" i="2"/>
  <c r="AA35" i="2"/>
  <c r="AA38" i="2"/>
  <c r="D39" i="2"/>
  <c r="T40" i="2" s="1"/>
  <c r="T58" i="2"/>
  <c r="T59" i="2"/>
  <c r="T60" i="2"/>
  <c r="T61" i="2"/>
  <c r="T62" i="2"/>
  <c r="T63" i="2"/>
  <c r="T64" i="2"/>
  <c r="T65" i="2"/>
  <c r="T66" i="2"/>
  <c r="T67" i="2"/>
  <c r="T68" i="2"/>
  <c r="AA69" i="2"/>
  <c r="AA70" i="2"/>
  <c r="F73" i="2" s="1"/>
  <c r="AG71" i="2"/>
  <c r="B72" i="2"/>
  <c r="D73" i="2"/>
  <c r="T73" i="2"/>
  <c r="Y73" i="2"/>
  <c r="AK73" i="2"/>
  <c r="AK75" i="2"/>
  <c r="AT86" i="2"/>
  <c r="AU86" i="2"/>
  <c r="AV86" i="2"/>
  <c r="AW86" i="2"/>
  <c r="AP88" i="2"/>
  <c r="AP89" i="2"/>
  <c r="BA84" i="2"/>
  <c r="AP91" i="2"/>
  <c r="BA85" i="2"/>
  <c r="T95" i="2"/>
  <c r="W95" i="2"/>
  <c r="AH96" i="2"/>
  <c r="AP95" i="2"/>
  <c r="AQ95" i="2"/>
  <c r="AP96" i="2"/>
  <c r="AQ96" i="2"/>
  <c r="AP97" i="2"/>
  <c r="AQ97" i="2"/>
  <c r="AP98" i="2"/>
  <c r="AQ98" i="2"/>
  <c r="F103" i="2"/>
  <c r="AP105" i="2"/>
  <c r="AQ105" i="2"/>
  <c r="AP106" i="2"/>
  <c r="AQ106" i="2"/>
  <c r="AP107" i="2"/>
  <c r="AQ107" i="2"/>
  <c r="AP108" i="2"/>
  <c r="AQ108" i="2"/>
  <c r="AP109" i="2"/>
  <c r="AQ109" i="2"/>
  <c r="AP116" i="2"/>
  <c r="AQ116" i="2"/>
  <c r="AP117" i="2"/>
  <c r="AQ117" i="2"/>
  <c r="AP118" i="2"/>
  <c r="AQ118" i="2"/>
  <c r="AP119" i="2"/>
  <c r="AQ119" i="2"/>
  <c r="AE121" i="2"/>
  <c r="AP120" i="2"/>
  <c r="AQ120" i="2"/>
  <c r="AP125" i="2"/>
  <c r="AQ125" i="2"/>
  <c r="AP126" i="2"/>
  <c r="AQ126" i="2"/>
  <c r="AP127" i="2"/>
  <c r="AQ127" i="2"/>
  <c r="AP128" i="2"/>
  <c r="AQ128" i="2"/>
  <c r="AP129" i="2"/>
  <c r="AQ129" i="2"/>
  <c r="AG133" i="2"/>
  <c r="K4" i="30"/>
  <c r="L4" i="30"/>
  <c r="M4" i="30"/>
  <c r="N4" i="30"/>
  <c r="K5" i="30"/>
  <c r="L5" i="30"/>
  <c r="M5" i="30"/>
  <c r="N5" i="30"/>
  <c r="K7" i="30"/>
  <c r="L7" i="30"/>
  <c r="M7" i="30"/>
  <c r="N7" i="30"/>
  <c r="K8" i="30"/>
  <c r="L8" i="30"/>
  <c r="M8" i="30"/>
  <c r="N8" i="30"/>
  <c r="K9" i="30"/>
  <c r="L9" i="30"/>
  <c r="M9" i="30"/>
  <c r="N9" i="30"/>
  <c r="K11" i="30"/>
  <c r="L11" i="30"/>
  <c r="M11" i="30"/>
  <c r="N11" i="30"/>
  <c r="K12" i="30"/>
  <c r="L12" i="30"/>
  <c r="M12" i="30"/>
  <c r="N12" i="30"/>
  <c r="K13" i="30"/>
  <c r="L13" i="30"/>
  <c r="M13" i="30"/>
  <c r="N13" i="30"/>
  <c r="K16" i="30"/>
  <c r="L16" i="30"/>
  <c r="M16" i="30"/>
  <c r="N16" i="30"/>
  <c r="K17" i="30"/>
  <c r="L17" i="30"/>
  <c r="M17" i="30"/>
  <c r="N17" i="30"/>
  <c r="K18" i="30"/>
  <c r="L18" i="30"/>
  <c r="M18" i="30"/>
  <c r="N18" i="30"/>
  <c r="K19" i="30"/>
  <c r="L19" i="30"/>
  <c r="M19" i="30"/>
  <c r="N19" i="30"/>
  <c r="H20" i="30"/>
  <c r="I20" i="30"/>
  <c r="K21" i="30"/>
  <c r="L21" i="30"/>
  <c r="M21" i="30"/>
  <c r="N21" i="30"/>
  <c r="K24" i="30"/>
  <c r="L24" i="30"/>
  <c r="M24" i="30"/>
  <c r="N24" i="30"/>
  <c r="K25" i="30"/>
  <c r="L25" i="30"/>
  <c r="M25" i="30"/>
  <c r="N25" i="30"/>
  <c r="K27" i="30"/>
  <c r="L27" i="30"/>
  <c r="M27" i="30"/>
  <c r="N27" i="30"/>
  <c r="K28" i="30"/>
  <c r="L28" i="30"/>
  <c r="M28" i="30"/>
  <c r="N28" i="30"/>
  <c r="K29" i="30"/>
  <c r="L29" i="30"/>
  <c r="M29" i="30"/>
  <c r="N29" i="30"/>
  <c r="K31" i="30"/>
  <c r="L31" i="30"/>
  <c r="M31" i="30"/>
  <c r="N31" i="30"/>
  <c r="K32" i="30"/>
  <c r="L32" i="30"/>
  <c r="M32" i="30"/>
  <c r="N32" i="30"/>
  <c r="K33" i="30"/>
  <c r="L33" i="30"/>
  <c r="M33" i="30"/>
  <c r="N33" i="30"/>
  <c r="K36" i="30"/>
  <c r="L36" i="30"/>
  <c r="M36" i="30"/>
  <c r="N36" i="30"/>
  <c r="K37" i="30"/>
  <c r="L37" i="30"/>
  <c r="M37" i="30"/>
  <c r="N37" i="30"/>
  <c r="K38" i="30"/>
  <c r="L38" i="30"/>
  <c r="M38" i="30"/>
  <c r="N38" i="30"/>
  <c r="K39" i="30"/>
  <c r="L39" i="30"/>
  <c r="M39" i="30"/>
  <c r="N39" i="30"/>
  <c r="H40" i="30"/>
  <c r="I40" i="30"/>
  <c r="K41" i="30"/>
  <c r="L41" i="30"/>
  <c r="M41" i="30"/>
  <c r="N41" i="30"/>
  <c r="D57" i="30"/>
  <c r="E57" i="30"/>
  <c r="D60" i="30"/>
  <c r="E60" i="30"/>
  <c r="L5" i="33"/>
  <c r="K10" i="33"/>
  <c r="L13" i="33"/>
  <c r="B14" i="33"/>
  <c r="B16" i="33" s="1"/>
  <c r="B17" i="33" s="1"/>
  <c r="B18" i="33" s="1"/>
  <c r="Q20" i="33"/>
  <c r="K38" i="33"/>
  <c r="AB86" i="33"/>
  <c r="Z88" i="33"/>
  <c r="R59" i="33"/>
  <c r="Z92" i="33"/>
  <c r="Z94" i="33"/>
  <c r="R63" i="33"/>
  <c r="AB95" i="33"/>
  <c r="M64" i="33"/>
  <c r="R66" i="33"/>
  <c r="B66" i="33"/>
  <c r="AB100" i="33"/>
  <c r="AB102" i="33"/>
  <c r="AB103" i="33"/>
  <c r="AB104" i="33"/>
  <c r="AB106" i="33"/>
  <c r="D87" i="33"/>
  <c r="D88" i="33"/>
  <c r="D89" i="33"/>
  <c r="C26" i="12"/>
  <c r="C27" i="12"/>
  <c r="P26" i="12"/>
  <c r="E29" i="12"/>
  <c r="J31" i="12"/>
  <c r="O29" i="12"/>
  <c r="C33" i="12"/>
  <c r="O31" i="12"/>
  <c r="D34" i="12"/>
  <c r="D35" i="12"/>
  <c r="O33" i="12"/>
  <c r="D36" i="12"/>
  <c r="O35" i="12"/>
  <c r="C38" i="12"/>
  <c r="O37" i="12"/>
  <c r="D40" i="12"/>
  <c r="E41" i="12"/>
  <c r="E42" i="12"/>
  <c r="C4" i="13"/>
  <c r="C6" i="13"/>
  <c r="C11" i="13"/>
  <c r="D14" i="13"/>
  <c r="D16" i="13"/>
  <c r="B27" i="13"/>
  <c r="L34" i="13"/>
  <c r="M34" i="13"/>
  <c r="K38" i="13"/>
  <c r="C52" i="13"/>
  <c r="J52" i="13"/>
  <c r="K53" i="13"/>
  <c r="G58" i="13"/>
  <c r="J58" i="13"/>
  <c r="D61" i="13"/>
  <c r="D62" i="13"/>
  <c r="D63" i="13"/>
  <c r="D64" i="13"/>
  <c r="D65" i="13"/>
  <c r="G66" i="13"/>
  <c r="J66" i="13"/>
  <c r="L66" i="13" s="1"/>
  <c r="L67" i="13"/>
  <c r="D71" i="13"/>
  <c r="D72" i="13"/>
  <c r="D73" i="13"/>
  <c r="D74" i="13"/>
  <c r="D75" i="13"/>
  <c r="J76" i="13"/>
  <c r="P6" i="14"/>
  <c r="E7" i="14"/>
  <c r="J7" i="14"/>
  <c r="O7" i="14"/>
  <c r="P8" i="14"/>
  <c r="I16" i="14"/>
  <c r="I18" i="14"/>
  <c r="I19" i="14"/>
  <c r="I20" i="14"/>
  <c r="I22" i="14"/>
  <c r="I27" i="14"/>
  <c r="E30" i="14"/>
  <c r="F32" i="14"/>
  <c r="I33" i="14"/>
  <c r="E35" i="14"/>
  <c r="E41" i="14"/>
  <c r="I42" i="14"/>
  <c r="D43" i="14"/>
  <c r="H44" i="14"/>
  <c r="I44" i="14"/>
  <c r="D49" i="14"/>
  <c r="D51" i="14"/>
  <c r="I52" i="14"/>
  <c r="E55" i="14"/>
  <c r="E3" i="15"/>
  <c r="M4" i="15"/>
  <c r="E5" i="15"/>
  <c r="G9" i="15"/>
  <c r="D18" i="15"/>
  <c r="D19" i="15"/>
  <c r="P20" i="15"/>
  <c r="P21" i="15"/>
  <c r="P22" i="15"/>
  <c r="X23" i="15"/>
  <c r="AA23" i="15"/>
  <c r="AA24" i="15"/>
  <c r="X25" i="15"/>
  <c r="AA25" i="15"/>
  <c r="W26" i="15"/>
  <c r="AA26" i="15"/>
  <c r="W27" i="15"/>
  <c r="AA27" i="15"/>
  <c r="W28" i="15"/>
  <c r="E43" i="15"/>
  <c r="G45" i="15"/>
  <c r="G46" i="15"/>
  <c r="G47" i="15"/>
  <c r="E50" i="15"/>
  <c r="Q50" i="15"/>
  <c r="G54" i="15"/>
  <c r="G55" i="15"/>
  <c r="G56" i="15"/>
  <c r="D66" i="15"/>
  <c r="D67" i="15"/>
  <c r="D68" i="15"/>
  <c r="D71" i="15"/>
  <c r="D73" i="15"/>
  <c r="D74" i="15"/>
  <c r="X76" i="15"/>
  <c r="H79" i="15"/>
  <c r="H89" i="15"/>
  <c r="H90" i="15"/>
  <c r="G92" i="15"/>
  <c r="G93" i="15"/>
  <c r="G94" i="15"/>
  <c r="Q96" i="15"/>
  <c r="C98" i="15"/>
  <c r="L99" i="15"/>
  <c r="Q99" i="15"/>
  <c r="K11" i="28"/>
  <c r="K22" i="28"/>
  <c r="K23" i="28"/>
  <c r="E26" i="28"/>
  <c r="E27" i="28"/>
  <c r="K29" i="28"/>
  <c r="K30" i="28"/>
  <c r="K31" i="28"/>
  <c r="K32" i="28"/>
  <c r="K33" i="28"/>
  <c r="M49" i="28"/>
  <c r="M50" i="28"/>
  <c r="M53" i="28"/>
  <c r="M56" i="28"/>
  <c r="N3" i="3"/>
  <c r="B7" i="3"/>
  <c r="M7" i="3"/>
  <c r="D22" i="3"/>
  <c r="K31" i="3"/>
  <c r="K32" i="3"/>
  <c r="D33" i="3" s="1"/>
  <c r="M33" i="3"/>
  <c r="N33" i="3"/>
  <c r="K35" i="3"/>
  <c r="K37" i="3"/>
  <c r="K38" i="3"/>
  <c r="D39" i="3"/>
  <c r="M39" i="3"/>
  <c r="N39" i="3"/>
  <c r="M41" i="3"/>
  <c r="K44" i="3"/>
  <c r="K45" i="3"/>
  <c r="K48" i="3"/>
  <c r="D49" i="3"/>
  <c r="K49" i="3"/>
  <c r="L49" i="3"/>
  <c r="I50" i="3"/>
  <c r="K51" i="3"/>
  <c r="M52" i="3"/>
  <c r="M55" i="3"/>
  <c r="M59" i="3"/>
  <c r="H9" i="4"/>
  <c r="I32" i="4"/>
  <c r="AB39" i="2" s="1"/>
  <c r="N13" i="53" s="1"/>
  <c r="H32" i="4"/>
  <c r="I55" i="4"/>
  <c r="G56" i="4" s="1"/>
  <c r="D69" i="4"/>
  <c r="R5" i="5"/>
  <c r="G17" i="5"/>
  <c r="J17" i="5"/>
  <c r="H33" i="5"/>
  <c r="S33" i="5"/>
  <c r="S34" i="5"/>
  <c r="H35" i="5"/>
  <c r="H36" i="5"/>
  <c r="S38" i="5"/>
  <c r="U65" i="5"/>
  <c r="B66" i="5"/>
  <c r="U66" i="5"/>
  <c r="S72" i="5"/>
  <c r="T83" i="5"/>
  <c r="T88" i="5" s="1"/>
  <c r="T28" i="5" s="1"/>
  <c r="C95" i="5"/>
  <c r="R100" i="5"/>
  <c r="R98" i="5"/>
  <c r="R102" i="5"/>
  <c r="R104" i="5"/>
  <c r="M3" i="6"/>
  <c r="L8" i="6"/>
  <c r="B22" i="6"/>
  <c r="M22" i="6" s="1"/>
  <c r="B23" i="6"/>
  <c r="M24" i="6" s="1"/>
  <c r="B25" i="6"/>
  <c r="M26" i="6" s="1"/>
  <c r="O51" i="6"/>
  <c r="B53" i="6"/>
  <c r="R91" i="6"/>
  <c r="D88" i="6"/>
  <c r="O98" i="6"/>
  <c r="S15" i="37"/>
  <c r="M14" i="37"/>
  <c r="S17" i="37"/>
  <c r="M17" i="37"/>
  <c r="N17" i="37"/>
  <c r="S18" i="37"/>
  <c r="S19" i="37"/>
  <c r="M20" i="37"/>
  <c r="M21" i="37"/>
  <c r="M23" i="37"/>
  <c r="O42" i="37"/>
  <c r="K44" i="37"/>
  <c r="I45" i="37"/>
  <c r="I46" i="37"/>
  <c r="K47" i="37"/>
  <c r="M48" i="37"/>
  <c r="K49" i="37"/>
  <c r="K50" i="37"/>
  <c r="M51" i="37"/>
  <c r="K52" i="37"/>
  <c r="M53" i="37"/>
  <c r="K54" i="37"/>
  <c r="O55" i="37"/>
  <c r="O56" i="37"/>
  <c r="E58" i="37"/>
  <c r="E59" i="37"/>
  <c r="K59" i="37"/>
  <c r="E60" i="37"/>
  <c r="M61" i="37"/>
  <c r="K62" i="37"/>
  <c r="K63" i="37"/>
  <c r="M64" i="37"/>
  <c r="M65" i="37"/>
  <c r="K67" i="37"/>
  <c r="K68" i="37"/>
  <c r="M69" i="37"/>
  <c r="O83" i="37"/>
  <c r="K85" i="37"/>
  <c r="I86" i="37"/>
  <c r="I87" i="37"/>
  <c r="K88" i="37"/>
  <c r="M89" i="37"/>
  <c r="O90" i="37"/>
  <c r="M92" i="37"/>
  <c r="M93" i="37"/>
  <c r="O94" i="37"/>
  <c r="O96" i="37"/>
  <c r="O97" i="37"/>
  <c r="O99" i="37"/>
  <c r="O102" i="37"/>
  <c r="U12" i="23"/>
  <c r="C14" i="23"/>
  <c r="C38" i="23"/>
  <c r="Z43" i="23"/>
  <c r="M45" i="23"/>
  <c r="I58" i="23"/>
  <c r="H60" i="23"/>
  <c r="X70" i="23"/>
  <c r="B71" i="23"/>
  <c r="U72" i="23"/>
  <c r="B73" i="23"/>
  <c r="V88" i="23"/>
  <c r="V89" i="23" s="1"/>
  <c r="V90" i="23" s="1"/>
  <c r="V92" i="23"/>
  <c r="D109" i="23"/>
  <c r="Z118" i="23"/>
  <c r="Z119" i="23"/>
  <c r="Z120" i="23"/>
  <c r="V124" i="23"/>
  <c r="Z90" i="23" s="1"/>
  <c r="X129" i="23"/>
  <c r="C3" i="40"/>
  <c r="C4" i="40"/>
  <c r="C5" i="40"/>
  <c r="D5" i="40"/>
  <c r="C8" i="40"/>
  <c r="C9" i="40"/>
  <c r="C10" i="40"/>
  <c r="D10" i="40"/>
  <c r="C19" i="40"/>
  <c r="D19" i="40"/>
  <c r="H24" i="40"/>
  <c r="C28" i="40"/>
  <c r="C29" i="40"/>
  <c r="C30" i="40"/>
  <c r="D31" i="40"/>
  <c r="C32" i="40"/>
  <c r="G3" i="1"/>
  <c r="L3" i="1"/>
  <c r="M3" i="1"/>
  <c r="N3" i="1"/>
  <c r="O3" i="1"/>
  <c r="G4" i="1"/>
  <c r="G5" i="1"/>
  <c r="G6" i="1"/>
  <c r="L6" i="1"/>
  <c r="M6" i="1"/>
  <c r="N6" i="1"/>
  <c r="O6" i="1"/>
  <c r="G7" i="1"/>
  <c r="G8" i="1"/>
  <c r="G9" i="1"/>
  <c r="G10" i="1"/>
  <c r="G11" i="1"/>
  <c r="G12" i="1"/>
  <c r="G13" i="1"/>
  <c r="G14" i="1"/>
  <c r="G15" i="1"/>
  <c r="G16" i="1"/>
  <c r="G17" i="1"/>
  <c r="G18" i="1"/>
  <c r="G19" i="1"/>
  <c r="G20" i="1"/>
  <c r="G21" i="1"/>
  <c r="G22" i="1"/>
  <c r="G23" i="1"/>
  <c r="G26" i="1"/>
  <c r="L26" i="1"/>
  <c r="M26" i="1"/>
  <c r="N26" i="1"/>
  <c r="O26" i="1"/>
  <c r="G27" i="1"/>
  <c r="G28" i="1"/>
  <c r="G29" i="1"/>
  <c r="L29" i="1"/>
  <c r="M29" i="1"/>
  <c r="N29" i="1"/>
  <c r="O29" i="1"/>
  <c r="G30" i="1"/>
  <c r="G31" i="1"/>
  <c r="G32" i="1"/>
  <c r="G33" i="1"/>
  <c r="C56" i="1" s="1"/>
  <c r="G34" i="1"/>
  <c r="G35" i="1"/>
  <c r="G36" i="1"/>
  <c r="G37" i="1"/>
  <c r="G38" i="1"/>
  <c r="G39" i="1"/>
  <c r="G40" i="1"/>
  <c r="G41" i="1"/>
  <c r="G42" i="1"/>
  <c r="G43" i="1"/>
  <c r="G44" i="1"/>
  <c r="G45" i="1"/>
  <c r="G46" i="1"/>
  <c r="D106" i="46"/>
  <c r="S12" i="46"/>
  <c r="K231" i="46"/>
  <c r="M231" i="46"/>
  <c r="S11" i="46"/>
  <c r="M230" i="46"/>
  <c r="H41" i="30"/>
  <c r="I41" i="30" s="1"/>
  <c r="H36" i="30"/>
  <c r="I36" i="30" s="1"/>
  <c r="H24" i="30"/>
  <c r="I24" i="30" s="1"/>
  <c r="H14" i="30"/>
  <c r="AI43" i="47" l="1"/>
  <c r="AJ43" i="47"/>
  <c r="AJ46" i="47" s="1"/>
  <c r="AM43" i="47"/>
  <c r="AN43" i="47"/>
  <c r="AN46" i="47" s="1"/>
  <c r="AK43" i="47"/>
  <c r="AL43" i="47"/>
  <c r="AN68" i="2"/>
  <c r="Q65" i="15"/>
  <c r="AM68" i="2"/>
  <c r="O36" i="59"/>
  <c r="M75" i="59"/>
  <c r="M80" i="59" s="1"/>
  <c r="O38" i="59"/>
  <c r="M81" i="59"/>
  <c r="M85" i="59" s="1"/>
  <c r="O93" i="59" s="1"/>
  <c r="C58" i="1"/>
  <c r="C65" i="1"/>
  <c r="K29" i="1"/>
  <c r="H29" i="1" s="1"/>
  <c r="C62" i="1"/>
  <c r="C55" i="1"/>
  <c r="H32" i="30"/>
  <c r="I32" i="30" s="1"/>
  <c r="M45" i="48"/>
  <c r="H15" i="30"/>
  <c r="I15" i="30" s="1"/>
  <c r="B10" i="58"/>
  <c r="B120" i="59"/>
  <c r="B8" i="59"/>
  <c r="J26" i="1"/>
  <c r="M44" i="48"/>
  <c r="K50" i="47"/>
  <c r="C69" i="1"/>
  <c r="C61" i="1"/>
  <c r="C54" i="1"/>
  <c r="J3" i="1"/>
  <c r="H39" i="30"/>
  <c r="I39" i="30" s="1"/>
  <c r="H33" i="30"/>
  <c r="I33" i="30" s="1"/>
  <c r="H28" i="30"/>
  <c r="I28" i="30" s="1"/>
  <c r="H25" i="30"/>
  <c r="H19" i="30"/>
  <c r="D59" i="30" s="1"/>
  <c r="H18" i="30"/>
  <c r="I18" i="30" s="1"/>
  <c r="H16" i="30"/>
  <c r="I16" i="30" s="1"/>
  <c r="E56" i="30" s="1"/>
  <c r="H13" i="30"/>
  <c r="I13" i="30" s="1"/>
  <c r="H11" i="30"/>
  <c r="I11" i="30" s="1"/>
  <c r="H9" i="30"/>
  <c r="I9" i="30" s="1"/>
  <c r="H7" i="30"/>
  <c r="I7" i="30" s="1"/>
  <c r="H5" i="30"/>
  <c r="I5" i="30" s="1"/>
  <c r="C68" i="1"/>
  <c r="K6" i="1"/>
  <c r="H6" i="1" s="1"/>
  <c r="H26" i="30"/>
  <c r="I26" i="30" s="1"/>
  <c r="H34" i="30"/>
  <c r="I34" i="30" s="1"/>
  <c r="H35" i="30"/>
  <c r="I35" i="30" s="1"/>
  <c r="E55" i="30" s="1"/>
  <c r="C66" i="1"/>
  <c r="C64" i="1"/>
  <c r="C57" i="1"/>
  <c r="C53" i="1"/>
  <c r="K13" i="52" s="1"/>
  <c r="K16" i="52" s="1"/>
  <c r="C49" i="1"/>
  <c r="C63" i="1"/>
  <c r="C52" i="1"/>
  <c r="G15" i="14"/>
  <c r="O53" i="2" s="1"/>
  <c r="H38" i="30"/>
  <c r="I38" i="30" s="1"/>
  <c r="H29" i="30"/>
  <c r="I29" i="30" s="1"/>
  <c r="H27" i="30"/>
  <c r="I27" i="30" s="1"/>
  <c r="H6" i="30"/>
  <c r="D46" i="30" s="1"/>
  <c r="H75" i="2"/>
  <c r="S67" i="15"/>
  <c r="S66" i="15"/>
  <c r="L65" i="15"/>
  <c r="O38" i="12"/>
  <c r="J42" i="12" s="1"/>
  <c r="V93" i="23"/>
  <c r="Z95" i="23" s="1"/>
  <c r="B8" i="47"/>
  <c r="C50" i="1"/>
  <c r="B9" i="52"/>
  <c r="B9" i="53"/>
  <c r="H74" i="2"/>
  <c r="H37" i="14"/>
  <c r="Z125" i="23"/>
  <c r="L15" i="33"/>
  <c r="D41" i="2"/>
  <c r="T42" i="2" s="1"/>
  <c r="C51" i="1"/>
  <c r="J35" i="13"/>
  <c r="J36" i="13" s="1"/>
  <c r="J39" i="13" s="1"/>
  <c r="J42" i="13" s="1"/>
  <c r="L43" i="13" s="1"/>
  <c r="Z92" i="23"/>
  <c r="V94" i="23"/>
  <c r="D54" i="30"/>
  <c r="I14" i="30"/>
  <c r="H12" i="30"/>
  <c r="I12" i="30" s="1"/>
  <c r="E52" i="30" s="1"/>
  <c r="H21" i="30"/>
  <c r="I21" i="30" s="1"/>
  <c r="E61" i="30" s="1"/>
  <c r="H8" i="30"/>
  <c r="D48" i="30" s="1"/>
  <c r="D56" i="30"/>
  <c r="T141" i="46"/>
  <c r="P230" i="46" s="1"/>
  <c r="M47" i="48"/>
  <c r="L17" i="33"/>
  <c r="L16" i="33"/>
  <c r="B64" i="50"/>
  <c r="B11" i="50"/>
  <c r="B8" i="6"/>
  <c r="B64" i="43"/>
  <c r="B11" i="49"/>
  <c r="B64" i="49"/>
  <c r="K53" i="2"/>
  <c r="B10" i="33"/>
  <c r="Z127" i="23"/>
  <c r="Z126" i="23"/>
  <c r="T29" i="5"/>
  <c r="T31" i="5" s="1"/>
  <c r="T50" i="5" s="1"/>
  <c r="T58" i="5" s="1"/>
  <c r="V56" i="23" s="1"/>
  <c r="V57" i="23" s="1"/>
  <c r="V59" i="23" s="1"/>
  <c r="AA37" i="2"/>
  <c r="D81" i="2"/>
  <c r="B11" i="43"/>
  <c r="AA80" i="2"/>
  <c r="AA39" i="2"/>
  <c r="L95" i="15"/>
  <c r="B4" i="48"/>
  <c r="AK72" i="2"/>
  <c r="C67" i="1"/>
  <c r="AB41" i="2"/>
  <c r="N14" i="53" s="1"/>
  <c r="G33" i="4"/>
  <c r="I25" i="30"/>
  <c r="AG16" i="43"/>
  <c r="A116" i="43"/>
  <c r="Z38" i="6" s="1"/>
  <c r="AC38" i="6" s="1"/>
  <c r="A55" i="43"/>
  <c r="Z20" i="6" s="1"/>
  <c r="AC20" i="6" s="1"/>
  <c r="L18" i="33"/>
  <c r="B19" i="33"/>
  <c r="J16" i="14"/>
  <c r="F21" i="40"/>
  <c r="H22" i="40" s="1"/>
  <c r="H4" i="30"/>
  <c r="D52" i="30"/>
  <c r="E63" i="23"/>
  <c r="V100" i="23"/>
  <c r="D103" i="23" s="1"/>
  <c r="P26" i="23"/>
  <c r="S3" i="46"/>
  <c r="C24" i="1"/>
  <c r="C47" i="1"/>
  <c r="D10" i="3"/>
  <c r="D50" i="3"/>
  <c r="D74" i="2"/>
  <c r="AA73" i="2"/>
  <c r="C60" i="1"/>
  <c r="M30" i="48"/>
  <c r="H52" i="1"/>
  <c r="V110" i="2" s="1"/>
  <c r="AI22" i="2"/>
  <c r="AE72" i="2" s="1"/>
  <c r="AB64" i="2" s="1"/>
  <c r="B9" i="4"/>
  <c r="M29" i="48"/>
  <c r="C59" i="1"/>
  <c r="H31" i="30"/>
  <c r="I31" i="30" s="1"/>
  <c r="AM70" i="2" l="1"/>
  <c r="AO73" i="2"/>
  <c r="AK74" i="2" s="1"/>
  <c r="L19" i="15" s="1"/>
  <c r="AN70" i="2"/>
  <c r="AO75" i="2"/>
  <c r="AK76" i="2" s="1"/>
  <c r="Q25" i="15" s="1"/>
  <c r="AN69" i="2"/>
  <c r="AM69" i="2"/>
  <c r="AL45" i="47"/>
  <c r="M52" i="47" s="1"/>
  <c r="AL46" i="47"/>
  <c r="O96" i="59"/>
  <c r="O101" i="59" s="1"/>
  <c r="Y38" i="2" s="1"/>
  <c r="E49" i="30"/>
  <c r="E58" i="30"/>
  <c r="E53" i="30"/>
  <c r="E51" i="30"/>
  <c r="M32" i="48"/>
  <c r="M57" i="48" s="1"/>
  <c r="E45" i="30"/>
  <c r="AB66" i="2"/>
  <c r="AB65" i="2"/>
  <c r="D47" i="30"/>
  <c r="I6" i="30"/>
  <c r="E46" i="30" s="1"/>
  <c r="D45" i="30"/>
  <c r="AB48" i="2" s="1"/>
  <c r="D49" i="30"/>
  <c r="D53" i="30"/>
  <c r="D58" i="30"/>
  <c r="I19" i="30"/>
  <c r="E59" i="30" s="1"/>
  <c r="N14" i="3" s="1"/>
  <c r="E15" i="3" s="1"/>
  <c r="L15" i="3" s="1"/>
  <c r="D61" i="30"/>
  <c r="E54" i="30"/>
  <c r="D55" i="30"/>
  <c r="E47" i="30"/>
  <c r="O28" i="12"/>
  <c r="J35" i="12"/>
  <c r="Z94" i="23"/>
  <c r="V105" i="23" s="1"/>
  <c r="Z96" i="23"/>
  <c r="Z97" i="23"/>
  <c r="M18" i="2"/>
  <c r="E26" i="2" s="1"/>
  <c r="M13" i="15" s="1"/>
  <c r="AA41" i="2"/>
  <c r="D13" i="46"/>
  <c r="G2" i="46" s="1"/>
  <c r="P9" i="46"/>
  <c r="M21" i="52"/>
  <c r="M23" i="52" s="1"/>
  <c r="K32" i="52"/>
  <c r="V66" i="23"/>
  <c r="V65" i="23"/>
  <c r="N10" i="3"/>
  <c r="K15" i="33"/>
  <c r="P12" i="46"/>
  <c r="P11" i="46"/>
  <c r="P10" i="46"/>
  <c r="S73" i="2"/>
  <c r="E156" i="46"/>
  <c r="D43" i="2"/>
  <c r="D44" i="2" s="1"/>
  <c r="AJ31" i="2"/>
  <c r="AJ32" i="2" s="1"/>
  <c r="R60" i="5"/>
  <c r="R59" i="5"/>
  <c r="Y94" i="23"/>
  <c r="L53" i="13"/>
  <c r="L47" i="13"/>
  <c r="AB49" i="2" s="1"/>
  <c r="I8" i="30"/>
  <c r="E48" i="30" s="1"/>
  <c r="Q56" i="48"/>
  <c r="AC116" i="43"/>
  <c r="AQ38" i="6" s="1"/>
  <c r="N37" i="6" s="1"/>
  <c r="N38" i="6" s="1"/>
  <c r="N50" i="6" s="1"/>
  <c r="AA116" i="43"/>
  <c r="Q116" i="43"/>
  <c r="U116" i="43"/>
  <c r="U55" i="43"/>
  <c r="AC55" i="43"/>
  <c r="AQ20" i="6" s="1"/>
  <c r="N19" i="6" s="1"/>
  <c r="N20" i="6" s="1"/>
  <c r="N28" i="6" s="1"/>
  <c r="N21" i="37" s="1"/>
  <c r="N23" i="37" s="1"/>
  <c r="AA55" i="43"/>
  <c r="Q55" i="43"/>
  <c r="AE20" i="6" s="1"/>
  <c r="H19" i="6" s="1"/>
  <c r="H20" i="6" s="1"/>
  <c r="V73" i="2"/>
  <c r="E153" i="46"/>
  <c r="N155" i="46" s="1"/>
  <c r="P4" i="46"/>
  <c r="J30" i="46"/>
  <c r="P30" i="46" s="1"/>
  <c r="E165" i="46" s="1"/>
  <c r="AG69" i="43"/>
  <c r="D82" i="2"/>
  <c r="D83" i="2" s="1"/>
  <c r="AA81" i="2"/>
  <c r="AB74" i="2"/>
  <c r="AB75" i="2"/>
  <c r="AB76" i="2"/>
  <c r="Y76" i="2"/>
  <c r="D77" i="2"/>
  <c r="AB45" i="2"/>
  <c r="D51" i="30"/>
  <c r="B20" i="33"/>
  <c r="L19" i="33"/>
  <c r="D44" i="30"/>
  <c r="O48" i="2" s="1"/>
  <c r="I4" i="30"/>
  <c r="E44" i="30" s="1"/>
  <c r="AH49" i="2" s="1"/>
  <c r="L68" i="15" l="1"/>
  <c r="L25" i="15"/>
  <c r="Q19" i="15"/>
  <c r="V98" i="23"/>
  <c r="V109" i="23" s="1"/>
  <c r="AB38" i="2"/>
  <c r="O107" i="59"/>
  <c r="O109" i="59" s="1"/>
  <c r="O113" i="59" s="1"/>
  <c r="O35" i="59" s="1"/>
  <c r="O39" i="59" s="1"/>
  <c r="J45" i="12"/>
  <c r="C49" i="12" s="1"/>
  <c r="C51" i="12" s="1"/>
  <c r="Q103" i="23"/>
  <c r="M51" i="47"/>
  <c r="V102" i="23"/>
  <c r="V103" i="23"/>
  <c r="V104" i="23"/>
  <c r="AB89" i="2"/>
  <c r="Q69" i="23"/>
  <c r="AB90" i="2"/>
  <c r="AB88" i="2"/>
  <c r="F84" i="2"/>
  <c r="AA83" i="2"/>
  <c r="D84" i="2"/>
  <c r="AA43" i="2"/>
  <c r="V106" i="23"/>
  <c r="V107" i="23" s="1"/>
  <c r="V108" i="23" s="1"/>
  <c r="V110" i="23" s="1"/>
  <c r="AB94" i="2" s="1"/>
  <c r="K27" i="52"/>
  <c r="K33" i="52" s="1"/>
  <c r="M34" i="52" s="1"/>
  <c r="M36" i="52" s="1"/>
  <c r="M49" i="52" s="1"/>
  <c r="AI16" i="6"/>
  <c r="J15" i="6" s="1"/>
  <c r="J16" i="6" s="1"/>
  <c r="AI20" i="6"/>
  <c r="J19" i="6" s="1"/>
  <c r="J20" i="6" s="1"/>
  <c r="AM16" i="6"/>
  <c r="K15" i="6" s="1"/>
  <c r="K16" i="6" s="1"/>
  <c r="AM20" i="6"/>
  <c r="K19" i="6" s="1"/>
  <c r="K20" i="6" s="1"/>
  <c r="E28" i="2"/>
  <c r="R14" i="15" s="1"/>
  <c r="Q68" i="15" s="1"/>
  <c r="N22" i="3"/>
  <c r="Y74" i="2"/>
  <c r="Y31" i="37"/>
  <c r="S34" i="37" s="1"/>
  <c r="U34" i="37" s="1"/>
  <c r="AJ34" i="2"/>
  <c r="AJ33" i="2"/>
  <c r="AI49" i="2"/>
  <c r="L28" i="13" s="1"/>
  <c r="J15" i="3"/>
  <c r="AI36" i="6"/>
  <c r="J35" i="6" s="1"/>
  <c r="J36" i="6" s="1"/>
  <c r="AI38" i="6"/>
  <c r="J37" i="6" s="1"/>
  <c r="J38" i="6" s="1"/>
  <c r="AM38" i="6"/>
  <c r="K37" i="6" s="1"/>
  <c r="K38" i="6" s="1"/>
  <c r="AM36" i="6"/>
  <c r="K35" i="6" s="1"/>
  <c r="K36" i="6" s="1"/>
  <c r="AE36" i="6"/>
  <c r="H35" i="6" s="1"/>
  <c r="H36" i="6" s="1"/>
  <c r="AE38" i="6"/>
  <c r="H37" i="6" s="1"/>
  <c r="H38" i="6" s="1"/>
  <c r="H15" i="6"/>
  <c r="H16" i="6" s="1"/>
  <c r="E173" i="46"/>
  <c r="P160" i="46"/>
  <c r="D166" i="46" s="1"/>
  <c r="E2" i="46"/>
  <c r="M53" i="47"/>
  <c r="AA82" i="2"/>
  <c r="AA44" i="2"/>
  <c r="D45" i="2"/>
  <c r="D78" i="2"/>
  <c r="AA78" i="2" s="1"/>
  <c r="I80" i="2" s="1"/>
  <c r="AA77" i="2"/>
  <c r="F78" i="2" s="1"/>
  <c r="L20" i="33"/>
  <c r="B21" i="33"/>
  <c r="I79" i="15" l="1"/>
  <c r="I90" i="15" s="1"/>
  <c r="Y37" i="2"/>
  <c r="AI48" i="2"/>
  <c r="AI47" i="2"/>
  <c r="O49" i="2"/>
  <c r="M55" i="47"/>
  <c r="G29" i="15"/>
  <c r="BI91" i="2"/>
  <c r="AR74" i="2"/>
  <c r="AP78" i="2" s="1"/>
  <c r="Q113" i="23"/>
  <c r="V60" i="2" s="1"/>
  <c r="AI101" i="2"/>
  <c r="M58" i="52"/>
  <c r="K53" i="52"/>
  <c r="K54" i="52"/>
  <c r="K56" i="52" s="1"/>
  <c r="AA45" i="2"/>
  <c r="D46" i="2"/>
  <c r="D85" i="2"/>
  <c r="AA84" i="2"/>
  <c r="L51" i="12"/>
  <c r="L53" i="12" s="1"/>
  <c r="B22" i="33"/>
  <c r="L21" i="33"/>
  <c r="AG26" i="2"/>
  <c r="AG37" i="2" s="1"/>
  <c r="AE14" i="58" s="1"/>
  <c r="AM23" i="58" l="1"/>
  <c r="AM21" i="58"/>
  <c r="AM22" i="58"/>
  <c r="AB50" i="2"/>
  <c r="M56" i="48"/>
  <c r="I34" i="15"/>
  <c r="BE77" i="2"/>
  <c r="H100" i="2"/>
  <c r="AB43" i="2"/>
  <c r="M63" i="52"/>
  <c r="AI103" i="2" s="1"/>
  <c r="N58" i="6"/>
  <c r="AC9" i="28" s="1"/>
  <c r="D86" i="2"/>
  <c r="T85" i="2"/>
  <c r="D47" i="2"/>
  <c r="AA46" i="2"/>
  <c r="B23" i="33"/>
  <c r="L22" i="33"/>
  <c r="AE23" i="58" l="1"/>
  <c r="M20" i="33"/>
  <c r="AC22" i="33"/>
  <c r="AZ80" i="2"/>
  <c r="AZ79" i="2"/>
  <c r="BI80" i="2" s="1"/>
  <c r="BI89" i="2" s="1"/>
  <c r="BI92" i="2" s="1"/>
  <c r="AO78" i="2" s="1"/>
  <c r="V102" i="2"/>
  <c r="M54" i="33"/>
  <c r="A60" i="6"/>
  <c r="C68" i="6" s="1"/>
  <c r="N72" i="6" s="1"/>
  <c r="Z31" i="37"/>
  <c r="S35" i="37" s="1"/>
  <c r="U35" i="37" s="1"/>
  <c r="R34" i="37"/>
  <c r="A62" i="6"/>
  <c r="A64" i="6"/>
  <c r="T86" i="2"/>
  <c r="D87" i="2"/>
  <c r="AA47" i="2"/>
  <c r="D48" i="2"/>
  <c r="L23" i="33"/>
  <c r="B24" i="33"/>
  <c r="L17" i="53" l="1"/>
  <c r="N20" i="53" s="1"/>
  <c r="AC3" i="28"/>
  <c r="S90" i="37"/>
  <c r="C96" i="6"/>
  <c r="W31" i="37"/>
  <c r="C70" i="6"/>
  <c r="C82" i="6"/>
  <c r="C78" i="6"/>
  <c r="N87" i="6"/>
  <c r="R92" i="6" s="1"/>
  <c r="D49" i="2"/>
  <c r="N48" i="2"/>
  <c r="AA48" i="2"/>
  <c r="D88" i="2"/>
  <c r="T87" i="2"/>
  <c r="L24" i="33"/>
  <c r="B25" i="33"/>
  <c r="AC5" i="28" l="1"/>
  <c r="N7" i="28" s="1"/>
  <c r="S32" i="37"/>
  <c r="U33" i="37" s="1"/>
  <c r="R60" i="33"/>
  <c r="AB46" i="2"/>
  <c r="L21" i="53" s="1"/>
  <c r="N26" i="53" s="1"/>
  <c r="N29" i="53" s="1"/>
  <c r="N39" i="53" s="1"/>
  <c r="D89" i="2"/>
  <c r="T88" i="2"/>
  <c r="N49" i="2"/>
  <c r="AL47" i="2" s="1"/>
  <c r="AA49" i="2"/>
  <c r="AM47" i="2" s="1"/>
  <c r="D50" i="2"/>
  <c r="B26" i="33"/>
  <c r="L25" i="33"/>
  <c r="J18" i="14" l="1"/>
  <c r="J20" i="14" s="1"/>
  <c r="H23" i="40"/>
  <c r="H25" i="40" s="1"/>
  <c r="H27" i="40" s="1"/>
  <c r="R58" i="33"/>
  <c r="P58" i="33" s="1"/>
  <c r="P57" i="33" s="1"/>
  <c r="M94" i="33" s="1"/>
  <c r="D51" i="2"/>
  <c r="AA50" i="2"/>
  <c r="D90" i="2"/>
  <c r="T89" i="2"/>
  <c r="L26" i="33"/>
  <c r="B27" i="33"/>
  <c r="M77" i="33" l="1"/>
  <c r="O118" i="33" s="1"/>
  <c r="M102" i="33"/>
  <c r="P69" i="33"/>
  <c r="P68" i="33"/>
  <c r="M88" i="33"/>
  <c r="L37" i="28"/>
  <c r="L26" i="28"/>
  <c r="D14" i="28"/>
  <c r="U15" i="28" s="1"/>
  <c r="O111" i="33"/>
  <c r="J12" i="28"/>
  <c r="D17" i="28"/>
  <c r="T90" i="2"/>
  <c r="D91" i="2"/>
  <c r="D52" i="2"/>
  <c r="AA51" i="2"/>
  <c r="B28" i="33"/>
  <c r="L27" i="33"/>
  <c r="J16" i="28" l="1"/>
  <c r="J18" i="28" s="1"/>
  <c r="L22" i="28" s="1"/>
  <c r="U14" i="28"/>
  <c r="D92" i="2"/>
  <c r="T91" i="2"/>
  <c r="F92" i="2" s="1"/>
  <c r="D53" i="2"/>
  <c r="AA52" i="2"/>
  <c r="L28" i="33"/>
  <c r="B29" i="33"/>
  <c r="N53" i="2" l="1"/>
  <c r="AL52" i="2" s="1"/>
  <c r="D54" i="2"/>
  <c r="AA53" i="2"/>
  <c r="AM52" i="2" s="1"/>
  <c r="D93" i="2"/>
  <c r="AA92" i="2"/>
  <c r="F93" i="2" s="1"/>
  <c r="B30" i="33"/>
  <c r="L29" i="33"/>
  <c r="AA93" i="2" l="1"/>
  <c r="D94" i="2"/>
  <c r="AA54" i="2"/>
  <c r="D55" i="2"/>
  <c r="L30" i="33"/>
  <c r="B31" i="33"/>
  <c r="D56" i="2" l="1"/>
  <c r="AA55" i="2"/>
  <c r="F70" i="2" s="1"/>
  <c r="D95" i="2"/>
  <c r="AA94" i="2"/>
  <c r="T63" i="23"/>
  <c r="L31" i="33"/>
  <c r="B32" i="33"/>
  <c r="AA95" i="2" l="1"/>
  <c r="D96" i="2"/>
  <c r="D57" i="2"/>
  <c r="T57" i="2" s="1"/>
  <c r="T56" i="2"/>
  <c r="F69" i="2" s="1"/>
  <c r="B33" i="33"/>
  <c r="L32" i="33"/>
  <c r="D97" i="2" l="1"/>
  <c r="D99" i="2" s="1"/>
  <c r="D100" i="2" s="1"/>
  <c r="AA96" i="2"/>
  <c r="L33" i="33"/>
  <c r="B34" i="33"/>
  <c r="AA99" i="2" l="1"/>
  <c r="AA97" i="2"/>
  <c r="AA98" i="2"/>
  <c r="L34" i="33"/>
  <c r="B35" i="33"/>
  <c r="AA100" i="2" l="1"/>
  <c r="D101" i="2"/>
  <c r="F101" i="2"/>
  <c r="L35" i="33"/>
  <c r="B36" i="33"/>
  <c r="AA101" i="2" l="1"/>
  <c r="D102" i="2"/>
  <c r="P205" i="46"/>
  <c r="E211" i="46" s="1"/>
  <c r="P210" i="46" s="1"/>
  <c r="L36" i="33"/>
  <c r="B37" i="33"/>
  <c r="D103" i="2" l="1"/>
  <c r="T102" i="2"/>
  <c r="E209" i="46"/>
  <c r="L37" i="33"/>
  <c r="B38" i="33"/>
  <c r="T103" i="2" l="1"/>
  <c r="D104" i="2"/>
  <c r="L38" i="33"/>
  <c r="B39" i="33"/>
  <c r="T104" i="2" l="1"/>
  <c r="N105" i="2"/>
  <c r="D106" i="2"/>
  <c r="L39" i="33"/>
  <c r="B40" i="33"/>
  <c r="T106" i="2" l="1"/>
  <c r="D107" i="2"/>
  <c r="B41" i="33"/>
  <c r="L40" i="33"/>
  <c r="T107" i="2" l="1"/>
  <c r="D108" i="2"/>
  <c r="B44" i="33"/>
  <c r="L42" i="33"/>
  <c r="D109" i="2" l="1"/>
  <c r="T108" i="2"/>
  <c r="B50" i="33"/>
  <c r="L44" i="33"/>
  <c r="T109" i="2" l="1"/>
  <c r="D110" i="2"/>
  <c r="L51" i="33"/>
  <c r="C70" i="33" s="1"/>
  <c r="B52" i="33"/>
  <c r="D111" i="2" l="1"/>
  <c r="T110" i="2"/>
  <c r="L55" i="33"/>
  <c r="B58" i="33"/>
  <c r="E56" i="33"/>
  <c r="D57" i="33"/>
  <c r="T111" i="2" l="1"/>
  <c r="D112" i="2"/>
  <c r="L58" i="33"/>
  <c r="C59" i="33" s="1"/>
  <c r="B59" i="33"/>
  <c r="D113" i="2" l="1"/>
  <c r="T112" i="2"/>
  <c r="F113" i="2" s="1"/>
  <c r="B60" i="33"/>
  <c r="L59" i="33"/>
  <c r="D114" i="2" l="1"/>
  <c r="AA113" i="2"/>
  <c r="Y119" i="2" s="1"/>
  <c r="F114" i="2"/>
  <c r="L62" i="33"/>
  <c r="B63" i="33"/>
  <c r="AA114" i="2" l="1"/>
  <c r="D115" i="2"/>
  <c r="L63" i="33"/>
  <c r="B70" i="33"/>
  <c r="F118" i="2" l="1"/>
  <c r="F115" i="2"/>
  <c r="AA115" i="2"/>
  <c r="D118" i="2"/>
  <c r="C123" i="33"/>
  <c r="C124" i="33"/>
  <c r="B72" i="33"/>
  <c r="L75" i="33" s="1"/>
  <c r="L71" i="33"/>
  <c r="T118" i="2" l="1"/>
  <c r="D119" i="2"/>
  <c r="B76" i="33"/>
  <c r="L77" i="33" s="1"/>
  <c r="AA119" i="2" l="1"/>
  <c r="D120" i="2"/>
  <c r="T120" i="2" s="1"/>
  <c r="B78" i="33"/>
  <c r="L81" i="33" s="1"/>
  <c r="B82" i="33" l="1"/>
  <c r="L82" i="33" l="1"/>
  <c r="C83" i="33" s="1"/>
  <c r="B83" i="33"/>
  <c r="B84" i="33" l="1"/>
  <c r="L83" i="33"/>
  <c r="C84" i="33" l="1"/>
  <c r="C85" i="33"/>
  <c r="L85" i="33"/>
  <c r="B86" i="33"/>
  <c r="L88" i="33" s="1"/>
  <c r="B90" i="33" l="1"/>
  <c r="L94" i="33" s="1"/>
  <c r="B95" i="33" l="1"/>
  <c r="L95" i="33" s="1"/>
  <c r="B96" i="33" l="1"/>
  <c r="L96" i="33" s="1"/>
  <c r="B97" i="33" l="1"/>
  <c r="L97" i="33" s="1"/>
  <c r="B98" i="33" l="1"/>
  <c r="L98" i="33" s="1"/>
  <c r="B99" i="33" l="1"/>
  <c r="L102" i="33" l="1"/>
  <c r="B104" i="33"/>
  <c r="L104" i="33" s="1"/>
  <c r="J110" i="33"/>
  <c r="B111" i="33"/>
  <c r="B112" i="33" l="1"/>
  <c r="J111" i="33"/>
  <c r="B113" i="33" l="1"/>
  <c r="L113" i="33" s="1"/>
  <c r="L112" i="33"/>
  <c r="B114" i="33" l="1"/>
  <c r="B116" i="33" s="1"/>
  <c r="J114" i="33" l="1"/>
  <c r="J116" i="33"/>
  <c r="B117" i="33"/>
  <c r="B119" i="33" l="1"/>
  <c r="B120" i="33" s="1"/>
  <c r="L117" i="33"/>
  <c r="L120" i="33" l="1"/>
  <c r="B121" i="33"/>
  <c r="L119" i="33"/>
  <c r="L121" i="33" l="1"/>
  <c r="B122" i="33"/>
  <c r="B123" i="33" l="1"/>
  <c r="L122" i="33"/>
  <c r="P144" i="46"/>
  <c r="C174" i="46" s="1"/>
  <c r="P234" i="46"/>
  <c r="P237" i="46"/>
  <c r="Q35" i="15"/>
  <c r="Q38" i="15" s="1"/>
  <c r="L35" i="15"/>
  <c r="L38" i="15" l="1"/>
  <c r="L48" i="15" s="1"/>
  <c r="B125" i="33"/>
  <c r="L126" i="33" s="1"/>
  <c r="L124" i="33"/>
  <c r="P202" i="46"/>
  <c r="N193" i="46"/>
  <c r="N182" i="46"/>
  <c r="N187" i="46"/>
  <c r="N199" i="46"/>
  <c r="Q49" i="15"/>
  <c r="Q48" i="15"/>
  <c r="Q63" i="15" s="1"/>
  <c r="L62" i="15" l="1"/>
  <c r="L63" i="15"/>
  <c r="G96" i="15"/>
  <c r="L102" i="15" s="1"/>
  <c r="C38" i="15"/>
  <c r="C40" i="15"/>
  <c r="Q102" i="15" l="1"/>
  <c r="L105" i="15" s="1"/>
  <c r="V65" i="2" s="1"/>
  <c r="AB69" i="2" s="1"/>
  <c r="J22" i="14" l="1"/>
  <c r="D25" i="14" l="1"/>
  <c r="D27" i="14"/>
  <c r="J33" i="14" l="1"/>
  <c r="J27" i="14"/>
  <c r="H36" i="14" s="1"/>
  <c r="D39" i="14" l="1"/>
  <c r="J44" i="14" s="1"/>
  <c r="D42" i="14"/>
  <c r="J51" i="14" l="1"/>
  <c r="J42" i="14"/>
  <c r="J46" i="14" s="1"/>
  <c r="J47" i="14" s="1"/>
  <c r="J48" i="14" s="1"/>
  <c r="J45" i="14" l="1"/>
  <c r="J49" i="14" s="1"/>
  <c r="J50" i="14" s="1"/>
  <c r="J52" i="14" s="1"/>
  <c r="AB53" i="2" s="1"/>
  <c r="AB55" i="2" l="1"/>
  <c r="AB70" i="2" s="1"/>
  <c r="M40" i="59" s="1"/>
  <c r="AT37" i="58"/>
  <c r="AU39" i="58" s="1"/>
  <c r="AU22" i="58" l="1"/>
  <c r="AU41" i="58" s="1"/>
  <c r="M17" i="58" s="1"/>
  <c r="AE19" i="58" s="1"/>
  <c r="P49" i="59"/>
  <c r="AZ107" i="2"/>
  <c r="BG111" i="2" s="1"/>
  <c r="N34" i="46"/>
  <c r="N46" i="46" s="1"/>
  <c r="E59" i="46" s="1"/>
  <c r="N60" i="46" s="1"/>
  <c r="P67" i="46" s="1"/>
  <c r="J10" i="3"/>
  <c r="L12" i="3" s="1"/>
  <c r="N13" i="3" s="1"/>
  <c r="AG28" i="3" s="1"/>
  <c r="J50" i="3"/>
  <c r="L51" i="3" s="1"/>
  <c r="N52" i="3" s="1"/>
  <c r="AG26" i="33" s="1"/>
  <c r="D59" i="3"/>
  <c r="AA40" i="53"/>
  <c r="AA53" i="53" s="1"/>
  <c r="L41" i="53" s="1"/>
  <c r="L43" i="53" s="1"/>
  <c r="N44" i="53" s="1"/>
  <c r="N46" i="53" s="1"/>
  <c r="AI102" i="2" s="1"/>
  <c r="AB100" i="2" s="1"/>
  <c r="AG23" i="33"/>
  <c r="D57" i="3"/>
  <c r="AB73" i="2"/>
  <c r="E33" i="51"/>
  <c r="AZ104" i="2"/>
  <c r="BI109" i="2" l="1"/>
  <c r="AM50" i="58"/>
  <c r="AM49" i="58"/>
  <c r="AM48" i="58"/>
  <c r="AM51" i="58" s="1"/>
  <c r="O49" i="59"/>
  <c r="BG121" i="2"/>
  <c r="BG120" i="2" s="1"/>
  <c r="BG124" i="2" s="1"/>
  <c r="BI127" i="2" s="1"/>
  <c r="BI129" i="2" s="1"/>
  <c r="BI132" i="2" s="1"/>
  <c r="BI133" i="2" s="1"/>
  <c r="AB79" i="2" s="1"/>
  <c r="E61" i="46"/>
  <c r="AG26" i="3"/>
  <c r="V41" i="3" s="1"/>
  <c r="L100" i="2"/>
  <c r="E72" i="46"/>
  <c r="E79" i="46"/>
  <c r="AE26" i="58" l="1"/>
  <c r="AQ78" i="58" s="1"/>
  <c r="V38" i="3"/>
  <c r="P78" i="46"/>
  <c r="H72" i="46"/>
  <c r="AG41" i="3"/>
  <c r="AD43" i="3" s="1"/>
  <c r="AD45" i="3"/>
  <c r="AD48" i="3"/>
  <c r="D30" i="58" l="1"/>
  <c r="D28" i="58"/>
  <c r="AR78" i="58"/>
  <c r="V52" i="3"/>
  <c r="V55" i="3"/>
  <c r="Q65" i="58" l="1"/>
  <c r="V65" i="58" s="1"/>
  <c r="AA65" i="58" s="1"/>
  <c r="V49" i="58"/>
  <c r="Q60" i="58"/>
  <c r="V60" i="58" s="1"/>
  <c r="AA60" i="58" s="1"/>
  <c r="Q57" i="58"/>
  <c r="V57" i="58" s="1"/>
  <c r="AA57" i="58" s="1"/>
  <c r="Q56" i="58"/>
  <c r="V56" i="58" s="1"/>
  <c r="AA56" i="58" s="1"/>
  <c r="Q54" i="58"/>
  <c r="V54" i="58" s="1"/>
  <c r="AA54" i="58" s="1"/>
  <c r="Q58" i="58"/>
  <c r="V58" i="58" s="1"/>
  <c r="AA58" i="58" s="1"/>
  <c r="AE33" i="58"/>
  <c r="M36" i="58" s="1"/>
  <c r="AE36" i="58" s="1"/>
  <c r="Q61" i="58"/>
  <c r="V61" i="58" s="1"/>
  <c r="AA61" i="58" s="1"/>
  <c r="AA49" i="58"/>
  <c r="Q63" i="58"/>
  <c r="V63" i="58" s="1"/>
  <c r="AA63" i="58" s="1"/>
  <c r="Q59" i="58"/>
  <c r="V59" i="58" s="1"/>
  <c r="AA59" i="58" s="1"/>
  <c r="Q62" i="58"/>
  <c r="V62" i="58" s="1"/>
  <c r="AA62" i="58" s="1"/>
  <c r="Q55" i="58"/>
  <c r="V55" i="58" s="1"/>
  <c r="AA55" i="58" s="1"/>
  <c r="Q64" i="58"/>
  <c r="V64" i="58" s="1"/>
  <c r="AA64" i="58" s="1"/>
  <c r="AD55" i="3"/>
  <c r="AD57" i="3" s="1"/>
  <c r="AG59" i="3" s="1"/>
  <c r="AL66" i="58" l="1"/>
  <c r="AE66" i="58" s="1"/>
  <c r="AE69" i="58" s="1"/>
  <c r="Q49" i="58"/>
  <c r="AC25" i="33"/>
  <c r="AC27" i="33" s="1"/>
  <c r="AG61" i="3"/>
  <c r="AG62" i="3"/>
  <c r="N59" i="3" s="1"/>
  <c r="AE74" i="58" l="1"/>
  <c r="AE70" i="58"/>
  <c r="V108" i="2" s="1"/>
  <c r="AB113" i="2" s="1"/>
  <c r="E36" i="51" s="1"/>
  <c r="AE72" i="58"/>
  <c r="AQ76" i="2"/>
  <c r="AQ78" i="2"/>
  <c r="AP76" i="2"/>
  <c r="P2" i="3"/>
  <c r="AE77" i="58" l="1"/>
  <c r="AB83" i="2" s="1"/>
  <c r="AB77" i="2"/>
  <c r="AM79" i="2"/>
  <c r="P10" i="33" s="1"/>
  <c r="U13" i="33"/>
  <c r="AC20" i="33" s="1"/>
  <c r="U11" i="33"/>
  <c r="AC11" i="33" s="1"/>
  <c r="O12" i="33"/>
  <c r="AB78" i="2" l="1"/>
  <c r="AB80" i="2" s="1"/>
  <c r="E34" i="51" s="1"/>
  <c r="M19" i="33"/>
  <c r="I20" i="33" s="1"/>
  <c r="M15" i="33"/>
  <c r="M18" i="33"/>
  <c r="P12" i="33"/>
  <c r="M16" i="33"/>
  <c r="AC18" i="33"/>
  <c r="AC13" i="33"/>
  <c r="AC16" i="33"/>
  <c r="L11" i="28" l="1"/>
  <c r="L23" i="28" s="1"/>
  <c r="T43" i="28" s="1"/>
  <c r="M13" i="33"/>
  <c r="P40" i="33" s="1"/>
  <c r="P41" i="33" s="1"/>
  <c r="M41" i="33" s="1"/>
  <c r="AB31" i="37"/>
  <c r="S36" i="37" s="1"/>
  <c r="U36" i="37" s="1"/>
  <c r="U31" i="37" s="1"/>
  <c r="S31" i="37" s="1"/>
  <c r="R31" i="37" s="1"/>
  <c r="R36" i="37"/>
  <c r="AO84" i="2"/>
  <c r="AT87" i="2" s="1"/>
  <c r="AC29" i="33"/>
  <c r="L39" i="28" l="1"/>
  <c r="L28" i="28"/>
  <c r="L29" i="28" s="1"/>
  <c r="L30" i="28" s="1"/>
  <c r="L40" i="28" s="1"/>
  <c r="L41" i="28" s="1"/>
  <c r="AN81" i="2"/>
  <c r="L31" i="28"/>
  <c r="T52" i="28"/>
  <c r="Z55" i="28" s="1"/>
  <c r="Y46" i="28"/>
  <c r="Z46" i="28"/>
  <c r="T44" i="28"/>
  <c r="T45" i="28" s="1"/>
  <c r="T46" i="28" s="1"/>
  <c r="W46" i="28" s="1"/>
  <c r="AB46" i="28"/>
  <c r="AA46" i="28"/>
  <c r="P42" i="37"/>
  <c r="W102" i="37" s="1"/>
  <c r="L44" i="37"/>
  <c r="N53" i="37"/>
  <c r="L47" i="37"/>
  <c r="L59" i="37"/>
  <c r="N61" i="37" s="1"/>
  <c r="L49" i="37"/>
  <c r="N51" i="37" s="1"/>
  <c r="L54" i="37" s="1"/>
  <c r="L50" i="37"/>
  <c r="AU87" i="2"/>
  <c r="AO85" i="2"/>
  <c r="AO86" i="2" s="1"/>
  <c r="AO87" i="2" s="1"/>
  <c r="AS86" i="2" s="1"/>
  <c r="AW87" i="2"/>
  <c r="AV87" i="2"/>
  <c r="M95" i="33"/>
  <c r="M104" i="33" s="1"/>
  <c r="U40" i="33"/>
  <c r="U38" i="33"/>
  <c r="M42" i="33"/>
  <c r="L32" i="28" l="1"/>
  <c r="L33" i="28" s="1"/>
  <c r="L42" i="28" s="1"/>
  <c r="N43" i="28" s="1"/>
  <c r="T48" i="28"/>
  <c r="T53" i="28"/>
  <c r="T54" i="28" s="1"/>
  <c r="T55" i="28" s="1"/>
  <c r="V55" i="28" s="1"/>
  <c r="N48" i="37"/>
  <c r="AA55" i="28"/>
  <c r="L52" i="37"/>
  <c r="Y55" i="28"/>
  <c r="T57" i="28" s="1"/>
  <c r="AB55" i="28"/>
  <c r="X45" i="28"/>
  <c r="V45" i="28"/>
  <c r="X46" i="28"/>
  <c r="V46" i="28"/>
  <c r="U46" i="28"/>
  <c r="P55" i="37"/>
  <c r="M75" i="33" s="1"/>
  <c r="M81" i="33" s="1"/>
  <c r="L63" i="37"/>
  <c r="U45" i="28"/>
  <c r="W45" i="28"/>
  <c r="P56" i="37"/>
  <c r="L62" i="37" s="1"/>
  <c r="N65" i="37" s="1"/>
  <c r="S65" i="37"/>
  <c r="S66" i="37" s="1"/>
  <c r="AO89" i="2"/>
  <c r="AP86" i="2"/>
  <c r="AR87" i="2"/>
  <c r="AQ86" i="2"/>
  <c r="AS87" i="2"/>
  <c r="AR86" i="2"/>
  <c r="AP87" i="2"/>
  <c r="AQ87" i="2"/>
  <c r="AG49" i="33"/>
  <c r="AA88" i="33" s="1"/>
  <c r="AC44" i="33"/>
  <c r="U51" i="33" s="1"/>
  <c r="AC40" i="33"/>
  <c r="AB105" i="37"/>
  <c r="AE105" i="37"/>
  <c r="AC105" i="37"/>
  <c r="AD105" i="37"/>
  <c r="W103" i="37"/>
  <c r="W104" i="37" s="1"/>
  <c r="W105" i="37" s="1"/>
  <c r="X55" i="28" l="1"/>
  <c r="U54" i="28"/>
  <c r="V54" i="28"/>
  <c r="U55" i="28"/>
  <c r="W54" i="28"/>
  <c r="X54" i="28"/>
  <c r="W55" i="28"/>
  <c r="T47" i="28"/>
  <c r="N49" i="28" s="1"/>
  <c r="N64" i="37"/>
  <c r="M109" i="33" s="1"/>
  <c r="L76" i="37"/>
  <c r="L73" i="37"/>
  <c r="L75" i="37" s="1"/>
  <c r="L67" i="37"/>
  <c r="AO88" i="2"/>
  <c r="AC104" i="33"/>
  <c r="V83" i="33"/>
  <c r="AA92" i="33"/>
  <c r="AA94" i="33" s="1"/>
  <c r="AC95" i="33" s="1"/>
  <c r="AC86" i="33"/>
  <c r="W107" i="37"/>
  <c r="L44" i="28"/>
  <c r="L45" i="28" s="1"/>
  <c r="N46" i="28" s="1"/>
  <c r="N50" i="28" s="1"/>
  <c r="U49" i="33"/>
  <c r="X104" i="37"/>
  <c r="X105" i="37"/>
  <c r="Z105" i="37"/>
  <c r="Z104" i="37"/>
  <c r="AA104" i="37"/>
  <c r="Y104" i="37"/>
  <c r="AA105" i="37"/>
  <c r="Y105" i="37"/>
  <c r="P65" i="37"/>
  <c r="L68" i="37"/>
  <c r="T56" i="28" l="1"/>
  <c r="N53" i="28" s="1"/>
  <c r="W92" i="37"/>
  <c r="AD95" i="37" s="1"/>
  <c r="L77" i="37"/>
  <c r="N56" i="28"/>
  <c r="AC100" i="33"/>
  <c r="AC106" i="33" s="1"/>
  <c r="M44" i="33" s="1"/>
  <c r="M51" i="33" s="1"/>
  <c r="M71" i="33" s="1"/>
  <c r="W106" i="37"/>
  <c r="P99" i="37" s="1"/>
  <c r="AC51" i="33"/>
  <c r="AC53" i="33" s="1"/>
  <c r="AC55" i="33" s="1"/>
  <c r="AC61" i="33" s="1"/>
  <c r="AC49" i="33"/>
  <c r="N69" i="37"/>
  <c r="N78" i="37" s="1"/>
  <c r="P79" i="37" s="1"/>
  <c r="AC95" i="37"/>
  <c r="AB95" i="37" l="1"/>
  <c r="W97" i="37" s="1"/>
  <c r="W93" i="37"/>
  <c r="W94" i="37" s="1"/>
  <c r="W95" i="37" s="1"/>
  <c r="Z95" i="37" s="1"/>
  <c r="AE95" i="37"/>
  <c r="M124" i="33"/>
  <c r="M96" i="33"/>
  <c r="M97" i="33" s="1"/>
  <c r="M98" i="33" s="1"/>
  <c r="K110" i="33" s="1"/>
  <c r="K111" i="33" s="1"/>
  <c r="M82" i="33"/>
  <c r="M83" i="33" s="1"/>
  <c r="M85" i="33" s="1"/>
  <c r="R57" i="33"/>
  <c r="U61" i="33"/>
  <c r="U59" i="33"/>
  <c r="L80" i="37"/>
  <c r="S80" i="37" s="1"/>
  <c r="AA95" i="37" l="1"/>
  <c r="X95" i="37"/>
  <c r="X94" i="37"/>
  <c r="Y95" i="37"/>
  <c r="Y94" i="37"/>
  <c r="Z94" i="37"/>
  <c r="AA94" i="37"/>
  <c r="M112" i="33"/>
  <c r="O109" i="33"/>
  <c r="S81" i="37"/>
  <c r="S91" i="37"/>
  <c r="J86" i="37"/>
  <c r="L85" i="37"/>
  <c r="S84" i="37"/>
  <c r="N82" i="37"/>
  <c r="P83" i="37" s="1"/>
  <c r="J87" i="37"/>
  <c r="L88" i="37" s="1"/>
  <c r="W96" i="37" l="1"/>
  <c r="P96" i="37" s="1"/>
  <c r="M113" i="33"/>
  <c r="K114" i="33"/>
  <c r="O115" i="33" s="1"/>
  <c r="N89" i="37"/>
  <c r="P90" i="37" l="1"/>
  <c r="N92" i="37"/>
  <c r="N93" i="37" s="1"/>
  <c r="P94" i="37" s="1"/>
  <c r="P118" i="33"/>
  <c r="P115" i="33"/>
  <c r="K116" i="33"/>
  <c r="M119" i="33" s="1"/>
  <c r="M120" i="33" s="1"/>
  <c r="M121" i="33" s="1"/>
  <c r="P97" i="37" l="1"/>
  <c r="P102" i="37" s="1"/>
  <c r="M117" i="33"/>
  <c r="M122" i="33" s="1"/>
  <c r="M126" i="33" s="1"/>
  <c r="M55" i="33" s="1"/>
  <c r="M59" i="33" s="1"/>
  <c r="AB81" i="2" l="1"/>
  <c r="O55" i="59" l="1"/>
  <c r="M62" i="33"/>
  <c r="M63" i="33" s="1"/>
  <c r="AB82" i="2" s="1"/>
  <c r="AB84" i="2" s="1"/>
  <c r="O57" i="59" s="1"/>
  <c r="AC65" i="33"/>
  <c r="M57" i="59"/>
  <c r="O59" i="59" s="1"/>
  <c r="P85" i="46"/>
  <c r="U69" i="33" l="1"/>
  <c r="P2" i="33" s="1"/>
  <c r="U71" i="33"/>
  <c r="V86" i="2"/>
  <c r="N91" i="46" s="1"/>
  <c r="N99" i="46" s="1"/>
  <c r="P109" i="46" s="1"/>
  <c r="P114" i="46" s="1"/>
  <c r="AI82" i="2" l="1"/>
  <c r="M2" i="33"/>
  <c r="E118" i="46"/>
  <c r="P119" i="46" s="1"/>
  <c r="V89" i="2" s="1"/>
  <c r="AB92" i="2" s="1"/>
  <c r="AB93" i="2" s="1"/>
  <c r="E120" i="46"/>
  <c r="AB101" i="2" l="1"/>
  <c r="AB119" i="2" l="1"/>
  <c r="AB114" i="2"/>
  <c r="E35" i="51"/>
  <c r="E39" i="51" s="1"/>
  <c r="B37" i="51" l="1"/>
  <c r="E37" i="51"/>
  <c r="AB115" i="2"/>
  <c r="S117" i="2" s="1"/>
  <c r="G37" i="51"/>
  <c r="AI117" i="2"/>
  <c r="F120" i="2"/>
  <c r="AB118" i="2"/>
  <c r="AB116" i="2"/>
  <c r="AB117" i="2"/>
</calcChain>
</file>

<file path=xl/sharedStrings.xml><?xml version="1.0" encoding="utf-8"?>
<sst xmlns="http://schemas.openxmlformats.org/spreadsheetml/2006/main" count="4389" uniqueCount="2798">
  <si>
    <t>2.</t>
  </si>
  <si>
    <t>3.</t>
  </si>
  <si>
    <t>deduction, check here</t>
  </si>
  <si>
    <t>and that of your beneficiary?</t>
  </si>
  <si>
    <t xml:space="preserve">     enter on line 3 …</t>
  </si>
  <si>
    <r>
      <t>Next.</t>
    </r>
    <r>
      <rPr>
        <sz val="10"/>
        <rFont val="Arial"/>
        <family val="2"/>
      </rPr>
      <t xml:space="preserve"> If you checked “No” on line 1a (and “No” on line 1b if married filing jointly), </t>
    </r>
  </si>
  <si>
    <t>Otherwise, go to line 2.</t>
  </si>
  <si>
    <t>that applies to you.</t>
  </si>
  <si>
    <r>
      <t>Subtract line 5 from line 2 in each column.</t>
    </r>
    <r>
      <rPr>
        <sz val="10"/>
        <rFont val="Arial"/>
        <family val="2"/>
      </rPr>
      <t xml:space="preserve">  Follow the instruction below</t>
    </r>
  </si>
  <si>
    <t>If single, head of household, or married filing separately, and the</t>
  </si>
  <si>
    <t>line 7 for that column and go to line 8.</t>
  </si>
  <si>
    <t xml:space="preserve">  correct.  Any needed changes may be made using the manual</t>
  </si>
  <si>
    <r>
      <t xml:space="preserve">Additional tax on IRAs, other qualified retirement plans, etc. Attach Form 5329 if required </t>
    </r>
    <r>
      <rPr>
        <b/>
        <sz val="9"/>
        <rFont val="Arial"/>
        <family val="2"/>
      </rPr>
      <t>.   .   .   .   .   .   .   .   .   .   .   .   .   .   .   .   .   .   .</t>
    </r>
  </si>
  <si>
    <t>.   .   .   .   .   .   .   .   .   .   .   .   .   .   .   .   .</t>
  </si>
  <si>
    <t xml:space="preserve">     Alternative Minimum Tax</t>
  </si>
  <si>
    <t>1099-DIV or</t>
  </si>
  <si>
    <r>
      <t xml:space="preserve">Enter the </t>
    </r>
    <r>
      <rPr>
        <b/>
        <sz val="9"/>
        <rFont val="Arial"/>
        <family val="2"/>
      </rPr>
      <t>smaller</t>
    </r>
    <r>
      <rPr>
        <sz val="9"/>
        <rFont val="Arial"/>
        <family val="2"/>
      </rPr>
      <t xml:space="preserve"> of line 15 or 16 of</t>
    </r>
  </si>
  <si>
    <t>Subtract line 5 from line 4.  If zero or less, enter -0-</t>
  </si>
  <si>
    <t>Subtract line 6 from line 1.  If zero or less, enter -0-</t>
  </si>
  <si>
    <t>1a</t>
  </si>
  <si>
    <t>1a.</t>
  </si>
  <si>
    <t>1b.</t>
  </si>
  <si>
    <t>1b</t>
  </si>
  <si>
    <t>Home mortgage interest not reported to you on Form 1098. If paid</t>
  </si>
  <si>
    <r>
      <t xml:space="preserve">and show that person's name, identifying no., &amp; address   </t>
    </r>
    <r>
      <rPr>
        <sz val="10"/>
        <rFont val="Marlett"/>
        <charset val="2"/>
      </rPr>
      <t>4</t>
    </r>
  </si>
  <si>
    <t>THEN enter on line 3. . .</t>
  </si>
  <si>
    <t>Taxes You</t>
  </si>
  <si>
    <r>
      <t>Yes.</t>
    </r>
    <r>
      <rPr>
        <sz val="10"/>
        <rFont val="Arial"/>
        <family val="2"/>
      </rPr>
      <t xml:space="preserve">  Add</t>
    </r>
  </si>
  <si>
    <r>
      <t xml:space="preserve">No. </t>
    </r>
    <r>
      <rPr>
        <sz val="10"/>
        <rFont val="Arial"/>
        <family val="2"/>
      </rPr>
      <t>Enter</t>
    </r>
  </si>
  <si>
    <r>
      <t xml:space="preserve">Is  your  </t>
    </r>
    <r>
      <rPr>
        <b/>
        <sz val="10"/>
        <rFont val="Arial"/>
        <family val="2"/>
      </rPr>
      <t>earned income*</t>
    </r>
    <r>
      <rPr>
        <sz val="10"/>
        <rFont val="Arial"/>
        <family val="2"/>
      </rPr>
      <t xml:space="preserve"> </t>
    </r>
  </si>
  <si>
    <r>
      <t>No.</t>
    </r>
    <r>
      <rPr>
        <sz val="10"/>
        <rFont val="Arial"/>
        <family val="2"/>
      </rPr>
      <t xml:space="preserve"> Skip lines 18 through 21, and go to line 22.</t>
    </r>
  </si>
  <si>
    <t>instructions</t>
  </si>
  <si>
    <t>Attach Form(s)</t>
  </si>
  <si>
    <t>W-2 here. Also</t>
  </si>
  <si>
    <t>attach Forms</t>
  </si>
  <si>
    <t>W-2G and</t>
  </si>
  <si>
    <t>1099-R if tax</t>
  </si>
  <si>
    <t>was withheld.</t>
  </si>
  <si>
    <t>Some investment is not</t>
  </si>
  <si>
    <t>at risk.</t>
  </si>
  <si>
    <r>
      <t xml:space="preserve">Are lines 15 and 16 </t>
    </r>
    <r>
      <rPr>
        <b/>
        <sz val="10"/>
        <rFont val="Arial"/>
        <family val="2"/>
      </rPr>
      <t>both</t>
    </r>
    <r>
      <rPr>
        <sz val="10"/>
        <rFont val="Arial"/>
        <family val="2"/>
      </rPr>
      <t xml:space="preserve"> gains?</t>
    </r>
  </si>
  <si>
    <r>
      <t xml:space="preserve">Are lines 18 and 19 </t>
    </r>
    <r>
      <rPr>
        <b/>
        <sz val="10"/>
        <rFont val="Arial"/>
        <family val="2"/>
      </rPr>
      <t>both</t>
    </r>
    <r>
      <rPr>
        <sz val="10"/>
        <rFont val="Arial"/>
        <family val="2"/>
      </rPr>
      <t xml:space="preserve"> zero or blank?</t>
    </r>
  </si>
  <si>
    <t>Spouses IRA</t>
  </si>
  <si>
    <t>Repairs and maintenance</t>
  </si>
  <si>
    <t>Single, head of household, qualifying widow(er), or married filing</t>
  </si>
  <si>
    <r>
      <t>l</t>
    </r>
    <r>
      <rPr>
        <sz val="10"/>
        <rFont val="Arial"/>
        <family val="2"/>
      </rPr>
      <t xml:space="preserve"> </t>
    </r>
  </si>
  <si>
    <t>Enter the total of any collectibles gain reported to you on:</t>
  </si>
  <si>
    <t>Note:</t>
  </si>
  <si>
    <t xml:space="preserve"> Spouse .   .   .   .   .   .   .   .   .   .   .   .   .   .   .   .   .   .   .   .   .   .   .   .   .   .   .   .   .   .   .   .   .   .   .   .   .   .   .   .   .   .   .   .</t>
  </si>
  <si>
    <t>Subtract line 10 from line 1. If zero or less, enter -0-</t>
  </si>
  <si>
    <r>
      <t xml:space="preserve">These are your  </t>
    </r>
    <r>
      <rPr>
        <b/>
        <sz val="9"/>
        <rFont val="Arial"/>
        <family val="2"/>
      </rPr>
      <t>total credits   .   .   .   .   .   .   .   .   .   .   .   .   .   .   .   .   .   .   .   .   .</t>
    </r>
  </si>
  <si>
    <t xml:space="preserve"> .   .   .   .   .   .   .   .   .   .   .   .   .   .   .   .   .   .   .   .   .   .   .   .   .   .   .   .   .   .   .   .   .   .   .   .   .   .   .   .</t>
  </si>
  <si>
    <t>dividends shown</t>
  </si>
  <si>
    <t>on that form.</t>
  </si>
  <si>
    <t>5.</t>
  </si>
  <si>
    <t>Travel, meals and entertainment:</t>
  </si>
  <si>
    <t>If Form 8888 is attached, check here</t>
  </si>
  <si>
    <r>
      <t xml:space="preserve">Self-employed SEP, SIMPLE, and qualified plans </t>
    </r>
    <r>
      <rPr>
        <b/>
        <sz val="9"/>
        <rFont val="Arial"/>
        <family val="2"/>
      </rPr>
      <t xml:space="preserve"> .   .   .   .   .   .   .   .   .   .   .   .   .   .   .   .   .   .   .   .   .   .   .   .   .   .   .   .   .   .   .   .   .   .   .   .   .   .   .   .   .</t>
    </r>
  </si>
  <si>
    <r>
      <t xml:space="preserve">Yes. </t>
    </r>
    <r>
      <rPr>
        <sz val="10"/>
        <rFont val="Arial"/>
        <family val="2"/>
      </rPr>
      <t xml:space="preserve"> Subtract line 8 from line 7</t>
    </r>
  </si>
  <si>
    <t>enter the result on line 16. Then go to line 17</t>
  </si>
  <si>
    <r>
      <t xml:space="preserve">Moving expenses. Attach Form 3903 </t>
    </r>
    <r>
      <rPr>
        <b/>
        <sz val="9"/>
        <rFont val="Arial"/>
        <family val="2"/>
      </rPr>
      <t>.   .   .   .   .   .   .   .   .   .   .   .   .   .   .   .   .   .   .   .   .   .   .   .   .   .   .   .   .   .   .   .   .   .   .   .   .   .   .   .   .</t>
    </r>
  </si>
  <si>
    <t>Income</t>
  </si>
  <si>
    <t>a</t>
  </si>
  <si>
    <t>8a</t>
  </si>
  <si>
    <r>
      <t>Tax-exempt</t>
    </r>
    <r>
      <rPr>
        <sz val="9"/>
        <rFont val="Arial"/>
        <family val="2"/>
      </rPr>
      <t xml:space="preserve"> interest.  </t>
    </r>
    <r>
      <rPr>
        <b/>
        <sz val="9"/>
        <rFont val="Arial"/>
        <family val="2"/>
      </rPr>
      <t>Do not</t>
    </r>
    <r>
      <rPr>
        <sz val="9"/>
        <rFont val="Arial"/>
        <family val="2"/>
      </rPr>
      <t xml:space="preserve"> include on line 8a</t>
    </r>
  </si>
  <si>
    <t>8b</t>
  </si>
  <si>
    <t>State distribution</t>
  </si>
  <si>
    <t>Amount</t>
  </si>
  <si>
    <r>
      <t xml:space="preserve">Add the amounts on line 1   </t>
    </r>
    <r>
      <rPr>
        <b/>
        <sz val="9"/>
        <rFont val="Arial"/>
        <family val="2"/>
      </rPr>
      <t>.   .   .   .   .   .   .   .   .   .   .   .   .   .   .   .   .   .   .   .   .   .   .   .   .   .   .   .   .   .   .   .   .   .   .   .</t>
    </r>
  </si>
  <si>
    <t>Expenses</t>
  </si>
  <si>
    <t>7b</t>
  </si>
  <si>
    <r>
      <t xml:space="preserve">If you are married filing separately and you </t>
    </r>
    <r>
      <rPr>
        <b/>
        <sz val="10"/>
        <rFont val="Arial"/>
        <family val="2"/>
      </rPr>
      <t>lived apart</t>
    </r>
    <r>
      <rPr>
        <sz val="10"/>
        <rFont val="Arial"/>
        <family val="2"/>
      </rPr>
      <t xml:space="preserve"> from your spouse for all of</t>
    </r>
  </si>
  <si>
    <t>Schedule K-1 (Form 1041)</t>
  </si>
  <si>
    <t>Ö</t>
  </si>
  <si>
    <t>Add lines 14 and 15 .   .   .   .   .   .   .   .   .   .   .   .   .   .</t>
  </si>
  <si>
    <t>Claimed as dependent by someone else</t>
  </si>
  <si>
    <r>
      <t xml:space="preserve">If you are a minister, member of a religious order, or Christian Science practitioner </t>
    </r>
    <r>
      <rPr>
        <b/>
        <sz val="10"/>
        <rFont val="Arial"/>
        <family val="2"/>
      </rPr>
      <t>and</t>
    </r>
    <r>
      <rPr>
        <sz val="10"/>
        <rFont val="Arial"/>
        <family val="2"/>
      </rPr>
      <t xml:space="preserve"> you filed Form 4361, but you</t>
    </r>
  </si>
  <si>
    <r>
      <t>(1)</t>
    </r>
    <r>
      <rPr>
        <sz val="8"/>
        <rFont val="Arial"/>
        <family val="2"/>
      </rPr>
      <t xml:space="preserve"> First name</t>
    </r>
  </si>
  <si>
    <t>number</t>
  </si>
  <si>
    <r>
      <t xml:space="preserve">Total number of exemptions claimed  </t>
    </r>
    <r>
      <rPr>
        <b/>
        <sz val="9"/>
        <rFont val="Arial"/>
        <family val="2"/>
      </rPr>
      <t>.   .   .   .   .   .   .   .   .   .   .   .   .   .   .   .   .   .   .   .   .   .   .   .   .   .   .</t>
    </r>
  </si>
  <si>
    <t xml:space="preserve">  Tax Computation Using Maximum Capital Gains Rates</t>
  </si>
  <si>
    <t>the qualifying person is a child but not your dependent, enter</t>
  </si>
  <si>
    <t>List name of payer</t>
  </si>
  <si>
    <r>
      <t>Advertising</t>
    </r>
    <r>
      <rPr>
        <b/>
        <sz val="10"/>
        <rFont val="Arial"/>
        <family val="2"/>
      </rPr>
      <t xml:space="preserve"> .   .   .   .   .   .   .   .   .   .   .   .   .   .   .   .   .   .   .   .   .</t>
    </r>
  </si>
  <si>
    <t>Pension and profit sharing plans</t>
  </si>
  <si>
    <t>b</t>
  </si>
  <si>
    <t>c</t>
  </si>
  <si>
    <t>Download Form 1040 from IRS</t>
  </si>
  <si>
    <r>
      <t>Other</t>
    </r>
    <r>
      <rPr>
        <b/>
        <sz val="10"/>
        <rFont val="Arial"/>
        <family val="2"/>
      </rPr>
      <t xml:space="preserve"> .   .   .   .   .   .   .   .   .   .   .   .   .   .   .   .</t>
    </r>
  </si>
  <si>
    <r>
      <t xml:space="preserve">Utilities </t>
    </r>
    <r>
      <rPr>
        <b/>
        <sz val="10"/>
        <rFont val="Arial"/>
        <family val="2"/>
      </rPr>
      <t>.   .   .   .   .   .   .   .   .   .   .</t>
    </r>
  </si>
  <si>
    <r>
      <t>Wages (less employment credits)</t>
    </r>
    <r>
      <rPr>
        <b/>
        <sz val="10"/>
        <rFont val="Arial"/>
        <family val="2"/>
      </rPr>
      <t>.   .</t>
    </r>
  </si>
  <si>
    <r>
      <t>Tax preparation fees</t>
    </r>
    <r>
      <rPr>
        <b/>
        <sz val="9"/>
        <rFont val="Arial"/>
        <family val="2"/>
      </rPr>
      <t xml:space="preserve">   .   .   .   .   .   .   .   .   .   .   .   .   .   .   .   .   .   .   .</t>
    </r>
  </si>
  <si>
    <t>Home mortgage interest and points reported to you on Form 1098.</t>
  </si>
  <si>
    <t>Part I</t>
  </si>
  <si>
    <t>Form 1040, line 44.  If you are filing Form 2555 or 2555-EZ, do not enter this amount on Form</t>
  </si>
  <si>
    <t>Maximum amount of combined wages and self-employment earnings subject to social security</t>
  </si>
  <si>
    <t>Were the payments for your life</t>
  </si>
  <si>
    <t>Simplified Method</t>
  </si>
  <si>
    <t>39a</t>
  </si>
  <si>
    <t>Last year's amount</t>
  </si>
  <si>
    <t>Name(s) shown on return</t>
  </si>
  <si>
    <t>List name of payer. If any interest is from a seller-financed mortgage and the</t>
  </si>
  <si>
    <t>buyer used the property as a personal residence, see instructions on back and list</t>
  </si>
  <si>
    <t>(See instructions</t>
  </si>
  <si>
    <t>on back and the</t>
  </si>
  <si>
    <t>Form 1040A, or</t>
  </si>
  <si>
    <t>Subtract line 3 from line 2. Enter the result here and on Form 1040A, or Form</t>
  </si>
  <si>
    <t>this interest first. Also, show that buyer’s social security number and address</t>
  </si>
  <si>
    <t>Attach Form 8815</t>
  </si>
  <si>
    <t>1040, line 8a</t>
  </si>
  <si>
    <t xml:space="preserve"> .   .   .   .   .   .   .   .   .   .   .   .   .   .   .   .   .   .   .   .   .   .   .   .   .   .   .   .   .   .   .   .   .   .   .   .   .   .       </t>
  </si>
  <si>
    <t>Enter the total of the amounts from Form 1040, lines 23</t>
  </si>
  <si>
    <t>H</t>
  </si>
  <si>
    <t>24b</t>
  </si>
  <si>
    <t>Subtract line 5 from line 1. If zero or less, enter -0-.</t>
  </si>
  <si>
    <t>Download Form 1040 Schedule D Instructions</t>
  </si>
  <si>
    <t>Download Form 1040 Schedule C</t>
  </si>
  <si>
    <t xml:space="preserve"> Form</t>
  </si>
  <si>
    <r>
      <t xml:space="preserve">Self-employment tax.  Attach Schedule SE </t>
    </r>
    <r>
      <rPr>
        <b/>
        <sz val="9"/>
        <rFont val="Arial"/>
        <family val="2"/>
      </rPr>
      <t xml:space="preserve">  .   .   .   .   .   .   .   .   .   .   .   .   .   .   .   .   .   .   .   .   .   .   .   .   .   .   .   .   .   .   .</t>
    </r>
  </si>
  <si>
    <t>From Sch. F, line 11, and Sch. K-1 (Form 1065), box 14, code B.</t>
  </si>
  <si>
    <t xml:space="preserve">Keep for Your Records          </t>
  </si>
  <si>
    <t>Combine lines 7 and 15 and enter the result.</t>
  </si>
  <si>
    <r>
      <t xml:space="preserve">Subtract line 26 from 24. If line 26 is more than line 24, enter -0-  </t>
    </r>
    <r>
      <rPr>
        <b/>
        <sz val="9"/>
        <rFont val="Arial"/>
        <family val="2"/>
      </rPr>
      <t xml:space="preserve"> .   .   .   .   .   .   .   .   .   .   .   .   .   .   .   .   .   .   .</t>
    </r>
  </si>
  <si>
    <t>payer and enter</t>
  </si>
  <si>
    <t>Max. SS Tax</t>
  </si>
  <si>
    <t>6.</t>
  </si>
  <si>
    <t>7.</t>
  </si>
  <si>
    <t>Single</t>
  </si>
  <si>
    <t>Filing Status</t>
  </si>
  <si>
    <r>
      <t xml:space="preserve">Enter the </t>
    </r>
    <r>
      <rPr>
        <b/>
        <sz val="10"/>
        <rFont val="Arial"/>
        <family val="2"/>
      </rPr>
      <t>smaller</t>
    </r>
    <r>
      <rPr>
        <sz val="10"/>
        <rFont val="Arial"/>
        <family val="2"/>
      </rPr>
      <t xml:space="preserve"> of line 15 or line 16 of Schedule D</t>
    </r>
  </si>
  <si>
    <t>11a.</t>
  </si>
  <si>
    <t>11b.</t>
  </si>
  <si>
    <t>12a.</t>
  </si>
  <si>
    <t>12b.</t>
  </si>
  <si>
    <t>Nontaxable combat pay.</t>
  </si>
  <si>
    <t>All others:</t>
  </si>
  <si>
    <t>The loss on line 16 or</t>
  </si>
  <si>
    <t>Refund</t>
  </si>
  <si>
    <t>Add lines 6 and 9</t>
  </si>
  <si>
    <r>
      <t xml:space="preserve">Credit for child and dependent care expenses.  Attach Form 2441 </t>
    </r>
    <r>
      <rPr>
        <b/>
        <sz val="9"/>
        <rFont val="Arial"/>
        <family val="2"/>
      </rPr>
      <t>.   .   .</t>
    </r>
  </si>
  <si>
    <r>
      <t xml:space="preserve">Subtract line 3 from line 1.  If line 3 is more than line 1, enter -0- </t>
    </r>
    <r>
      <rPr>
        <b/>
        <sz val="9"/>
        <rFont val="Arial"/>
        <family val="2"/>
      </rPr>
      <t xml:space="preserve"> .   .   .   .   .   .   .   .   .   .   .   .   .   .   .   .   .   .   .   .   .   .   .   .   .   .   .   .   .   .   .   .   .   .   .   .   .</t>
    </r>
  </si>
  <si>
    <t>But Less Than</t>
  </si>
  <si>
    <t>Enter your cost in the plan at the annuity starting date</t>
  </si>
  <si>
    <t>Subtract line 10 from line 9. If zero or less, enter -0- .</t>
  </si>
  <si>
    <t>Enter age</t>
  </si>
  <si>
    <t>at annuity</t>
  </si>
  <si>
    <t xml:space="preserve">  OMB No. 1545-0074</t>
  </si>
  <si>
    <r>
      <t>l</t>
    </r>
    <r>
      <rPr>
        <sz val="10"/>
        <rFont val="Arial"/>
        <family val="2"/>
      </rPr>
      <t xml:space="preserve">  The loss on line 16 or</t>
    </r>
  </si>
  <si>
    <r>
      <t>l</t>
    </r>
    <r>
      <rPr>
        <sz val="10"/>
        <rFont val="Arial"/>
        <family val="2"/>
      </rPr>
      <t xml:space="preserve">  ($3,000), or if married filing separately, ($1,500)  </t>
    </r>
  </si>
  <si>
    <r>
      <t xml:space="preserve">Sequence No. </t>
    </r>
    <r>
      <rPr>
        <b/>
        <sz val="10"/>
        <rFont val="Arial"/>
        <family val="2"/>
      </rPr>
      <t>07</t>
    </r>
  </si>
  <si>
    <t>Name(s) shown on Form 1040</t>
  </si>
  <si>
    <t>Your social security number</t>
  </si>
  <si>
    <t>Manual</t>
  </si>
  <si>
    <t>Override</t>
  </si>
  <si>
    <t>d</t>
  </si>
  <si>
    <r>
      <t xml:space="preserve">Column </t>
    </r>
    <r>
      <rPr>
        <b/>
        <sz val="10"/>
        <rFont val="Wingdings"/>
        <charset val="2"/>
      </rPr>
      <t>ê</t>
    </r>
  </si>
  <si>
    <t>the column for the IRA of the person who was not covered by a retirement</t>
  </si>
  <si>
    <t xml:space="preserve">.   .   .   .   .   .   .   .   .   .   .   .   .   .   .   .   .   .   .   .   .   .   . </t>
  </si>
  <si>
    <t>Enter your long-term capital loss carryovers from Schedule D, line 14, and Schedule K-1 (Form 1041),</t>
  </si>
  <si>
    <t>Subtract line 15 from line 14</t>
  </si>
  <si>
    <t>on line 16. Also include this amount on line 4b above</t>
  </si>
  <si>
    <t>8c</t>
  </si>
  <si>
    <t>4c</t>
  </si>
  <si>
    <t>4b</t>
  </si>
  <si>
    <r>
      <t xml:space="preserve">This is the amount you </t>
    </r>
    <r>
      <rPr>
        <b/>
        <sz val="9"/>
        <rFont val="Arial"/>
        <family val="2"/>
      </rPr>
      <t>overpaid</t>
    </r>
  </si>
  <si>
    <t>Amount you owe.</t>
  </si>
  <si>
    <t>Information from Form 1099-R, Retirement</t>
  </si>
  <si>
    <t>Net unrealized appreciation in employer's securities</t>
  </si>
  <si>
    <t>Distribution code</t>
  </si>
  <si>
    <r>
      <t xml:space="preserve">This is your </t>
    </r>
    <r>
      <rPr>
        <b/>
        <sz val="9"/>
        <rFont val="Arial"/>
        <family val="2"/>
      </rPr>
      <t>adjusted gross income.</t>
    </r>
  </si>
  <si>
    <t>social security</t>
  </si>
  <si>
    <t>check here.</t>
  </si>
  <si>
    <t>Net operating loss deduction from Form 1040, line 21.</t>
  </si>
  <si>
    <t>Enter as a positive amount.</t>
  </si>
  <si>
    <t>Adjusted</t>
  </si>
  <si>
    <t>6</t>
  </si>
  <si>
    <t>7</t>
  </si>
  <si>
    <t>8</t>
  </si>
  <si>
    <t>9</t>
  </si>
  <si>
    <t>10</t>
  </si>
  <si>
    <t>Part 2</t>
  </si>
  <si>
    <t>Exercise of incentive stock options (excess of AMT income over regular tax income)</t>
  </si>
  <si>
    <t>You Owe</t>
  </si>
  <si>
    <t>Sign</t>
  </si>
  <si>
    <t>Here</t>
  </si>
  <si>
    <t>Joint return?</t>
  </si>
  <si>
    <t>Your signature</t>
  </si>
  <si>
    <t>Date</t>
  </si>
  <si>
    <t>Your occupation</t>
  </si>
  <si>
    <t>Daytime phone number</t>
  </si>
  <si>
    <t>Spouse's occupation</t>
  </si>
  <si>
    <r>
      <t>Carryover from prior year</t>
    </r>
    <r>
      <rPr>
        <b/>
        <sz val="9"/>
        <rFont val="Arial"/>
        <family val="2"/>
      </rPr>
      <t xml:space="preserve">   .   .   .   .   .   .   .   .   .   .   .   .   .   .   .   .   .   .   .   .   .   .   .   .   .   .   .   .   .   .   .   .   .   .   .   .   .   .</t>
    </r>
  </si>
  <si>
    <t>Add lines 2 and 3</t>
  </si>
  <si>
    <t>4a</t>
  </si>
  <si>
    <t>If joint return, spouse's name &amp; initial</t>
  </si>
  <si>
    <t>Savings</t>
  </si>
  <si>
    <t xml:space="preserve">   .   .   .   .   .   .   .   .   .   .   .   .   .   .   .   .   .   .   .   .</t>
  </si>
  <si>
    <t>Part II</t>
  </si>
  <si>
    <t>Additional no.</t>
  </si>
  <si>
    <t>of qualifying</t>
  </si>
  <si>
    <t xml:space="preserve">Before you begin: </t>
  </si>
  <si>
    <t>h</t>
  </si>
  <si>
    <t xml:space="preserve">    47  a</t>
  </si>
  <si>
    <t>Medical</t>
  </si>
  <si>
    <t>.    .    .    .    .    .    .    .    .    .   .    .    .    .    .    .    .    .    .   .</t>
  </si>
  <si>
    <t>Part V</t>
  </si>
  <si>
    <r>
      <t>l</t>
    </r>
    <r>
      <rPr>
        <sz val="9"/>
        <rFont val="Arial"/>
        <family val="2"/>
      </rPr>
      <t xml:space="preserve">   Schedule K-1 from a partnership, S corporation, estate, or trust.</t>
    </r>
  </si>
  <si>
    <r>
      <t>l</t>
    </r>
    <r>
      <rPr>
        <sz val="9"/>
        <rFont val="Arial"/>
        <family val="2"/>
      </rPr>
      <t xml:space="preserve">   Form 2439, box 1f; and</t>
    </r>
  </si>
  <si>
    <r>
      <t>l</t>
    </r>
    <r>
      <rPr>
        <sz val="9"/>
        <rFont val="Arial"/>
        <family val="2"/>
      </rPr>
      <t xml:space="preserve">   Form 1099-DIV, box 2f;</t>
    </r>
  </si>
  <si>
    <t>If you elect one or both of the optional methods, enter the total of lines 15 and 17 here</t>
  </si>
  <si>
    <t>Add numbers on lines above</t>
  </si>
  <si>
    <t>Net profit or (loss) from Schedule C, line 31; Schedule C-EZ, line 3; Schedule K-1 (Form 1065),</t>
  </si>
  <si>
    <r>
      <t>Form</t>
    </r>
    <r>
      <rPr>
        <sz val="10"/>
        <rFont val="Arial"/>
        <family val="2"/>
      </rPr>
      <t xml:space="preserve"> </t>
    </r>
    <r>
      <rPr>
        <b/>
        <sz val="10"/>
        <rFont val="Arial"/>
        <family val="2"/>
      </rPr>
      <t>6251</t>
    </r>
  </si>
  <si>
    <t>Dental</t>
  </si>
  <si>
    <t>and full name here.</t>
  </si>
  <si>
    <t>Form 1099-DIV, box 2d;</t>
  </si>
  <si>
    <t>Form 2439, box 1d; and</t>
  </si>
  <si>
    <r>
      <t>Self-employment tax.</t>
    </r>
    <r>
      <rPr>
        <sz val="10"/>
        <rFont val="Arial"/>
        <family val="2"/>
      </rPr>
      <t xml:space="preserve"> If the amount on line 4 is:</t>
    </r>
  </si>
  <si>
    <t>32a</t>
  </si>
  <si>
    <t>Pub. 525 to figure if any of your refund is taxable.</t>
  </si>
  <si>
    <t>Certain business expenses of reservists, performing artists, and 
fee-basis government officials. Attach Form 2106 or 2106-EZ</t>
  </si>
  <si>
    <r>
      <t xml:space="preserve">b </t>
    </r>
    <r>
      <rPr>
        <sz val="9"/>
        <rFont val="Arial"/>
        <family val="2"/>
      </rPr>
      <t xml:space="preserve">Recipient's SSN </t>
    </r>
    <r>
      <rPr>
        <sz val="9"/>
        <rFont val="Marlett"/>
        <charset val="2"/>
      </rPr>
      <t>4</t>
    </r>
  </si>
  <si>
    <r>
      <t xml:space="preserve">Accounting method:         </t>
    </r>
    <r>
      <rPr>
        <b/>
        <sz val="9"/>
        <rFont val="Arial"/>
        <family val="2"/>
      </rPr>
      <t>(1)</t>
    </r>
  </si>
  <si>
    <t>Cash</t>
  </si>
  <si>
    <t>Accrual</t>
  </si>
  <si>
    <t>G</t>
  </si>
  <si>
    <t>.   .   .</t>
  </si>
  <si>
    <t>Notice 703</t>
  </si>
  <si>
    <t>(Rev. September 2008)</t>
  </si>
  <si>
    <t>Read This To See If Your Social Security Benefits May Be Taxable</t>
  </si>
  <si>
    <t>Note. If you plan to file a joint income tax return, include your spouse’s amounts, if any, on lines A, C, and D below.</t>
  </si>
  <si>
    <t>Is the amount on line 8 less than the amount on line 7?</t>
  </si>
  <si>
    <t>Qualified Dividends and Capital Gain Tax Worksheet—Line 44</t>
  </si>
  <si>
    <t>Interest from specified private activity bonds exempt from the regular tax</t>
  </si>
  <si>
    <t xml:space="preserve"> .   .   .   .   .   .   .   .</t>
  </si>
  <si>
    <t>Alternative tax net operating loss deduction</t>
  </si>
  <si>
    <t>enter on line 3 …</t>
  </si>
  <si>
    <t>District of Columbia first-time homebuyer credit, Form 8859</t>
  </si>
  <si>
    <r>
      <t xml:space="preserve"> </t>
    </r>
    <r>
      <rPr>
        <sz val="8"/>
        <rFont val="Wingdings"/>
        <charset val="2"/>
      </rPr>
      <t>l</t>
    </r>
  </si>
  <si>
    <r>
      <t xml:space="preserve">Add lines 7 and 8.  </t>
    </r>
    <r>
      <rPr>
        <b/>
        <sz val="9"/>
        <rFont val="Arial"/>
        <family val="2"/>
      </rPr>
      <t xml:space="preserve">  .   .   .   .   .   .   .   .   .   .   .   .   .   .   .   .   .   .   .   .   .   .   .   .   .   .   .   .   .   .   .   .   .   .   .   .   .   .</t>
    </r>
  </si>
  <si>
    <t>.   .   .   .   .   .   .   .   .   .   .   .   .   .   .   .   .   .   .</t>
  </si>
  <si>
    <t xml:space="preserve">  Social security number (SSN)</t>
  </si>
  <si>
    <t>A</t>
  </si>
  <si>
    <t>C</t>
  </si>
  <si>
    <r>
      <t xml:space="preserve">Health savings account deduction.  Attach Form 8889 </t>
    </r>
    <r>
      <rPr>
        <b/>
        <sz val="9"/>
        <rFont val="Arial"/>
        <family val="2"/>
      </rPr>
      <t xml:space="preserve"> .   .   .   .   .   .   .   .   .   .</t>
    </r>
  </si>
  <si>
    <r>
      <t xml:space="preserve">Form </t>
    </r>
    <r>
      <rPr>
        <b/>
        <sz val="10"/>
        <rFont val="Arial"/>
        <family val="2"/>
      </rPr>
      <t>1040</t>
    </r>
  </si>
  <si>
    <t>Was the total of your wages and tips subject to social security</t>
  </si>
  <si>
    <t>a. The payments are from a qualified employee plan, a qualified employee annuity, or a tax-sheltered annuity.</t>
  </si>
  <si>
    <r>
      <t xml:space="preserve">State and local  </t>
    </r>
    <r>
      <rPr>
        <b/>
        <sz val="9"/>
        <rFont val="Arial"/>
        <family val="2"/>
      </rPr>
      <t>(check only one box):</t>
    </r>
  </si>
  <si>
    <t>this is your (and your spouse’s if filing jointly) net earnings from</t>
  </si>
  <si>
    <t>Phone no.</t>
  </si>
  <si>
    <t>1</t>
  </si>
  <si>
    <t>2</t>
  </si>
  <si>
    <t>3</t>
  </si>
  <si>
    <t>4</t>
  </si>
  <si>
    <t>Qualified small business stock (7% of gain excluded under section 1202)</t>
  </si>
  <si>
    <t>U.S. Individual Income Tax Return</t>
  </si>
  <si>
    <t>OMB No. 1545-0074</t>
  </si>
  <si>
    <t>Did you receive church employee income reported on Form</t>
  </si>
  <si>
    <t xml:space="preserve">    Yes</t>
  </si>
  <si>
    <t xml:space="preserve">   No</t>
  </si>
  <si>
    <t xml:space="preserve">   out if you must file Form 4562.</t>
  </si>
  <si>
    <r>
      <t xml:space="preserve">   </t>
    </r>
    <r>
      <rPr>
        <b/>
        <sz val="11"/>
        <rFont val="Arial"/>
        <family val="2"/>
      </rPr>
      <t>Information on Your Vehicle.</t>
    </r>
    <r>
      <rPr>
        <sz val="11"/>
        <rFont val="Arial"/>
        <family val="2"/>
      </rPr>
      <t xml:space="preserve">  </t>
    </r>
    <r>
      <rPr>
        <sz val="10"/>
        <rFont val="Arial"/>
        <family val="2"/>
      </rPr>
      <t xml:space="preserve">Complete this part </t>
    </r>
    <r>
      <rPr>
        <b/>
        <sz val="10"/>
        <rFont val="Arial"/>
        <family val="2"/>
      </rPr>
      <t>only</t>
    </r>
    <r>
      <rPr>
        <sz val="10"/>
        <rFont val="Arial"/>
        <family val="2"/>
      </rPr>
      <t xml:space="preserve"> if you are claiming car or truck expenses on line 9</t>
    </r>
  </si>
  <si>
    <t>Download Form 1040 Schedule B</t>
  </si>
  <si>
    <t>Routing number</t>
  </si>
  <si>
    <t>Checking</t>
  </si>
  <si>
    <t>Account number</t>
  </si>
  <si>
    <t>and Certain</t>
  </si>
  <si>
    <t>Enter the amount from Form 1040, line 13</t>
  </si>
  <si>
    <t xml:space="preserve"> .   .   .   .   .   .   .   .   .   .   .   .   . </t>
  </si>
  <si>
    <t>Nontaxable combat pay election</t>
  </si>
  <si>
    <t>Information from Form W-2</t>
  </si>
  <si>
    <t xml:space="preserve"> Exemptions</t>
  </si>
  <si>
    <t>If more than four</t>
  </si>
  <si>
    <t xml:space="preserve">  Yes.</t>
  </si>
  <si>
    <t>Download Form 1040 General Instructions from IRS</t>
  </si>
  <si>
    <r>
      <t>h</t>
    </r>
    <r>
      <rPr>
        <sz val="10"/>
        <rFont val="Arial"/>
        <family val="2"/>
      </rPr>
      <t xml:space="preserve">  You do not have to file Schedule D and you reported capital gain distributions on Form 1040, line 13.</t>
    </r>
  </si>
  <si>
    <r>
      <t>h</t>
    </r>
    <r>
      <rPr>
        <sz val="10"/>
        <rFont val="Arial"/>
        <family val="2"/>
      </rPr>
      <t xml:space="preserve">  You reported qualified dividends on Form 1040, line 9b.</t>
    </r>
  </si>
  <si>
    <t>Cat. No. 11358Z</t>
  </si>
  <si>
    <r>
      <t xml:space="preserve">Page </t>
    </r>
    <r>
      <rPr>
        <b/>
        <sz val="12"/>
        <rFont val="Arial"/>
        <family val="2"/>
      </rPr>
      <t>2</t>
    </r>
  </si>
  <si>
    <t>Section B—Long Schedule SE</t>
  </si>
  <si>
    <t xml:space="preserve">   Self-Employment Tax</t>
  </si>
  <si>
    <r>
      <t>Section A—Short Schedule SE.         Caution.</t>
    </r>
    <r>
      <rPr>
        <sz val="14"/>
        <rFont val="Arial"/>
        <family val="2"/>
      </rPr>
      <t xml:space="preserve"> </t>
    </r>
    <r>
      <rPr>
        <sz val="11"/>
        <rFont val="Arial"/>
        <family val="2"/>
      </rPr>
      <t>Read above to see if you can use Short Schedule SE.</t>
    </r>
  </si>
  <si>
    <t>SCHEDULE SE</t>
  </si>
  <si>
    <t>Self-Employment Tax</t>
  </si>
  <si>
    <t>Wages, tips, other compensation</t>
  </si>
  <si>
    <t>Federal income tax withheld</t>
  </si>
  <si>
    <t xml:space="preserve"> .   .   .   .   .   .   .   .   .   .   .   .   .   .   .   .   .   .   .   .   .   .   .   .   .   .   . </t>
  </si>
  <si>
    <t>Purchases less cost of items withdrawn for personal use.   .   .   .   .   .   .   .   .   .   .   .   .   .   .   .   .   .   .   .   .   .   .   .   .   .   .   .   .   .   .   .   .</t>
  </si>
  <si>
    <t>Your percentage of total distribution</t>
  </si>
  <si>
    <t>NOT required.</t>
  </si>
  <si>
    <r>
      <t>Farm Optional Method.</t>
    </r>
    <r>
      <rPr>
        <sz val="10"/>
        <rFont val="Arial"/>
        <family val="2"/>
      </rPr>
      <t xml:space="preserve"> </t>
    </r>
    <r>
      <rPr>
        <sz val="10"/>
        <rFont val="Arial"/>
        <family val="2"/>
      </rPr>
      <t xml:space="preserve">You may use this method </t>
    </r>
    <r>
      <rPr>
        <b/>
        <sz val="10"/>
        <rFont val="Arial"/>
        <family val="2"/>
      </rPr>
      <t>only</t>
    </r>
    <r>
      <rPr>
        <sz val="10"/>
        <rFont val="Arial"/>
        <family val="2"/>
      </rPr>
      <t xml:space="preserve"> if </t>
    </r>
    <r>
      <rPr>
        <b/>
        <sz val="10"/>
        <rFont val="Arial"/>
        <family val="2"/>
      </rPr>
      <t>(a)</t>
    </r>
    <r>
      <rPr>
        <sz val="10"/>
        <rFont val="Arial"/>
        <family val="2"/>
      </rPr>
      <t xml:space="preserve"> your gross farm income</t>
    </r>
    <r>
      <rPr>
        <vertAlign val="superscript"/>
        <sz val="10"/>
        <rFont val="Arial"/>
        <family val="2"/>
      </rPr>
      <t>1</t>
    </r>
    <r>
      <rPr>
        <sz val="10"/>
        <rFont val="Arial"/>
        <family val="2"/>
      </rPr>
      <t xml:space="preserve"> was not more</t>
    </r>
  </si>
  <si>
    <t xml:space="preserve"> Yes.</t>
  </si>
  <si>
    <t xml:space="preserve">  Apt. no.</t>
  </si>
  <si>
    <t xml:space="preserve">   Last name</t>
  </si>
  <si>
    <t xml:space="preserve"> Check here if YOU are claimed as a dependent on someone elses return.</t>
  </si>
  <si>
    <t>24a</t>
  </si>
  <si>
    <t>You must use the Simplified Method if either of the following applies.</t>
  </si>
  <si>
    <t>Annuity Starting Date</t>
  </si>
  <si>
    <r>
      <t xml:space="preserve">Enter the </t>
    </r>
    <r>
      <rPr>
        <b/>
        <sz val="10"/>
        <rFont val="Arial"/>
        <family val="2"/>
      </rPr>
      <t>smaller</t>
    </r>
    <r>
      <rPr>
        <sz val="10"/>
        <rFont val="Arial"/>
        <family val="2"/>
      </rPr>
      <t xml:space="preserve"> of line 9 or line 10</t>
    </r>
  </si>
  <si>
    <t>Keep for Your Records</t>
  </si>
  <si>
    <r>
      <t>(2)</t>
    </r>
    <r>
      <rPr>
        <sz val="8"/>
        <rFont val="Arial"/>
        <family val="2"/>
      </rPr>
      <t xml:space="preserve"> Dependent's</t>
    </r>
  </si>
  <si>
    <t>(Form 1040)</t>
  </si>
  <si>
    <t>Department of the Treasury</t>
  </si>
  <si>
    <t>Attachment</t>
  </si>
  <si>
    <t xml:space="preserve">  Be sure to review the Simplified Method Worksheet - Lines 16a </t>
  </si>
  <si>
    <t xml:space="preserve">Net short-term gain or (loss) from partnerships, S corporations, estates, and trusts from </t>
  </si>
  <si>
    <t xml:space="preserve">  No.</t>
  </si>
  <si>
    <t>Domestic production activities deduction.  Attach Form 8903</t>
  </si>
  <si>
    <r>
      <t xml:space="preserve">Enter the </t>
    </r>
    <r>
      <rPr>
        <b/>
        <sz val="10"/>
        <rFont val="Arial"/>
        <family val="2"/>
      </rPr>
      <t>smaller</t>
    </r>
    <r>
      <rPr>
        <sz val="10"/>
        <rFont val="Arial"/>
        <family val="2"/>
      </rPr>
      <t xml:space="preserve"> of line 9 or line 11</t>
    </r>
  </si>
  <si>
    <t>lines 27 and 28. If zero or less, enter -0-.</t>
  </si>
  <si>
    <r>
      <t xml:space="preserve">Yes. </t>
    </r>
    <r>
      <rPr>
        <sz val="10"/>
        <rFont val="Arial"/>
        <family val="2"/>
      </rPr>
      <t>Go to line 18.</t>
    </r>
  </si>
  <si>
    <t>Estates and trusts (amount from Schedule K-1 (Form 1041), box 12, code A)</t>
  </si>
  <si>
    <r>
      <t xml:space="preserve">Gambling, casualty or theft losses </t>
    </r>
    <r>
      <rPr>
        <sz val="8"/>
        <rFont val="Marlett"/>
        <charset val="2"/>
      </rPr>
      <t>4</t>
    </r>
  </si>
  <si>
    <t>Job Expenses</t>
  </si>
  <si>
    <t>State income tax withheld</t>
  </si>
  <si>
    <t>Multiply lines 6a and 6b by the percentage below that applies to you. If the</t>
  </si>
  <si>
    <t>result is not a multiple of $10, increase it to the next multiple of $10 (for</t>
  </si>
  <si>
    <t>Investment interest expense (difference between regular tax and AMT)</t>
  </si>
  <si>
    <t>Depletion (difference between regular tax and AMT)</t>
  </si>
  <si>
    <t>Married filing joint return (even if only one had income)</t>
  </si>
  <si>
    <r>
      <t>Other gains or (losses).  Attach Form 4797</t>
    </r>
    <r>
      <rPr>
        <b/>
        <sz val="9"/>
        <rFont val="Arial"/>
        <family val="2"/>
      </rPr>
      <t>.</t>
    </r>
    <r>
      <rPr>
        <b/>
        <sz val="9"/>
        <rFont val="Arial"/>
        <family val="2"/>
      </rPr>
      <t xml:space="preserve">   .   .   .   .   .   .   .   .   .   .   .   .   .   .   .   .   .   .   .   .   .   .   .   .   .   .   .   .   .   .   .   .   .   .   .   .   .   .   .   .   .</t>
    </r>
  </si>
  <si>
    <t>Payments</t>
  </si>
  <si>
    <t>If you have a</t>
  </si>
  <si>
    <t>Enter the amount shown below for your filing status.</t>
  </si>
  <si>
    <t>16.</t>
  </si>
  <si>
    <r>
      <t>h</t>
    </r>
    <r>
      <rPr>
        <sz val="10"/>
        <rFont val="Arial"/>
        <family val="2"/>
      </rPr>
      <t xml:space="preserve">  You are filing Schedule D and Schedule D, lines 15 and 16, are both more than zero.</t>
    </r>
  </si>
  <si>
    <t>annuity</t>
  </si>
  <si>
    <t>If you have to file Schedule D and Schedule D, line 18 or 19, is more than zero,</t>
  </si>
  <si>
    <r>
      <t xml:space="preserve">  Alternative Minimum Taxable Income </t>
    </r>
    <r>
      <rPr>
        <sz val="12"/>
        <rFont val="Arial"/>
        <family val="2"/>
      </rPr>
      <t xml:space="preserve">   (See instructions for how to complete each line.)</t>
    </r>
  </si>
  <si>
    <t>Affected Sheet</t>
  </si>
  <si>
    <t>Changes Made</t>
  </si>
  <si>
    <r>
      <t>Taxable social security benefits.</t>
    </r>
    <r>
      <rPr>
        <sz val="10"/>
        <rFont val="Arial"/>
        <family val="2"/>
      </rPr>
      <t xml:space="preserve">  Enter the </t>
    </r>
    <r>
      <rPr>
        <b/>
        <sz val="10"/>
        <rFont val="Arial"/>
        <family val="2"/>
      </rPr>
      <t>smaller</t>
    </r>
    <r>
      <rPr>
        <sz val="10"/>
        <rFont val="Arial"/>
        <family val="2"/>
      </rPr>
      <t xml:space="preserve"> of line 16 or line 17</t>
    </r>
  </si>
  <si>
    <r>
      <t xml:space="preserve">   Optional Methods To Figure Net Earnings </t>
    </r>
    <r>
      <rPr>
        <sz val="11"/>
        <rFont val="Arial"/>
        <family val="2"/>
      </rPr>
      <t>(See page SE-3)</t>
    </r>
  </si>
  <si>
    <t>Are you using one of the optional methods to figure your net</t>
  </si>
  <si>
    <r>
      <t>Commissions and fees</t>
    </r>
    <r>
      <rPr>
        <b/>
        <sz val="10"/>
        <rFont val="Arial"/>
        <family val="2"/>
      </rPr>
      <t xml:space="preserve"> .   .   .   .   .   .   .   .   .</t>
    </r>
  </si>
  <si>
    <t>Supplies (not included in Part III)</t>
  </si>
  <si>
    <t>total payments</t>
  </si>
  <si>
    <t>child, attach</t>
  </si>
  <si>
    <t>Schedule EIC.</t>
  </si>
  <si>
    <t>Cat. No. 13600G</t>
  </si>
  <si>
    <r>
      <t>Net profit or (loss).</t>
    </r>
    <r>
      <rPr>
        <sz val="9"/>
        <rFont val="Arial"/>
        <family val="2"/>
      </rPr>
      <t xml:space="preserve">  Subtract line 30 from line 29.</t>
    </r>
  </si>
  <si>
    <t>Page</t>
  </si>
  <si>
    <t>Was your annuity starting date before 1987?</t>
  </si>
  <si>
    <t>Leave line 10 blank.</t>
  </si>
  <si>
    <t xml:space="preserve">       You will need this number when you fill out this worksheet next year</t>
  </si>
  <si>
    <r>
      <t xml:space="preserve"> Yes. </t>
    </r>
    <r>
      <rPr>
        <sz val="10"/>
        <rFont val="Arial"/>
        <family val="2"/>
      </rPr>
      <t xml:space="preserve">             STOP</t>
    </r>
  </si>
  <si>
    <t>5</t>
  </si>
  <si>
    <t>Employer #4</t>
  </si>
  <si>
    <t>Total</t>
  </si>
  <si>
    <t>Excess</t>
  </si>
  <si>
    <r>
      <t xml:space="preserve">Sequence No. </t>
    </r>
    <r>
      <rPr>
        <b/>
        <sz val="10"/>
        <rFont val="Arial"/>
        <family val="2"/>
      </rPr>
      <t>17</t>
    </r>
  </si>
  <si>
    <t>8.</t>
  </si>
  <si>
    <t>9.</t>
  </si>
  <si>
    <t>Keep for your records.</t>
  </si>
  <si>
    <t>If married filing jointly, was your spouse covered by a retirement plan?</t>
  </si>
  <si>
    <t>Enter the earned income you (and your spouse if filing jointly)</t>
  </si>
  <si>
    <t>received as a self-employed individual or a partner. Generally,</t>
  </si>
  <si>
    <t>.   .   .   .   .   .   .   .   .   .   .   .   .   .   .   .   .   .   .   .   .   .   .   .   .</t>
  </si>
  <si>
    <t>name as the</t>
  </si>
  <si>
    <t>the ordinary</t>
  </si>
  <si>
    <t>Disposition of property (difference between AMT and regular tax gain or loss)</t>
  </si>
  <si>
    <t>Before you begin:</t>
  </si>
  <si>
    <t>Annuity starting date</t>
  </si>
  <si>
    <r>
      <t>Business income or (loss).  Attach Schedule C or C-EZ.</t>
    </r>
    <r>
      <rPr>
        <b/>
        <sz val="9"/>
        <rFont val="Arial"/>
        <family val="2"/>
      </rPr>
      <t xml:space="preserve">   .   .   .   .   .   .   .   .   .   .   .   .   .   .   .   .   .   .   .   .   .   .   .   .   .   .   .   .   .   .   .   .   .   .   .   .   .   .   .   .   .</t>
    </r>
  </si>
  <si>
    <t>16a</t>
  </si>
  <si>
    <t>16b</t>
  </si>
  <si>
    <t>20a</t>
  </si>
  <si>
    <t>20b</t>
  </si>
  <si>
    <t>12</t>
  </si>
  <si>
    <t>list the firm's</t>
  </si>
  <si>
    <t>Local tax withheld</t>
  </si>
  <si>
    <t>Name of locality</t>
  </si>
  <si>
    <t>Local distribution</t>
  </si>
  <si>
    <t>Total Distributions</t>
  </si>
  <si>
    <t>Subtract line 12 from line 10</t>
  </si>
  <si>
    <t>Subtract line 13 from line 1. If zero or less, enter -0-</t>
  </si>
  <si>
    <t>.   .   .   .   .   .   .   .   .   .   .   .   .   .   .   .   .   .   .   .</t>
  </si>
  <si>
    <t>Internal Revenue Service (99)</t>
  </si>
  <si>
    <t>Other (attach explanation)</t>
  </si>
  <si>
    <t>http://www.excel1040.com</t>
  </si>
  <si>
    <t>you, complete lines 7 through 10.</t>
  </si>
  <si>
    <r>
      <t xml:space="preserve">If any of the three conditions under </t>
    </r>
    <r>
      <rPr>
        <i/>
        <sz val="9"/>
        <rFont val="Arial"/>
        <family val="2"/>
      </rPr>
      <t>Certain Children Under Age 24</t>
    </r>
    <r>
      <rPr>
        <sz val="9"/>
        <rFont val="Arial"/>
        <family val="2"/>
      </rPr>
      <t xml:space="preserve"> apply to</t>
    </r>
  </si>
  <si>
    <r>
      <t xml:space="preserve">Minimum exemption amount for certain children under age 24 </t>
    </r>
    <r>
      <rPr>
        <b/>
        <sz val="9"/>
        <rFont val="Arial"/>
        <family val="2"/>
      </rPr>
      <t xml:space="preserve"> .   .   .   .   .   .   .   .   .   .   .   .   .   .   .   .   .   .   .   .   .   .   .   .   .   .   .   .   .   .   .   .   .   .   .   .   .   .</t>
    </r>
  </si>
  <si>
    <t>Is the amount on line 6 less than the amount on line 5?</t>
  </si>
  <si>
    <t>If you are:</t>
  </si>
  <si>
    <t>Materials and supplies.   .   .   .   .   .   .   .   .   .   .   .   .   .   .   .   .   .   .   .   .   .   .   .   .   .   .   .   .   .   .   .   .   .   .   .   .   .   .   .   .</t>
  </si>
  <si>
    <t>Add lines 35 through 39  .   .   .   .   .   .   .   .   .   .   .   .   .   .   .   .   .   .   .   .   .   .   .   .   .   .   .   .   .   .   .   .   .   .   .   .   .   .   .   .</t>
  </si>
  <si>
    <t>.   .   .   .   .   .   .   .   .   .   .   .   .   .   .</t>
  </si>
  <si>
    <t>Enter tax from</t>
  </si>
  <si>
    <t>Did you report any wages on Form 8919, Uncollected Social</t>
  </si>
  <si>
    <t>Security and Medicare Tax on Wages?</t>
  </si>
  <si>
    <t>Otherwise, go to line 3.</t>
  </si>
  <si>
    <r>
      <t xml:space="preserve">Enter the </t>
    </r>
    <r>
      <rPr>
        <b/>
        <sz val="10"/>
        <rFont val="Arial"/>
        <family val="2"/>
      </rPr>
      <t>smaller</t>
    </r>
    <r>
      <rPr>
        <sz val="10"/>
        <rFont val="Arial"/>
        <family val="2"/>
      </rPr>
      <t xml:space="preserve"> of line 9 above or Schedule D, line 19</t>
    </r>
  </si>
  <si>
    <t>6a.</t>
  </si>
  <si>
    <t>Employer #2</t>
  </si>
  <si>
    <t>Employer #3</t>
  </si>
  <si>
    <t>Applicable?</t>
  </si>
  <si>
    <t>Your annuity starting date is the later of the first day of:</t>
  </si>
  <si>
    <t>or</t>
  </si>
  <si>
    <t xml:space="preserve"> .   .   .   .   .   .   .   .   .   .   .   .   .   .   .   .   .   .   .   .   .   .   .   .   .   .   .   .   .   .   .   .   .   .   .   .   .   .</t>
  </si>
  <si>
    <t>Download Form 6251</t>
  </si>
  <si>
    <t>Download Form 6251 Instructions</t>
  </si>
  <si>
    <t>Month (e.g. 7)</t>
  </si>
  <si>
    <t>Year (e.g. 1964)</t>
  </si>
  <si>
    <t>Your birth day</t>
  </si>
  <si>
    <t>Spouse's birth day</t>
  </si>
  <si>
    <t>Your birth month</t>
  </si>
  <si>
    <t>Spouse's birth month</t>
  </si>
  <si>
    <t>Your birth year</t>
  </si>
  <si>
    <t>Spouse's birth year</t>
  </si>
  <si>
    <t>Day (e.g. 31)</t>
  </si>
  <si>
    <t>foreign trust?  If "Yes," you may have to file Form 3520.  See instructions on back</t>
  </si>
  <si>
    <t xml:space="preserve">.   .   .   .  </t>
  </si>
  <si>
    <t>instructions on</t>
  </si>
  <si>
    <t>back.)</t>
  </si>
  <si>
    <t>.   .   .   .   .   .   .   .   .   .   .   .   .   .   .   .</t>
  </si>
  <si>
    <t>Long-Term Capital Gains and Losses</t>
  </si>
  <si>
    <t>Your IRA</t>
  </si>
  <si>
    <t>SCHEDULE B</t>
  </si>
  <si>
    <t>(Form 1040A or 1040)</t>
  </si>
  <si>
    <t>Interest and Ordinary Dividends</t>
  </si>
  <si>
    <t>Other costs.   .   .   .   .   .   .   .   .   .   .   .   .   .   .   .   .   .   .   .   .   .   .   .   .   .   .   .   .   .   .   .   .   .   .   .   .   .   .   .   .   .   .   .   .   .</t>
  </si>
  <si>
    <t>Also, enter this amount on Form 1040, line 16a</t>
  </si>
  <si>
    <t xml:space="preserve">  .   .   .   .   .   .   .   .   .   .   .   .   .   .   .   .   .   .   .   .   .   .   .   .   .   . </t>
  </si>
  <si>
    <t>If none of your benefits are
taxable, but you must otherwise
file a tax return, do the following:
Enter the total amount from
line A above on Form 1040, line
20a, or Form 1040A, line 14a, 
and enter -0- on Form 1040, line
20b, or Form 1040A, line 14b.</t>
  </si>
  <si>
    <t xml:space="preserve">Excludable interest on series EE and I U.S. savings bonds issued after 1989. </t>
  </si>
  <si>
    <t xml:space="preserve">  .   .   .   .   .   .   .   .   .   .</t>
  </si>
  <si>
    <t xml:space="preserve">  IRA Deduction Worksheet--Line 32  (continued)</t>
  </si>
  <si>
    <t>Form 1040 -- Line 32</t>
  </si>
  <si>
    <t>Enter your qualified dividends from Form 1040, line 9b (or</t>
  </si>
  <si>
    <t xml:space="preserve">  override cell for Form 1040, Line 16.</t>
  </si>
  <si>
    <t>State and Local Income Tax Refund Worksheet -- Line 10</t>
  </si>
  <si>
    <t>this child’s name here.</t>
  </si>
  <si>
    <t xml:space="preserve"> Summary</t>
  </si>
  <si>
    <t>Employee benefit programs</t>
  </si>
  <si>
    <r>
      <t>(other than on line 19)</t>
    </r>
    <r>
      <rPr>
        <b/>
        <sz val="10"/>
        <rFont val="Arial"/>
        <family val="2"/>
      </rPr>
      <t xml:space="preserve">   .   .   .   .   .   .   .   .   .</t>
    </r>
  </si>
  <si>
    <r>
      <t>Insurance (other than health)</t>
    </r>
    <r>
      <rPr>
        <b/>
        <sz val="10"/>
        <rFont val="Arial"/>
        <family val="2"/>
      </rPr>
      <t>.   .   .   .   .   .   .</t>
    </r>
  </si>
  <si>
    <r>
      <t xml:space="preserve">for special rules </t>
    </r>
    <r>
      <rPr>
        <b/>
        <sz val="9"/>
        <rFont val="Arial"/>
        <family val="2"/>
      </rPr>
      <t>.   .   .   .   .   .   .   .   .   .   .   .   .   .   .   .   .   .   .   .   .   .   .   .   .   .   .   .   .   .   .   .   .   .   .   .   .   .</t>
    </r>
  </si>
  <si>
    <t>Theft Losses</t>
  </si>
  <si>
    <t>Interest:</t>
  </si>
  <si>
    <t>If Schedule D, line 7, is a (loss), enter that (loss) here. Otherwise, enter -0-</t>
  </si>
  <si>
    <t>Combine lines 1 through 6. If zero or less, enter -0-. If more than zero, also enter this amount on</t>
  </si>
  <si>
    <t>Schedule D, line 18</t>
  </si>
  <si>
    <r>
      <t>Caution:</t>
    </r>
    <r>
      <rPr>
        <sz val="9"/>
        <rFont val="Arial"/>
        <family val="2"/>
      </rPr>
      <t xml:space="preserve"> Do not include expenses reimbursed or paid by others.</t>
    </r>
  </si>
  <si>
    <t>and</t>
  </si>
  <si>
    <r>
      <t xml:space="preserve">Other taxes.   List type and amount   </t>
    </r>
    <r>
      <rPr>
        <sz val="10"/>
        <rFont val="Marlett"/>
        <charset val="2"/>
      </rPr>
      <t>4</t>
    </r>
  </si>
  <si>
    <t>Accounts</t>
  </si>
  <si>
    <t>7a</t>
  </si>
  <si>
    <t>Paid</t>
  </si>
  <si>
    <t>Preparer's</t>
  </si>
  <si>
    <t>Use Only</t>
  </si>
  <si>
    <t>Enter the total of your (and your spouse’s if filing jointly):</t>
  </si>
  <si>
    <t>for your records.</t>
  </si>
  <si>
    <t>Information from Form SSA-1099, Social Security Benefit Statement</t>
  </si>
  <si>
    <t>Voluntary Federal income Tax Withheld</t>
  </si>
  <si>
    <t>Status:</t>
  </si>
  <si>
    <t>.</t>
  </si>
  <si>
    <t xml:space="preserve"> .   .   .   .   .   .   .   .   .   .   .   .   .   .</t>
  </si>
  <si>
    <t>Married filing separate return.  Enter spouse's SSN above</t>
  </si>
  <si>
    <t>Yes</t>
  </si>
  <si>
    <t>No</t>
  </si>
  <si>
    <t>Married filing separately</t>
  </si>
  <si>
    <t>Head of household</t>
  </si>
  <si>
    <t>Alternative Minimum Tax—Individuals</t>
  </si>
  <si>
    <r>
      <t xml:space="preserve">Sequence No. </t>
    </r>
    <r>
      <rPr>
        <b/>
        <sz val="8"/>
        <rFont val="Arial"/>
        <family val="2"/>
      </rPr>
      <t>32</t>
    </r>
  </si>
  <si>
    <t xml:space="preserve">.   .   .   .   .   .   .   .   .   .   .   .   .   .   . </t>
  </si>
  <si>
    <t>Standard</t>
  </si>
  <si>
    <t xml:space="preserve"> No.</t>
  </si>
  <si>
    <t>Inventory at beginning of the year.  If different from last year's closing inventory, attach explanation.   .   .   .   .   .   .</t>
  </si>
  <si>
    <t>Form 4563 (exclusion of income for residents of American Samoa)</t>
  </si>
  <si>
    <t xml:space="preserve">No </t>
  </si>
  <si>
    <t>income-producing factor, minus any deductions on Form 1040,</t>
  </si>
  <si>
    <t>Add lines 8 and 9</t>
  </si>
  <si>
    <r>
      <t>stop here</t>
    </r>
    <r>
      <rPr>
        <i/>
        <sz val="10"/>
        <rFont val="Arial"/>
        <family val="2"/>
      </rPr>
      <t xml:space="preserve"> and </t>
    </r>
  </si>
  <si>
    <t>see Pub. 590 to figure your IRA deduction.</t>
  </si>
  <si>
    <r>
      <t xml:space="preserve">On line 12a, enter the </t>
    </r>
    <r>
      <rPr>
        <b/>
        <sz val="10"/>
        <rFont val="Arial"/>
        <family val="2"/>
      </rPr>
      <t>smallest</t>
    </r>
    <r>
      <rPr>
        <sz val="10"/>
        <rFont val="Arial"/>
        <family val="2"/>
      </rPr>
      <t xml:space="preserve"> of line 7a, 10, or 11a. On line 12b, enter the </t>
    </r>
    <r>
      <rPr>
        <b/>
        <sz val="10"/>
        <rFont val="Arial"/>
        <family val="2"/>
      </rPr>
      <t>smallest</t>
    </r>
  </si>
  <si>
    <t>of line 7b, 10, or 11b. This is the most you can deduct. Add the amounts on lines 12a</t>
  </si>
  <si>
    <t>a smaller amount and treat the rest as a nondeductible contribution (see Form 8606).</t>
  </si>
  <si>
    <t>Taxable amount</t>
  </si>
  <si>
    <t>Payer #1</t>
  </si>
  <si>
    <t>Payer #2</t>
  </si>
  <si>
    <t>Payer #3</t>
  </si>
  <si>
    <t>Enter the amount, if any, from Form 1040, line 8b</t>
  </si>
  <si>
    <r>
      <t xml:space="preserve">separately and you </t>
    </r>
    <r>
      <rPr>
        <b/>
        <sz val="10"/>
        <rFont val="Arial"/>
        <family val="2"/>
      </rPr>
      <t>lived apart</t>
    </r>
    <r>
      <rPr>
        <sz val="10"/>
        <rFont val="Arial"/>
        <family val="2"/>
      </rPr>
      <t xml:space="preserve"> from your spouse for all of</t>
    </r>
  </si>
  <si>
    <t>Married filing separately and you lived with your spouse at any time</t>
  </si>
  <si>
    <t>9a</t>
  </si>
  <si>
    <t>9b</t>
  </si>
  <si>
    <t>Your percentage of  total distribution</t>
  </si>
  <si>
    <t>Do you have qualified dividends on Form 1040, line 9b, or Form 1040NR, line 10b?</t>
  </si>
  <si>
    <t>B</t>
  </si>
  <si>
    <t>Enter one-half of the amount on line A</t>
  </si>
  <si>
    <t>Enter any tax-exempt interest such as interest on municipal bonds</t>
  </si>
  <si>
    <t>D</t>
  </si>
  <si>
    <t>IRA distributions</t>
  </si>
  <si>
    <t>note applies to</t>
  </si>
  <si>
    <t>you.</t>
  </si>
  <si>
    <t>Form 2555 or 2555-EZ (relating to foreign earned income)</t>
  </si>
  <si>
    <t>– Best viewed at 1024x768 resolution.</t>
  </si>
  <si>
    <t>Form</t>
  </si>
  <si>
    <t>self-employment if your personal services were a material</t>
  </si>
  <si>
    <t>Are you a minister, member of a religious order, or Christian</t>
  </si>
  <si>
    <t>tax on other earnings?</t>
  </si>
  <si>
    <t>if:</t>
  </si>
  <si>
    <t>Check</t>
  </si>
  <si>
    <t xml:space="preserve">   Income</t>
  </si>
  <si>
    <t>1.</t>
  </si>
  <si>
    <t>10.</t>
  </si>
  <si>
    <t>11.</t>
  </si>
  <si>
    <t>12.</t>
  </si>
  <si>
    <t>Subtract line 6 from line 2.</t>
  </si>
  <si>
    <t xml:space="preserve"> .   .   .   .   .   .   .   .   .   .   .   .   .   .   .   .   .   .   .   .   .   .   .   .   .   .   .   .   .   .   .   .</t>
  </si>
  <si>
    <t>Exemptions.</t>
  </si>
  <si>
    <t>through 31a, plus any write-in adjustments you entered on</t>
  </si>
  <si>
    <t xml:space="preserve">.   .   .   .   .   .   .   .   .   .   .   .   .   .   .   .   .   .   .   .   .   .   .   .   .   .   . </t>
  </si>
  <si>
    <r>
      <t>b</t>
    </r>
    <r>
      <rPr>
        <sz val="8"/>
        <rFont val="Arial"/>
        <family val="2"/>
      </rPr>
      <t xml:space="preserve"> Commuting (See instructions)</t>
    </r>
  </si>
  <si>
    <t>Divide line 2 by the number on line 3</t>
  </si>
  <si>
    <t xml:space="preserve">      Attachment</t>
  </si>
  <si>
    <t>Is the amount on line 5 less than the amount on line 2?</t>
  </si>
  <si>
    <t>All investment at risk.</t>
  </si>
  <si>
    <t>32b</t>
  </si>
  <si>
    <t>Your age at</t>
  </si>
  <si>
    <t>If your filing status is MFS</t>
  </si>
  <si>
    <t>Mining costs (difference between regular tax and AMT)</t>
  </si>
  <si>
    <t>NOTE:  Check every calculation carefully!!!</t>
  </si>
  <si>
    <t>Social security wages</t>
  </si>
  <si>
    <t>Social security tax withheld</t>
  </si>
  <si>
    <t>Medicare wages and tips</t>
  </si>
  <si>
    <t>Medicare tax withheld</t>
  </si>
  <si>
    <t>Casualty and</t>
  </si>
  <si>
    <r>
      <t xml:space="preserve">Page   </t>
    </r>
    <r>
      <rPr>
        <b/>
        <sz val="10"/>
        <rFont val="Arial"/>
        <family val="2"/>
      </rPr>
      <t>2</t>
    </r>
  </si>
  <si>
    <t>PART III</t>
  </si>
  <si>
    <t>Car and truck expenses</t>
  </si>
  <si>
    <t>Other business property</t>
  </si>
  <si>
    <r>
      <t xml:space="preserve">Enter the income tax refund from </t>
    </r>
    <r>
      <rPr>
        <b/>
        <sz val="10"/>
        <rFont val="Arial"/>
        <family val="2"/>
      </rPr>
      <t>Form(s) 1099-G</t>
    </r>
    <r>
      <rPr>
        <sz val="10"/>
        <rFont val="Arial"/>
        <family val="2"/>
      </rPr>
      <t xml:space="preserve"> (or similar statement).  But </t>
    </r>
    <r>
      <rPr>
        <b/>
        <sz val="10"/>
        <rFont val="Arial"/>
        <family val="2"/>
      </rPr>
      <t>do not</t>
    </r>
    <r>
      <rPr>
        <sz val="10"/>
        <rFont val="Arial"/>
        <family val="2"/>
      </rPr>
      <t xml:space="preserve"> enter more than</t>
    </r>
  </si>
  <si>
    <t>Note.</t>
  </si>
  <si>
    <t>®</t>
  </si>
  <si>
    <t>dependents, see</t>
  </si>
  <si>
    <t>Vehicles, machinery and equipment</t>
  </si>
  <si>
    <t>Form 5329 is</t>
  </si>
  <si>
    <r>
      <t>Taxable</t>
    </r>
    <r>
      <rPr>
        <sz val="9"/>
        <rFont val="Arial"/>
        <family val="2"/>
      </rPr>
      <t xml:space="preserve"> interest.  Attach Schedule B if required.</t>
    </r>
    <r>
      <rPr>
        <b/>
        <sz val="9"/>
        <rFont val="Arial"/>
        <family val="2"/>
      </rPr>
      <t xml:space="preserve">   .   .   .   .   .   .   .   .   .   .   .   .   .   .   .   .   .   .   .   .   .   .   .   .   .   .   .</t>
    </r>
  </si>
  <si>
    <t>.   .   .   .   .   .   .   .   .   .   .   .   .   .   .   .   .   .   .   .   .   .</t>
  </si>
  <si>
    <t xml:space="preserve"> You</t>
  </si>
  <si>
    <t xml:space="preserve"> Spouse</t>
  </si>
  <si>
    <t>If your figures show that part
of your benefits may be taxable,
see Social Security Benefits in
your federal income tax return
instructions. If they do not, none
of your benefits are taxable this
year unless you exclude income
from sources outside the United
States, interest income from
series EE or I U.S. savings
bonds issued after 1989, or
employer-provided adoption
benefits. For more details, see
IRS Pub. 915 or contact the IRS
as explained below.</t>
  </si>
  <si>
    <t>Cost of labor.  Do not include salary paid to yourself.   .   .   .   .   .   .   .   .   .   .   .   .   .   .   .   .   .   .   .   .   .   .   .   .   .   .   .</t>
  </si>
  <si>
    <t>Part III</t>
  </si>
  <si>
    <t>Download Form 1040 Schedule D</t>
  </si>
  <si>
    <t>IRA Deduction Worksheet--Line 32</t>
  </si>
  <si>
    <r>
      <t>Gross income.</t>
    </r>
    <r>
      <rPr>
        <sz val="9"/>
        <rFont val="Arial"/>
        <family val="2"/>
      </rPr>
      <t xml:space="preserve">  Add lines 5 and 6</t>
    </r>
    <r>
      <rPr>
        <b/>
        <sz val="9"/>
        <rFont val="Arial"/>
        <family val="2"/>
      </rPr>
      <t>.   .   .   .   .   .   .   .   .   .   .   .   .   .   .   .   .   .   .   .   .   .   .   .   .   .   .   .   .   .   .   .   .   .   .   .</t>
    </r>
  </si>
  <si>
    <t>Schedule K-1 from a partnership, S corporation, estate, or trust.</t>
  </si>
  <si>
    <t>State/payer's state no.</t>
  </si>
  <si>
    <t xml:space="preserve"> IMPORTANT !</t>
  </si>
  <si>
    <t>For Paperwork Reduction Act Notice, see Form 1040 instructions.</t>
  </si>
  <si>
    <t>Do you (or your spouse) have another vehicle available for personal use?   .   .   .   .</t>
  </si>
  <si>
    <r>
      <t xml:space="preserve">on earnings from these sources, </t>
    </r>
    <r>
      <rPr>
        <b/>
        <sz val="8"/>
        <rFont val="Arial"/>
        <family val="2"/>
      </rPr>
      <t>but</t>
    </r>
    <r>
      <rPr>
        <sz val="8"/>
        <rFont val="Arial"/>
        <family val="2"/>
      </rPr>
      <t xml:space="preserve"> you owe self-employment</t>
    </r>
  </si>
  <si>
    <r>
      <t xml:space="preserve">that you </t>
    </r>
    <r>
      <rPr>
        <b/>
        <sz val="8"/>
        <rFont val="Arial"/>
        <family val="2"/>
      </rPr>
      <t>did not</t>
    </r>
    <r>
      <rPr>
        <sz val="8"/>
        <rFont val="Arial"/>
        <family val="2"/>
      </rPr>
      <t xml:space="preserve"> report to your employer?</t>
    </r>
  </si>
  <si>
    <t>Social security benefits</t>
  </si>
  <si>
    <t xml:space="preserve">Part I </t>
  </si>
  <si>
    <t xml:space="preserve">complete this </t>
  </si>
  <si>
    <t>worksheet anyway.</t>
  </si>
  <si>
    <t>Check here to</t>
  </si>
  <si>
    <r>
      <t xml:space="preserve"> This is your </t>
    </r>
    <r>
      <rPr>
        <b/>
        <sz val="9"/>
        <rFont val="Arial"/>
        <family val="2"/>
      </rPr>
      <t>total income</t>
    </r>
    <r>
      <rPr>
        <sz val="9"/>
        <rFont val="Arial"/>
        <family val="2"/>
      </rPr>
      <t xml:space="preserve">       </t>
    </r>
  </si>
  <si>
    <t>.   .   .   .   .   .   .   .</t>
  </si>
  <si>
    <t>Enter the amount shown below that applies to you.</t>
  </si>
  <si>
    <r>
      <t xml:space="preserve">Single, head of household, or married filing separately and you </t>
    </r>
    <r>
      <rPr>
        <b/>
        <sz val="10"/>
        <rFont val="Arial"/>
        <family val="2"/>
      </rPr>
      <t>lived apart</t>
    </r>
  </si>
  <si>
    <t>covered by a plan</t>
  </si>
  <si>
    <t>Enter one-half of line 12   .   .   .   .   .   .   .   .   .   .   .   .</t>
  </si>
  <si>
    <r>
      <t xml:space="preserve">Enter the </t>
    </r>
    <r>
      <rPr>
        <b/>
        <sz val="10"/>
        <rFont val="Arial"/>
        <family val="2"/>
      </rPr>
      <t>smaller</t>
    </r>
    <r>
      <rPr>
        <sz val="10"/>
        <rFont val="Arial"/>
        <family val="2"/>
      </rPr>
      <t xml:space="preserve"> of line 2 or line 13.   .   .   .   .   .   .</t>
    </r>
  </si>
  <si>
    <t>Direct deposit?</t>
  </si>
  <si>
    <r>
      <t xml:space="preserve">Spouse’s signature. If a joint return, </t>
    </r>
    <r>
      <rPr>
        <b/>
        <sz val="7"/>
        <rFont val="Arial"/>
        <family val="2"/>
      </rPr>
      <t>both</t>
    </r>
    <r>
      <rPr>
        <sz val="7"/>
        <rFont val="Arial"/>
        <family val="2"/>
      </rPr>
      <t xml:space="preserve"> must sign.</t>
    </r>
  </si>
  <si>
    <t>Keep a copy</t>
  </si>
  <si>
    <t>Gifts to</t>
  </si>
  <si>
    <t>Charity</t>
  </si>
  <si>
    <t>If you made a</t>
  </si>
  <si>
    <t>gift and got a</t>
  </si>
  <si>
    <t>benefit for it,</t>
  </si>
  <si>
    <t>No. of Employers</t>
  </si>
  <si>
    <r>
      <t>STOP</t>
    </r>
    <r>
      <rPr>
        <sz val="10"/>
        <rFont val="Arial"/>
        <family val="2"/>
      </rPr>
      <t xml:space="preserve">   None of your refund is taxable.</t>
    </r>
  </si>
  <si>
    <t>Alimony paid</t>
  </si>
  <si>
    <t>The number</t>
  </si>
  <si>
    <t>of months</t>
  </si>
  <si>
    <t>must be no</t>
  </si>
  <si>
    <t>more than 12.</t>
  </si>
  <si>
    <t>Enter one-half of line 1</t>
  </si>
  <si>
    <t>l</t>
  </si>
  <si>
    <t>2a</t>
  </si>
  <si>
    <t>2b</t>
  </si>
  <si>
    <t>Simplified Method Worksheet–--Lines 16a and 16b</t>
  </si>
  <si>
    <t>Table 2 For Line 3 Above</t>
  </si>
  <si>
    <t>Total social security</t>
  </si>
  <si>
    <t>wages and tips</t>
  </si>
  <si>
    <t>Business name.  If no separate business name, leave blank.</t>
  </si>
  <si>
    <t>Add the amounts on line 5. Enter the total here and on Form 1040A, or Form</t>
  </si>
  <si>
    <t>1040, line 9a</t>
  </si>
  <si>
    <t>20.</t>
  </si>
  <si>
    <t>21.</t>
  </si>
  <si>
    <t>22.</t>
  </si>
  <si>
    <t>23.</t>
  </si>
  <si>
    <t>24.</t>
  </si>
  <si>
    <t>25.</t>
  </si>
  <si>
    <t>26.</t>
  </si>
  <si>
    <t>27.</t>
  </si>
  <si>
    <t>32.</t>
  </si>
  <si>
    <t>33.</t>
  </si>
  <si>
    <t>Enter:</t>
  </si>
  <si>
    <r>
      <t xml:space="preserve">Mortgage (paid to banks, etc.) </t>
    </r>
    <r>
      <rPr>
        <b/>
        <sz val="10"/>
        <rFont val="Arial"/>
        <family val="2"/>
      </rPr>
      <t xml:space="preserve">  .   .   .   .   .   .</t>
    </r>
  </si>
  <si>
    <t>Ordinary</t>
  </si>
  <si>
    <t>Dividends</t>
  </si>
  <si>
    <t>tax credit.</t>
  </si>
  <si>
    <t>This is your child</t>
  </si>
  <si>
    <t>Worksheet</t>
  </si>
  <si>
    <r>
      <t xml:space="preserve">Penalty on early withdrawal of savings </t>
    </r>
    <r>
      <rPr>
        <b/>
        <sz val="9"/>
        <rFont val="Arial"/>
        <family val="2"/>
      </rPr>
      <t xml:space="preserve"> .   .   .   .   .   .   .   .   .   .   .   .   .   .   .   .   .   .   .   .   .   .   .   .   .   .   .   .   .   .   .   .   .   .   .   .   .   .   .   .   .</t>
    </r>
  </si>
  <si>
    <t>2555 or 2555-EZ (relating to foreign earned income), enter the amount from</t>
  </si>
  <si>
    <r>
      <t>Enter the amount from Form 1040, line 9b*</t>
    </r>
    <r>
      <rPr>
        <b/>
        <sz val="9"/>
        <rFont val="Arial"/>
        <family val="2"/>
      </rPr>
      <t xml:space="preserve"> .    .    .    .    .    .    .</t>
    </r>
  </si>
  <si>
    <t>Are you filing Schedule D?*</t>
  </si>
  <si>
    <r>
      <t xml:space="preserve">Enter the </t>
    </r>
    <r>
      <rPr>
        <b/>
        <sz val="10"/>
        <rFont val="Arial"/>
        <family val="2"/>
      </rPr>
      <t>smaller</t>
    </r>
    <r>
      <rPr>
        <sz val="10"/>
        <rFont val="Arial"/>
        <family val="2"/>
      </rPr>
      <t xml:space="preserve"> of: two-thirds (2 ⁄3) of gross nonfarm income</t>
    </r>
    <r>
      <rPr>
        <vertAlign val="superscript"/>
        <sz val="10"/>
        <rFont val="Arial"/>
        <family val="2"/>
      </rPr>
      <t>4</t>
    </r>
    <r>
      <rPr>
        <sz val="10"/>
        <rFont val="Arial"/>
        <family val="2"/>
      </rPr>
      <t xml:space="preserve"> (not less than zero) </t>
    </r>
    <r>
      <rPr>
        <b/>
        <sz val="10"/>
        <rFont val="Arial"/>
        <family val="2"/>
      </rPr>
      <t>or</t>
    </r>
    <r>
      <rPr>
        <sz val="10"/>
        <rFont val="Arial"/>
        <family val="2"/>
      </rPr>
      <t xml:space="preserve"> the amount</t>
    </r>
  </si>
  <si>
    <t>SCHEDULE C</t>
  </si>
  <si>
    <t>Profit or Loss from Business</t>
  </si>
  <si>
    <t>(Sole Proprietorship)</t>
  </si>
  <si>
    <r>
      <t xml:space="preserve">Sequence No. </t>
    </r>
    <r>
      <rPr>
        <b/>
        <sz val="8"/>
        <rFont val="Arial"/>
        <family val="2"/>
      </rPr>
      <t>09</t>
    </r>
  </si>
  <si>
    <t>Name of Proprietor</t>
  </si>
  <si>
    <t>Single, HOH, MFS</t>
  </si>
  <si>
    <t>MFJ, QWidow(er)</t>
  </si>
  <si>
    <t>expense deduction (not included</t>
  </si>
  <si>
    <t>P</t>
  </si>
  <si>
    <t>Payer #4</t>
  </si>
  <si>
    <t>5a</t>
  </si>
  <si>
    <t>5b</t>
  </si>
  <si>
    <t>E</t>
  </si>
  <si>
    <t>City, town or post office, state, and ZIP code</t>
  </si>
  <si>
    <t>F</t>
  </si>
  <si>
    <t xml:space="preserve">.   .   .   .   .   .   .   .   .   .   .   .   .   .   .   .   .   . </t>
  </si>
  <si>
    <t>Depreciation on assets placed in service after 1986 (difference between regular tax and AMT)</t>
  </si>
  <si>
    <t>Part 1</t>
  </si>
  <si>
    <r>
      <t>worksheet last year, enter the amount from line 10 of last year’s worksheet.</t>
    </r>
    <r>
      <rPr>
        <b/>
        <sz val="9"/>
        <rFont val="Arial"/>
        <family val="2"/>
      </rPr>
      <t xml:space="preserve">   .    .    .</t>
    </r>
  </si>
  <si>
    <t>Complete Form 1040, lines 21 and 23 through 32, if they apply to you.</t>
  </si>
  <si>
    <r>
      <t xml:space="preserve">Use this worksheet to figure your tax if </t>
    </r>
    <r>
      <rPr>
        <u/>
        <sz val="10"/>
        <rFont val="Arial"/>
        <family val="2"/>
      </rPr>
      <t>any</t>
    </r>
    <r>
      <rPr>
        <sz val="10"/>
        <rFont val="Arial"/>
        <family val="2"/>
      </rPr>
      <t xml:space="preserve"> of the following apply:</t>
    </r>
  </si>
  <si>
    <t>Third Party</t>
  </si>
  <si>
    <t>Designee</t>
  </si>
  <si>
    <t>Add lines 8a, 8b, and 8c</t>
  </si>
  <si>
    <t>8d</t>
  </si>
  <si>
    <t>Unreported tips subject to social security tax (from Form 4137, line 10)</t>
  </si>
  <si>
    <t>Wages subject to social security tax (from Form 8919, line 10)</t>
  </si>
  <si>
    <t>Subtract line 8d from line 7. If zero or less, enter -0- here and on line 10 and go to line 11.</t>
  </si>
  <si>
    <t>Under penalties of perjury, I declare that I have examined this return and accompanying schedules and statements, and to the best of my knowledge and belief,</t>
  </si>
  <si>
    <t>they are true, correct, and complete. Declaration of preparer (other than taxpayer) is based on all information of which preparer has any knowledge.</t>
  </si>
  <si>
    <t>Itemized Deductions</t>
  </si>
  <si>
    <t>SCHEDULE A</t>
  </si>
  <si>
    <t>page A-10.)</t>
  </si>
  <si>
    <r>
      <t xml:space="preserve">1. Your annuity starting date (defined above) was after July 1, 1986, </t>
    </r>
    <r>
      <rPr>
        <u/>
        <sz val="10"/>
        <rFont val="Arial"/>
        <family val="2"/>
      </rPr>
      <t>and</t>
    </r>
    <r>
      <rPr>
        <sz val="10"/>
        <rFont val="Arial"/>
        <family val="2"/>
      </rPr>
      <t xml:space="preserve"> you used this method last year to figure the taxable part.</t>
    </r>
  </si>
  <si>
    <t xml:space="preserve">       or</t>
  </si>
  <si>
    <t xml:space="preserve"> Yes</t>
  </si>
  <si>
    <t xml:space="preserve"> No</t>
  </si>
  <si>
    <t>(above)</t>
  </si>
  <si>
    <r>
      <t>and</t>
    </r>
    <r>
      <rPr>
        <sz val="10"/>
        <rFont val="Arial"/>
        <family val="2"/>
      </rPr>
      <t xml:space="preserve"> </t>
    </r>
    <r>
      <rPr>
        <b/>
        <sz val="10"/>
        <rFont val="Arial"/>
        <family val="2"/>
      </rPr>
      <t>both</t>
    </r>
    <r>
      <rPr>
        <sz val="10"/>
        <rFont val="Arial"/>
        <family val="2"/>
      </rPr>
      <t xml:space="preserve"> of the following apply.</t>
    </r>
  </si>
  <si>
    <t>annuity starting date</t>
  </si>
  <si>
    <t>Combined ages at</t>
  </si>
  <si>
    <t>qualifying</t>
  </si>
  <si>
    <t>If "Yes", is the evidence written?</t>
  </si>
  <si>
    <r>
      <t xml:space="preserve">Science practitioner who received IRS approval </t>
    </r>
    <r>
      <rPr>
        <b/>
        <sz val="8"/>
        <rFont val="Arial"/>
        <family val="2"/>
      </rPr>
      <t>not</t>
    </r>
    <r>
      <rPr>
        <sz val="8"/>
        <rFont val="Arial"/>
        <family val="2"/>
      </rPr>
      <t xml:space="preserve"> to be taxed</t>
    </r>
  </si>
  <si>
    <t>1065), box 14, code A</t>
  </si>
  <si>
    <t>Download Form 1040 Schedule A</t>
  </si>
  <si>
    <t>Download Form 1040 Schedule A Instructions</t>
  </si>
  <si>
    <t xml:space="preserve"> </t>
  </si>
  <si>
    <t>Interest</t>
  </si>
  <si>
    <r>
      <t xml:space="preserve">Form 4972 here </t>
    </r>
    <r>
      <rPr>
        <sz val="8"/>
        <rFont val="Symbol"/>
        <family val="1"/>
        <charset val="2"/>
      </rPr>
      <t>¯</t>
    </r>
  </si>
  <si>
    <t>If you did not</t>
  </si>
  <si>
    <t>b. On your annuity starting date, either:</t>
  </si>
  <si>
    <t>(mm/dd/yyyy)</t>
  </si>
  <si>
    <t>If you do not have to file Schedule D and you received capital gain distributions, be sure</t>
  </si>
  <si>
    <r>
      <t>Gross profit.</t>
    </r>
    <r>
      <rPr>
        <sz val="9"/>
        <rFont val="Arial"/>
        <family val="2"/>
      </rPr>
      <t xml:space="preserve">  Subtract line 4 from line 3</t>
    </r>
    <r>
      <rPr>
        <b/>
        <sz val="9"/>
        <rFont val="Arial"/>
        <family val="2"/>
      </rPr>
      <t>.   .   .   .   .   .   .   .   .   .   .   .   .   .   .   .   .   .   .   .   .   .   .   .   .   .   .   .   .   .   .   .   .   .   .   .</t>
    </r>
  </si>
  <si>
    <t>Spouse's social security number</t>
  </si>
  <si>
    <t>P/A</t>
  </si>
  <si>
    <t xml:space="preserve">  and 16b (on the "Line 16" tab) to verify the taxable amount is </t>
  </si>
  <si>
    <t>.   .   .   .   .   .   .   .   .</t>
  </si>
  <si>
    <t>May I Use Short Schedule SE or Must I Use Long Schedule SE?</t>
  </si>
  <si>
    <r>
      <t xml:space="preserve"> No. </t>
    </r>
    <r>
      <rPr>
        <sz val="10"/>
        <rFont val="Arial"/>
        <family val="2"/>
      </rPr>
      <t xml:space="preserve">  </t>
    </r>
    <r>
      <rPr>
        <b/>
        <sz val="10"/>
        <rFont val="Arial"/>
        <family val="2"/>
      </rPr>
      <t>STOP</t>
    </r>
    <r>
      <rPr>
        <sz val="10"/>
        <rFont val="Arial"/>
        <family val="2"/>
      </rPr>
      <t xml:space="preserve">  None of your social security benefits are taxable.  Enter -0- on Form 1040, line</t>
    </r>
  </si>
  <si>
    <t xml:space="preserve">                    20b.</t>
  </si>
  <si>
    <t>Also, enter this amount on Form 1040, line 20b.</t>
  </si>
  <si>
    <t>Internal Revenue Service</t>
  </si>
  <si>
    <t>Form W-2</t>
  </si>
  <si>
    <t>Download Form 1040 Schedule SE</t>
  </si>
  <si>
    <t>Download Form 1040 Schedule SE Instructions</t>
  </si>
  <si>
    <t>, ending</t>
  </si>
  <si>
    <r>
      <t xml:space="preserve">Page </t>
    </r>
    <r>
      <rPr>
        <sz val="9"/>
        <rFont val="Arial"/>
        <family val="2"/>
      </rPr>
      <t xml:space="preserve"> </t>
    </r>
    <r>
      <rPr>
        <b/>
        <sz val="10"/>
        <rFont val="Arial"/>
        <family val="2"/>
      </rPr>
      <t>2</t>
    </r>
  </si>
  <si>
    <t>4.</t>
  </si>
  <si>
    <t>SCHEDULE D</t>
  </si>
  <si>
    <t>Capital Gains and Losses</t>
  </si>
  <si>
    <t>Other</t>
  </si>
  <si>
    <t>CGTW_Line1</t>
  </si>
  <si>
    <t xml:space="preserve">  .   .</t>
  </si>
  <si>
    <t>Please enter the</t>
  </si>
  <si>
    <t>amount for line 1b</t>
  </si>
  <si>
    <t>as a negative amount.</t>
  </si>
  <si>
    <r>
      <t xml:space="preserve">Enter the amount from Form 4952, line 4e* </t>
    </r>
    <r>
      <rPr>
        <b/>
        <sz val="10"/>
        <rFont val="Arial"/>
        <family val="2"/>
      </rPr>
      <t>.   .   .   .   .   .   .   .   .   .</t>
    </r>
  </si>
  <si>
    <t>Subtract line 5 from line 2. If zero or less, enter -0-**</t>
  </si>
  <si>
    <t>Subtract line 8 from line 7. If zero or less, enter -0-**</t>
  </si>
  <si>
    <t>Add lines 18 and 19 of Schedule D**</t>
  </si>
  <si>
    <t>Amount entered on Form 1040, line 32 --&gt;</t>
  </si>
  <si>
    <t>Figure any write-in adjustments to be entered on the dotted line next to line 36 (see the</t>
  </si>
  <si>
    <t>.   .   .   .   .   .   .   .   .   .   .   .   .   .   .   .   .   .   .   .   .   .   .   .</t>
  </si>
  <si>
    <t>6b.</t>
  </si>
  <si>
    <r>
      <t xml:space="preserve">Overide </t>
    </r>
    <r>
      <rPr>
        <b/>
        <sz val="10"/>
        <rFont val="Wingdings"/>
        <charset val="2"/>
      </rPr>
      <t>ê</t>
    </r>
  </si>
  <si>
    <t>IRA</t>
  </si>
  <si>
    <t>Total Pension / Annunities</t>
  </si>
  <si>
    <r>
      <t xml:space="preserve">Override </t>
    </r>
    <r>
      <rPr>
        <b/>
        <sz val="10"/>
        <rFont val="Wingdings"/>
        <charset val="2"/>
      </rPr>
      <t>ê</t>
    </r>
  </si>
  <si>
    <t>Cat. No. 11320B</t>
  </si>
  <si>
    <t>nondeductible IRA contributions, see Form 8606.</t>
  </si>
  <si>
    <t>Pensions and annuities</t>
  </si>
  <si>
    <t>Enter the amount shown below for the filing status</t>
  </si>
  <si>
    <t>No.</t>
  </si>
  <si>
    <t>Enter -0-.</t>
  </si>
  <si>
    <t>Yes.</t>
  </si>
  <si>
    <t>Qualifying widow(er)</t>
  </si>
  <si>
    <r>
      <t xml:space="preserve"> </t>
    </r>
    <r>
      <rPr>
        <b/>
        <sz val="9"/>
        <rFont val="Arial"/>
        <family val="2"/>
      </rPr>
      <t xml:space="preserve"> a</t>
    </r>
    <r>
      <rPr>
        <sz val="9"/>
        <rFont val="Arial"/>
        <family val="2"/>
      </rPr>
      <t xml:space="preserve">   </t>
    </r>
    <r>
      <rPr>
        <sz val="8"/>
        <rFont val="Arial"/>
        <family val="2"/>
      </rPr>
      <t>Business</t>
    </r>
  </si>
  <si>
    <t>starting date</t>
  </si>
  <si>
    <r>
      <t xml:space="preserve">widow(er), or married filing separately and you </t>
    </r>
    <r>
      <rPr>
        <b/>
        <sz val="10"/>
        <rFont val="Arial"/>
        <family val="2"/>
      </rPr>
      <t>lived apart</t>
    </r>
    <r>
      <rPr>
        <sz val="10"/>
        <rFont val="Arial"/>
        <family val="2"/>
      </rPr>
      <t xml:space="preserve"> from your spouse for all of</t>
    </r>
  </si>
  <si>
    <r>
      <t xml:space="preserve">Ordinary dividends.  Attach Schedule B if required. </t>
    </r>
    <r>
      <rPr>
        <b/>
        <sz val="9"/>
        <rFont val="Arial"/>
        <family val="2"/>
      </rPr>
      <t xml:space="preserve">  .   .   .   .   .   .   .   .   .   .   .   .   .   .   .   .   .   .   .   .   .   .   .   .   .   .   .</t>
    </r>
  </si>
  <si>
    <t>Are you excluding income from Puerto Rico or are you filing any of the following forms?</t>
  </si>
  <si>
    <t xml:space="preserve">· </t>
  </si>
  <si>
    <t>Total employee contributions</t>
  </si>
  <si>
    <t>State tax withheld</t>
  </si>
  <si>
    <t>28% Rate Gain Worksheet — Line 18</t>
  </si>
  <si>
    <r>
      <t>box 11, code C</t>
    </r>
    <r>
      <rPr>
        <b/>
        <sz val="10"/>
        <rFont val="Arial"/>
        <family val="2"/>
      </rPr>
      <t xml:space="preserve"> .   .   .   .   .   .   .   .   .   .   .   .   .   .   .   .   .   .   .   .   .   .   .   .   .   .   .   .   .   .   .   .   .   .   .   .   .   .   .   .   .   .   .   .   .   .   .</t>
    </r>
  </si>
  <si>
    <t>Long-term contracts (difference between AMT and regular tax income)</t>
  </si>
  <si>
    <t xml:space="preserve">Circulation costs (difference between regular tax and AMT) </t>
  </si>
  <si>
    <t xml:space="preserve">Loss limitations (difference between AMT and regular tax income or loss) </t>
  </si>
  <si>
    <t>children.</t>
  </si>
  <si>
    <t>Depreciation and section 179</t>
  </si>
  <si>
    <r>
      <t xml:space="preserve">value closing inventory       </t>
    </r>
    <r>
      <rPr>
        <b/>
        <sz val="9"/>
        <rFont val="Arial"/>
        <family val="2"/>
      </rPr>
      <t>a</t>
    </r>
  </si>
  <si>
    <r>
      <t xml:space="preserve">or railroad retirement (tier 1) tax </t>
    </r>
    <r>
      <rPr>
        <b/>
        <sz val="8"/>
        <rFont val="Arial"/>
        <family val="2"/>
      </rPr>
      <t>plus</t>
    </r>
    <r>
      <rPr>
        <sz val="8"/>
        <rFont val="Arial"/>
        <family val="2"/>
      </rPr>
      <t xml:space="preserve"> your net earnings from</t>
    </r>
  </si>
  <si>
    <t>box 14, code A (other than farming); and Schedule K-1 (Form 1065-B), box 9, code J1.</t>
  </si>
  <si>
    <t xml:space="preserve">.   .   .   .   .   .   .   .   .   .   .   .   .   .   .   .   .   .   .   .   .   .   .   . </t>
  </si>
  <si>
    <t xml:space="preserve"> .   .   .   .   .   .   .   .   .   .   .   .   .   .   .   .   .   .   .   .   .   .   .   .   .   .   .   .   . </t>
  </si>
  <si>
    <r>
      <t xml:space="preserve">  </t>
    </r>
    <r>
      <rPr>
        <b/>
        <sz val="9"/>
        <rFont val="Marlett"/>
        <charset val="2"/>
      </rPr>
      <t>4</t>
    </r>
    <r>
      <rPr>
        <b/>
        <sz val="9"/>
        <rFont val="Arial"/>
        <family val="2"/>
      </rPr>
      <t xml:space="preserve">  Attach to Form 1040 or Form 1040NR.</t>
    </r>
  </si>
  <si>
    <t>Name(s) shown on Form 1040 or Form 1040NR</t>
  </si>
  <si>
    <t>If you elect to itemize deductions even though they are less than your standard</t>
  </si>
  <si>
    <t>6a</t>
  </si>
  <si>
    <t xml:space="preserve">Number of qualifying children:  </t>
  </si>
  <si>
    <t>13.</t>
  </si>
  <si>
    <t>14.</t>
  </si>
  <si>
    <t>15.</t>
  </si>
  <si>
    <t>Miscellaneous</t>
  </si>
  <si>
    <t>Deductions</t>
  </si>
  <si>
    <t>Research and experimental costs (difference between regular tax and AMT)</t>
  </si>
  <si>
    <t>use the Schedule D Tax Worksheet on page D-10 of the Instructions for Schedule D to figure your tax.</t>
  </si>
  <si>
    <t>Taxable income.</t>
  </si>
  <si>
    <t>(See</t>
  </si>
  <si>
    <t>You Paid</t>
  </si>
  <si>
    <t>Income taxes, or</t>
  </si>
  <si>
    <t>you checked the box on line 13 of Form 1040.</t>
  </si>
  <si>
    <t>after</t>
  </si>
  <si>
    <t>before</t>
  </si>
  <si>
    <t>Method(s) used to</t>
  </si>
  <si>
    <t>Cost</t>
  </si>
  <si>
    <t>Lower cost or market</t>
  </si>
  <si>
    <t>Table 1 For Line 3 Above</t>
  </si>
  <si>
    <t>AND your annuity starting date was----</t>
  </si>
  <si>
    <t xml:space="preserve"> (used to figure investment interest expense deduction)</t>
  </si>
  <si>
    <t>If your filing status is MFJ or QW</t>
  </si>
  <si>
    <t>.   .   .   .   .   .   .   .   .   .</t>
  </si>
  <si>
    <r>
      <t>Note.</t>
    </r>
    <r>
      <rPr>
        <sz val="10"/>
        <rFont val="Arial"/>
        <family val="2"/>
      </rPr>
      <t xml:space="preserve"> When figuring which amount is smaller, treat both amounts as positive numbers.</t>
    </r>
  </si>
  <si>
    <r>
      <t>Page</t>
    </r>
    <r>
      <rPr>
        <sz val="9"/>
        <rFont val="Arial"/>
        <family val="2"/>
      </rPr>
      <t xml:space="preserve"> </t>
    </r>
    <r>
      <rPr>
        <sz val="12"/>
        <rFont val="Arial"/>
        <family val="2"/>
      </rPr>
      <t xml:space="preserve"> </t>
    </r>
    <r>
      <rPr>
        <b/>
        <sz val="12"/>
        <rFont val="Arial"/>
        <family val="2"/>
      </rPr>
      <t>2</t>
    </r>
  </si>
  <si>
    <r>
      <t>enter -0-</t>
    </r>
    <r>
      <rPr>
        <b/>
        <sz val="9"/>
        <rFont val="Arial"/>
        <family val="2"/>
      </rPr>
      <t xml:space="preserve"> .   .   .   .   .   .   .   .   .   .   .   .   .   .   .   .   .   .   .   .   .   .   .   .   .   .   .   .   .   .   .   .   .   .   .   .   .   .</t>
    </r>
  </si>
  <si>
    <t>Short-Term Capital Gains and Losses</t>
  </si>
  <si>
    <r>
      <t>Farm income or (loss).  Attach Schedule F</t>
    </r>
    <r>
      <rPr>
        <b/>
        <sz val="9"/>
        <rFont val="Arial"/>
        <family val="2"/>
      </rPr>
      <t>.</t>
    </r>
    <r>
      <rPr>
        <sz val="9"/>
        <rFont val="Arial"/>
        <family val="2"/>
      </rPr>
      <t xml:space="preserve"> </t>
    </r>
    <r>
      <rPr>
        <b/>
        <sz val="9"/>
        <rFont val="Arial"/>
        <family val="2"/>
      </rPr>
      <t xml:space="preserve">  .   .   .   .   .   .   .   .   .   .   .   .   .   .   .   .   .   .   .   .   .   .   .   .   .   .   .   .   .   .   .   .   .   .   .   .   .   .   .   .   .</t>
    </r>
  </si>
  <si>
    <t>Foreign</t>
  </si>
  <si>
    <t>instructions for</t>
  </si>
  <si>
    <t>Form 1040,</t>
  </si>
  <si>
    <t>line 8a.)</t>
  </si>
  <si>
    <t>received a Form</t>
  </si>
  <si>
    <t>substitute</t>
  </si>
  <si>
    <t>statement from</t>
  </si>
  <si>
    <t>a brokerage firm,</t>
  </si>
  <si>
    <t xml:space="preserve">.   .   .   .   .   .   .   .   .   .   .   .   .   .   .   .   .   .   . </t>
  </si>
  <si>
    <t>line next to Form 1040, line 32. If you do not, you may get a math error notice from the IRS.</t>
  </si>
  <si>
    <t>If married filing jointly or qualifying widow(er), and the result is</t>
  </si>
  <si>
    <t>a person who was not covered by a retirement plan), enter the</t>
  </si>
  <si>
    <t>applicable amount below on line 7 for that column and go to</t>
  </si>
  <si>
    <t>line 8.</t>
  </si>
  <si>
    <t>If you received social security retirement or disability benefits, enter the amount of Conservation Reserve</t>
  </si>
  <si>
    <r>
      <t>No.</t>
    </r>
    <r>
      <rPr>
        <sz val="10"/>
        <rFont val="Arial"/>
        <family val="2"/>
      </rPr>
      <t xml:space="preserve">  Add lines 6 and 8.  This is the </t>
    </r>
    <r>
      <rPr>
        <b/>
        <sz val="10"/>
        <rFont val="Arial"/>
        <family val="2"/>
      </rPr>
      <t>amount you have recovered tax free</t>
    </r>
    <r>
      <rPr>
        <sz val="10"/>
        <rFont val="Arial"/>
        <family val="2"/>
      </rPr>
      <t xml:space="preserve"> through</t>
    </r>
  </si>
  <si>
    <t>Itemized</t>
  </si>
  <si>
    <t>MFS</t>
  </si>
  <si>
    <t>Head-o-H</t>
  </si>
  <si>
    <t>Your first name and initial</t>
  </si>
  <si>
    <t>Last name</t>
  </si>
  <si>
    <t>get a W-2,</t>
  </si>
  <si>
    <t>Enter number of months for which</t>
  </si>
  <si>
    <t>this year's payments were made.</t>
  </si>
  <si>
    <r>
      <t xml:space="preserve">Name of person with </t>
    </r>
    <r>
      <rPr>
        <b/>
        <sz val="9"/>
        <rFont val="Arial"/>
        <family val="2"/>
      </rPr>
      <t>self-employment</t>
    </r>
    <r>
      <rPr>
        <sz val="9"/>
        <rFont val="Arial"/>
        <family val="2"/>
      </rPr>
      <t xml:space="preserve"> income (as shown on Form 1040)</t>
    </r>
  </si>
  <si>
    <t>Enter this amount on</t>
  </si>
  <si>
    <t>At Least</t>
  </si>
  <si>
    <t>Married filing jointly</t>
  </si>
  <si>
    <t>Head of a house-hold</t>
  </si>
  <si>
    <t>TOTALs</t>
  </si>
  <si>
    <t>.   .   .   .   .   .   .   .   .   .   .   .   .   .   .   .   .   .   .   .   .   .   .   .   .   .   .   .   .   .   .   .   .   .   .   .</t>
  </si>
  <si>
    <t>Did you receive tips subject to social security or Medicare tax</t>
  </si>
  <si>
    <t>Other adjustments, including income-based related adjustments</t>
  </si>
  <si>
    <t>Intangible drilling costs preference</t>
  </si>
  <si>
    <t>Income from certain installment sales before January 1, 1987</t>
  </si>
  <si>
    <t>Part IV</t>
  </si>
  <si>
    <t>Gross distribution</t>
  </si>
  <si>
    <r>
      <t xml:space="preserve">had $400 or more of </t>
    </r>
    <r>
      <rPr>
        <b/>
        <sz val="10"/>
        <rFont val="Arial"/>
        <family val="2"/>
      </rPr>
      <t>other</t>
    </r>
    <r>
      <rPr>
        <sz val="10"/>
        <rFont val="Arial"/>
        <family val="2"/>
      </rPr>
      <t xml:space="preserve"> net earnings from self-employment, check here and continue with Part I</t>
    </r>
  </si>
  <si>
    <t>Schedule D Tax Worksheet</t>
  </si>
  <si>
    <t>Attachment Sequence No.</t>
  </si>
  <si>
    <r>
      <t>Alimony received</t>
    </r>
    <r>
      <rPr>
        <b/>
        <sz val="9"/>
        <rFont val="Arial"/>
        <family val="2"/>
      </rPr>
      <t xml:space="preserve"> .   .   .   .   .   .   .   .   .   .   .   .   .   .   .   .   .   .   .   .   .   .   .   .   .   .   .   .   .   .   .   .   .   .   .   .   .   .   .   .   .</t>
    </r>
  </si>
  <si>
    <t>Subtract line 3 from line 2. If zero or less,</t>
  </si>
  <si>
    <t>Are you claiming any of the following credits?</t>
  </si>
  <si>
    <t>Social Security Benefits Worksheet – Lines 20a and 20b</t>
  </si>
  <si>
    <t>Maximum income for optional methods</t>
  </si>
  <si>
    <t>include this amount on line 4b above</t>
  </si>
  <si>
    <t>Total          IRAs</t>
  </si>
  <si>
    <t>Total      Pension / Annunities</t>
  </si>
  <si>
    <t>Inventory at end of year.   .   .   .   .   .   .   .   .   .   .   .   .   .   .   .   .   .   .   .   .   .   .   .   .   .   .   .   .   .   .   .   .   .   .   .   .   .   .   .   .</t>
  </si>
  <si>
    <t>Code</t>
  </si>
  <si>
    <t>Q</t>
  </si>
  <si>
    <t>17.</t>
  </si>
  <si>
    <t>18.</t>
  </si>
  <si>
    <t>19.</t>
  </si>
  <si>
    <t>Married filing          separately</t>
  </si>
  <si>
    <t>Enter the amount from Form 1040, line 38,</t>
  </si>
  <si>
    <t>Single, head of household, or</t>
  </si>
  <si>
    <r>
      <t xml:space="preserve">Enter the </t>
    </r>
    <r>
      <rPr>
        <b/>
        <sz val="10"/>
        <rFont val="Arial"/>
        <family val="2"/>
      </rPr>
      <t>smaller</t>
    </r>
    <r>
      <rPr>
        <sz val="10"/>
        <rFont val="Arial"/>
        <family val="2"/>
      </rPr>
      <t xml:space="preserve"> of line 3 or line 4</t>
    </r>
  </si>
  <si>
    <t>For Paperwork Reduction Act Notice, see your tax return instructions.</t>
  </si>
  <si>
    <t>instructions.</t>
  </si>
  <si>
    <t>Make sure the SSN(s) above
and on line 6c are correct.</t>
  </si>
  <si>
    <t>Home address (number and street). If you have a P.O. box, see instructions.</t>
  </si>
  <si>
    <t>Head of household (with qualifying person). (See instructions.) If</t>
  </si>
  <si>
    <t>Qualifying widow(er) with dependent child</t>
  </si>
  <si>
    <r>
      <t xml:space="preserve">If someone can claim you as a dependent, </t>
    </r>
    <r>
      <rPr>
        <b/>
        <sz val="8"/>
        <rFont val="Arial"/>
        <family val="2"/>
      </rPr>
      <t>do not</t>
    </r>
    <r>
      <rPr>
        <sz val="8"/>
        <rFont val="Arial"/>
        <family val="2"/>
      </rPr>
      <t xml:space="preserve"> check box 6a</t>
    </r>
    <r>
      <rPr>
        <b/>
        <sz val="8"/>
        <rFont val="Arial"/>
        <family val="2"/>
      </rPr>
      <t xml:space="preserve"> .   .   .   .   .   .   .   .   .   .   .   .   .   .   .   .   .   .   .   .   .   .   .   .   .   .   .   .   .   .   .</t>
    </r>
  </si>
  <si>
    <t>instructions and</t>
  </si>
  <si>
    <t>qualifying for child tax credit</t>
  </si>
  <si>
    <t>Check only one</t>
  </si>
  <si>
    <t>box.</t>
  </si>
  <si>
    <t>Qualified dividends</t>
  </si>
  <si>
    <r>
      <t xml:space="preserve">Taxable refunds, credits, or offsets of state and local income taxes </t>
    </r>
    <r>
      <rPr>
        <b/>
        <sz val="9"/>
        <rFont val="Arial"/>
        <family val="2"/>
      </rPr>
      <t xml:space="preserve">  .   .   .   .   .   .   .   .   .   .   .   .   .   .   .   .   .   .   .   .   .   .   .   .   .   .   .   .   .   .</t>
    </r>
  </si>
  <si>
    <t>7a.</t>
  </si>
  <si>
    <t>7b.</t>
  </si>
  <si>
    <t>Part of your social security benefits may be taxable.</t>
  </si>
  <si>
    <t>Enter combined</t>
  </si>
  <si>
    <t>ages at</t>
  </si>
  <si>
    <r>
      <t xml:space="preserve">Depletion  </t>
    </r>
    <r>
      <rPr>
        <b/>
        <sz val="10"/>
        <rFont val="Arial"/>
        <family val="2"/>
      </rPr>
      <t xml:space="preserve">  .   .   .   .   .   .   .   .   .   .   .   .   .</t>
    </r>
  </si>
  <si>
    <t>Taxes and licenses</t>
  </si>
  <si>
    <t>Schedules(s) K-1</t>
  </si>
  <si>
    <t>Local income tax withheld</t>
  </si>
  <si>
    <t>Enter the amount, if any, recovered tax free in years after 1986. If you completed this</t>
  </si>
  <si>
    <t>Miscellaneous deductions from Schedule A (Form 1040), line 27</t>
  </si>
  <si>
    <t>Subtract line 4 from line 3. If zero or less, enter -0-</t>
  </si>
  <si>
    <r>
      <t xml:space="preserve">Unemployment compensation .  </t>
    </r>
    <r>
      <rPr>
        <b/>
        <sz val="9"/>
        <rFont val="Arial"/>
        <family val="2"/>
      </rPr>
      <t xml:space="preserve"> .   .   .   .   .   .   .   .   .   .   .   .   .   .   .   .   .   .   .   .   .   .   .   .   .   .   .   .   .   .   .   .   .   .   .   .   .   .   .   .   .</t>
    </r>
  </si>
  <si>
    <t>Other income.  List type and amount.</t>
  </si>
  <si>
    <t>Self-employed health insurance deduction</t>
  </si>
  <si>
    <t xml:space="preserve">  .   .   .   .   .   .   .   .   .   .   .   . </t>
  </si>
  <si>
    <t>IRA deduction</t>
  </si>
  <si>
    <t>For Disclosure, Privacy Act, and Paperwork Reduction Act Notice, see separate instructions.</t>
  </si>
  <si>
    <t>If your spouse itemizes on a separate return or you were a dual-status alien, check here</t>
  </si>
  <si>
    <t>Social Security Tips</t>
  </si>
  <si>
    <t>Allocated Tips</t>
  </si>
  <si>
    <t>Advance EIC payment</t>
  </si>
  <si>
    <t>Dependent Care Benefits</t>
  </si>
  <si>
    <t>Nonqualified plans</t>
  </si>
  <si>
    <t>See instructions for box 12</t>
  </si>
  <si>
    <t>12a</t>
  </si>
  <si>
    <t>12b</t>
  </si>
  <si>
    <t>12c</t>
  </si>
  <si>
    <t>12d</t>
  </si>
  <si>
    <t>Stat Emp / Retire / 3rd Party Sick</t>
  </si>
  <si>
    <t xml:space="preserve">State wages, tips, etc. </t>
  </si>
  <si>
    <t>Local wages, tips, etc.</t>
  </si>
  <si>
    <t>Residential energy credits.  Attach Form 5695</t>
  </si>
  <si>
    <t>Federal income tax withheld from Forms W-2 and 1099</t>
  </si>
  <si>
    <t xml:space="preserve"> .   .   .   .   .   .   .  </t>
  </si>
  <si>
    <t>Earned income credit (EIC)</t>
  </si>
  <si>
    <t>Amount paid with request for extension to file</t>
  </si>
  <si>
    <t>Excess social security and tier 1 RRTA tax withheld</t>
  </si>
  <si>
    <t>Credit for federal tax on fuels. Attach Form 4136</t>
  </si>
  <si>
    <r>
      <t xml:space="preserve">Credits from Form: </t>
    </r>
    <r>
      <rPr>
        <b/>
        <sz val="8"/>
        <rFont val="Arial"/>
        <family val="2"/>
      </rPr>
      <t>a</t>
    </r>
  </si>
  <si>
    <r>
      <t xml:space="preserve">2439   </t>
    </r>
    <r>
      <rPr>
        <b/>
        <sz val="8"/>
        <rFont val="Arial"/>
        <family val="2"/>
      </rPr>
      <t>b</t>
    </r>
  </si>
  <si>
    <t xml:space="preserve">Unreported social security and Medicare tax from Form: </t>
  </si>
  <si>
    <t xml:space="preserve">  .   .   .   .   .   .   .   .   .  </t>
  </si>
  <si>
    <t xml:space="preserve">  .   .   .   .   .   .   .   .   .   .   .   .   .   .   .  </t>
  </si>
  <si>
    <t xml:space="preserve">  .   .   .   .   .   .   .   .   .   .  </t>
  </si>
  <si>
    <t xml:space="preserve"> .   .   .   .   .   .   .   .   .   .  </t>
  </si>
  <si>
    <t xml:space="preserve">  .   .   .   .   .   .   .  </t>
  </si>
  <si>
    <t xml:space="preserve">  .   .   .   .   .   .   .   .  </t>
  </si>
  <si>
    <t xml:space="preserve"> .  </t>
  </si>
  <si>
    <t>Capital gain or (loss). Attach Schedule D if required. If not required, check here.</t>
  </si>
  <si>
    <r>
      <t>Taxable amount</t>
    </r>
    <r>
      <rPr>
        <b/>
        <sz val="9"/>
        <rFont val="Arial"/>
        <family val="2"/>
      </rPr>
      <t xml:space="preserve"> .   .   .   .   .   .   .</t>
    </r>
  </si>
  <si>
    <r>
      <t xml:space="preserve">   </t>
    </r>
    <r>
      <rPr>
        <b/>
        <sz val="8"/>
        <rFont val="Arial"/>
        <family val="2"/>
      </rPr>
      <t xml:space="preserve">   (3)</t>
    </r>
    <r>
      <rPr>
        <sz val="8"/>
        <rFont val="Arial"/>
        <family val="2"/>
      </rPr>
      <t xml:space="preserve"> Dependent's</t>
    </r>
  </si>
  <si>
    <t xml:space="preserve">     relationship to</t>
  </si>
  <si>
    <t xml:space="preserve">    you</t>
  </si>
  <si>
    <t xml:space="preserve">   .   .   .   .   .</t>
  </si>
  <si>
    <r>
      <t>4</t>
    </r>
    <r>
      <rPr>
        <b/>
        <sz val="9"/>
        <rFont val="Arial"/>
        <family val="2"/>
      </rPr>
      <t xml:space="preserve">c </t>
    </r>
    <r>
      <rPr>
        <sz val="9"/>
        <rFont val="Arial"/>
        <family val="2"/>
      </rPr>
      <t>Type:</t>
    </r>
  </si>
  <si>
    <t>See</t>
  </si>
  <si>
    <t>refunded to you.</t>
  </si>
  <si>
    <t xml:space="preserve">  No</t>
  </si>
  <si>
    <r>
      <rPr>
        <b/>
        <sz val="9"/>
        <rFont val="Arial"/>
        <family val="2"/>
      </rPr>
      <t>Yes.</t>
    </r>
    <r>
      <rPr>
        <sz val="9"/>
        <rFont val="Arial"/>
        <family val="2"/>
      </rPr>
      <t xml:space="preserve">  Complete below.</t>
    </r>
  </si>
  <si>
    <t>Do you want to allow another person to discuss this return with the IRS (see instructions)?</t>
  </si>
  <si>
    <t>Phone
no.</t>
  </si>
  <si>
    <t>Designee's name</t>
  </si>
  <si>
    <t>Print/Type preparer’s name</t>
  </si>
  <si>
    <t>Preparer’s signature</t>
  </si>
  <si>
    <t>PTIN</t>
  </si>
  <si>
    <t>Firm's EIN</t>
  </si>
  <si>
    <t>Firm’s name</t>
  </si>
  <si>
    <t>Firm’s address</t>
  </si>
  <si>
    <t xml:space="preserve">  .   .   .   .   .   .   .   .   .   .   .   .</t>
  </si>
  <si>
    <t>No. of children 
on 6c who:</t>
  </si>
  <si>
    <t>Wages, salaries, tips, etc. Attach Form(s) W-2</t>
  </si>
  <si>
    <t>Combine the amounts in the far right column for lines 7 through 21.</t>
  </si>
  <si>
    <t xml:space="preserve">.   .   .   .   .  </t>
  </si>
  <si>
    <t xml:space="preserve">.   .   .   .   .   .  </t>
  </si>
  <si>
    <t xml:space="preserve">.   .   .   .   .   .   .   .   .   .   .   .   .   .   .   .  </t>
  </si>
  <si>
    <t xml:space="preserve">.   .   .   .   .   .   .   .   .   .   .   .   .   .   .   .   .   .   .   .   .   .   .   .   .   .   .   .   .  </t>
  </si>
  <si>
    <t>Medical and dental expenses (see instructions)</t>
  </si>
  <si>
    <t>to the person from whom you bought the home, see instructions</t>
  </si>
  <si>
    <t>Your mortgage</t>
  </si>
  <si>
    <t>interest</t>
  </si>
  <si>
    <t>deduction may</t>
  </si>
  <si>
    <t>be limited (see</t>
  </si>
  <si>
    <t>instructions).</t>
  </si>
  <si>
    <t>Points not reported to you on Form 1098. See instructions</t>
  </si>
  <si>
    <t>Investment interest. Attach Form 4952 if required. (See instructions)</t>
  </si>
  <si>
    <t>Gifts by cash or check.  If you made any gift of $250 or more</t>
  </si>
  <si>
    <r>
      <t xml:space="preserve">see instructions  </t>
    </r>
    <r>
      <rPr>
        <b/>
        <sz val="9"/>
        <rFont val="Arial"/>
        <family val="2"/>
      </rPr>
      <t>.   .   .   .   .   .   .   .   .   .   .   .   .   .   .   .   .   .   .   .</t>
    </r>
  </si>
  <si>
    <r>
      <t>Casualty or theft loss(es). Attach Form 4684. (See instructions.)</t>
    </r>
    <r>
      <rPr>
        <b/>
        <sz val="9"/>
        <rFont val="Arial"/>
        <family val="2"/>
      </rPr>
      <t xml:space="preserve">   .   .   .   .   .   .   .   .   .   .   .   .   .   .   .   .   .   .   .</t>
    </r>
  </si>
  <si>
    <r>
      <t xml:space="preserve">(See instructions.) </t>
    </r>
    <r>
      <rPr>
        <sz val="9"/>
        <rFont val="Marlett"/>
        <charset val="2"/>
      </rPr>
      <t>4</t>
    </r>
  </si>
  <si>
    <t>job education, etc. Attach Form 2106 or 2106-EZ if required.</t>
  </si>
  <si>
    <t xml:space="preserve">Unreimbursed employee expenses—job travel, union dues, </t>
  </si>
  <si>
    <t>Other than by cash or check. If any gift of $250 or more, see</t>
  </si>
  <si>
    <r>
      <t xml:space="preserve">instructions. You </t>
    </r>
    <r>
      <rPr>
        <b/>
        <sz val="9"/>
        <rFont val="Arial"/>
        <family val="2"/>
      </rPr>
      <t>must</t>
    </r>
    <r>
      <rPr>
        <sz val="9"/>
        <rFont val="Arial"/>
        <family val="2"/>
      </rPr>
      <t xml:space="preserve"> attach Form 8283 if over $500 </t>
    </r>
    <r>
      <rPr>
        <b/>
        <sz val="9"/>
        <rFont val="Arial"/>
        <family val="2"/>
      </rPr>
      <t>.   .   .   .   .</t>
    </r>
  </si>
  <si>
    <t>Other expenses -- investment, safe deposit box, etc.  List type</t>
  </si>
  <si>
    <r>
      <t xml:space="preserve">and amount </t>
    </r>
    <r>
      <rPr>
        <sz val="9"/>
        <rFont val="Marlett"/>
        <charset val="2"/>
      </rPr>
      <t>4</t>
    </r>
  </si>
  <si>
    <r>
      <t xml:space="preserve">Other--from list in instructions.  List type and amount. </t>
    </r>
    <r>
      <rPr>
        <sz val="12"/>
        <rFont val="Marlett"/>
        <charset val="2"/>
      </rPr>
      <t>4</t>
    </r>
  </si>
  <si>
    <t>see instructions.</t>
  </si>
  <si>
    <t>Section A—If your filing status is Single</t>
  </si>
  <si>
    <t>Section B</t>
  </si>
  <si>
    <t>Section C</t>
  </si>
  <si>
    <t>Section D</t>
  </si>
  <si>
    <t xml:space="preserve">   and are not required to file Form 4562 for this business. See the instructions for line 13 on instructions to find</t>
  </si>
  <si>
    <t>entertainment (see instructions)</t>
  </si>
  <si>
    <t>If you have a loss, check the box that describes your investment in this activity (see instructions).</t>
  </si>
  <si>
    <t>For Paperwork Reduction Act Notice, see instructions of the instructions.</t>
  </si>
  <si>
    <t xml:space="preserve">   Cost of Goods Sold  (see instructions)</t>
  </si>
  <si>
    <t>MFJ or QW</t>
  </si>
  <si>
    <t>Tax is from →</t>
  </si>
  <si>
    <t>For Paperwork Reduction Act Notice, see Form 1040 or Form 1040NR instructions.</t>
  </si>
  <si>
    <t>Cat. No. 11338H</t>
  </si>
  <si>
    <t>line 22.</t>
  </si>
  <si>
    <t>1040NR, line 14. Then go to line 22.</t>
  </si>
  <si>
    <r>
      <t xml:space="preserve">If line 16 is a </t>
    </r>
    <r>
      <rPr>
        <b/>
        <sz val="9"/>
        <rFont val="Arial"/>
        <family val="2"/>
      </rPr>
      <t>loss</t>
    </r>
    <r>
      <rPr>
        <sz val="9"/>
        <rFont val="Arial"/>
        <family val="2"/>
      </rPr>
      <t>, skip lines 17 through 20 below. Then go to line 21. Also be sure to complete</t>
    </r>
  </si>
  <si>
    <r>
      <t xml:space="preserve">If line 16 is </t>
    </r>
    <r>
      <rPr>
        <b/>
        <sz val="9"/>
        <rFont val="Arial"/>
        <family val="2"/>
      </rPr>
      <t>zero</t>
    </r>
    <r>
      <rPr>
        <sz val="9"/>
        <rFont val="Arial"/>
        <family val="2"/>
      </rPr>
      <t>, skip lines 17 through 21 below and enter -0- on Form 1040, line 13, or Form</t>
    </r>
  </si>
  <si>
    <r>
      <t xml:space="preserve">No. </t>
    </r>
    <r>
      <rPr>
        <sz val="10"/>
        <rFont val="Arial"/>
        <family val="2"/>
      </rPr>
      <t>Complete the rest of Form 1040 or Form 1040NR.</t>
    </r>
  </si>
  <si>
    <r>
      <t>stop</t>
    </r>
    <r>
      <rPr>
        <sz val="10"/>
        <rFont val="Arial"/>
        <family val="2"/>
      </rPr>
      <t xml:space="preserve">; you do not owe self-employment tax. </t>
    </r>
  </si>
  <si>
    <r>
      <rPr>
        <b/>
        <sz val="10"/>
        <rFont val="Arial"/>
        <family val="2"/>
      </rPr>
      <t>Exception.</t>
    </r>
    <r>
      <rPr>
        <sz val="10"/>
        <rFont val="Arial"/>
        <family val="2"/>
      </rPr>
      <t xml:space="preserve"> If less than $400 and you had church employee income, enter -0- and continue</t>
    </r>
  </si>
  <si>
    <r>
      <t xml:space="preserve">Enter your </t>
    </r>
    <r>
      <rPr>
        <b/>
        <sz val="10"/>
        <rFont val="Arial"/>
        <family val="2"/>
      </rPr>
      <t>church employee income</t>
    </r>
    <r>
      <rPr>
        <sz val="10"/>
        <rFont val="Arial"/>
        <family val="2"/>
      </rPr>
      <t xml:space="preserve"> from Form W-2. See</t>
    </r>
  </si>
  <si>
    <t>Add lines 4c and 5b</t>
  </si>
  <si>
    <t>Total social security wages and tips (total of boxes 3 and 7 on</t>
  </si>
  <si>
    <t xml:space="preserve">.   .   .   .   .   .   .   . </t>
  </si>
  <si>
    <t>Form(s) W-2) and railroad retirement (tier 1) compensation.</t>
  </si>
  <si>
    <t>Railroad retirement (tier 1) compensation</t>
  </si>
  <si>
    <t>you due to divorce
or separation 
(see instructions)</t>
  </si>
  <si>
    <t>Dependents on 6c
not entered above</t>
  </si>
  <si>
    <t xml:space="preserve">.   .   .   .   .   .   .   .  </t>
  </si>
  <si>
    <r>
      <t>Retirement savings contributions credit.  Attach Form 8880.</t>
    </r>
    <r>
      <rPr>
        <b/>
        <sz val="9"/>
        <rFont val="Arial"/>
        <family val="2"/>
      </rPr>
      <t xml:space="preserve"> </t>
    </r>
  </si>
  <si>
    <t>Foreign tax credit.  Attach Form 1116 if required</t>
  </si>
  <si>
    <t xml:space="preserve"> .   .   .  </t>
  </si>
  <si>
    <r>
      <t xml:space="preserve">8801  </t>
    </r>
    <r>
      <rPr>
        <b/>
        <sz val="8"/>
        <rFont val="Arial"/>
        <family val="2"/>
      </rPr>
      <t xml:space="preserve"> c</t>
    </r>
  </si>
  <si>
    <t xml:space="preserve">    These are your</t>
  </si>
  <si>
    <t>.   .   .   .   .   .   .   .   .   .   .   .   .   .   .   .   .   .   .   .   .   .   .   .   .   .   .   .   .</t>
  </si>
  <si>
    <t xml:space="preserve">  .   .   .   .   .   .   .   .   .   .   .   .   .   .   .   .   .   .   .   .   .   .   .   .   .   .   .   .</t>
  </si>
  <si>
    <t>.   .   .   .   .   .   .   .   .   .   .   .   .   .   .   .   .   .   .   .   .   .   .   .   .   .   .   .</t>
  </si>
  <si>
    <r>
      <t xml:space="preserve">Be sure you have read the </t>
    </r>
    <r>
      <rPr>
        <b/>
        <sz val="10"/>
        <rFont val="Arial"/>
        <family val="2"/>
      </rPr>
      <t>Exception</t>
    </r>
    <r>
      <rPr>
        <sz val="10"/>
        <rFont val="Arial"/>
        <family val="2"/>
      </rPr>
      <t xml:space="preserve"> above to see if you can use this worksheet instead of</t>
    </r>
  </si>
  <si>
    <t xml:space="preserve"> .   .   .   .   .   .</t>
  </si>
  <si>
    <t xml:space="preserve"> .   .   .   .   .   .   . </t>
  </si>
  <si>
    <t xml:space="preserve"> .   .   .   .   .   .   .   .   .   .   .   .   .   .   .   .   .   . </t>
  </si>
  <si>
    <t xml:space="preserve"> .   .   .   .   .   .   .   .   .   .   .   .   .   .   .   .   . </t>
  </si>
  <si>
    <t>Tax refund from Form 1040, line 10 or line 21</t>
  </si>
  <si>
    <t xml:space="preserve"> .   .   .   .   .   .   .   .   .   .   .   .   .   .   . </t>
  </si>
  <si>
    <t xml:space="preserve">  .   .   .   .   .   .   .   .   . </t>
  </si>
  <si>
    <r>
      <t>Electing large partnerships (amount from Schedule K-1 (Form 1065-B), box 6)</t>
    </r>
    <r>
      <rPr>
        <b/>
        <sz val="9"/>
        <rFont val="Arial"/>
        <family val="2"/>
      </rPr>
      <t xml:space="preserve"> </t>
    </r>
  </si>
  <si>
    <r>
      <t>Passive activities (difference between AMT and regular tax income or loss)</t>
    </r>
    <r>
      <rPr>
        <b/>
        <sz val="9"/>
        <rFont val="Arial"/>
        <family val="2"/>
      </rPr>
      <t xml:space="preserve"> </t>
    </r>
  </si>
  <si>
    <t xml:space="preserve">.   .   .   .   .   . </t>
  </si>
  <si>
    <t xml:space="preserve"> .   .   .   .   .   .   .   .   .   .   .   .   .   .   .   .   .   .   .   .   .   .   .   .   .   .   .   .   .   .   .   .   . </t>
  </si>
  <si>
    <t>instructions for the amount to enter</t>
  </si>
  <si>
    <r>
      <t xml:space="preserve">Enter the </t>
    </r>
    <r>
      <rPr>
        <b/>
        <sz val="9"/>
        <rFont val="Arial"/>
        <family val="2"/>
      </rPr>
      <t>smaller</t>
    </r>
    <r>
      <rPr>
        <sz val="9"/>
        <rFont val="Arial"/>
        <family val="2"/>
      </rPr>
      <t xml:space="preserve"> of line 36 or line 39</t>
    </r>
  </si>
  <si>
    <t xml:space="preserve"> .   .   .   .   .   .   .   .   .   .   .   .   .   .   .   .   .   .   .   .   .   .   .   .   .   .   .   .   .   .   .   .   .   .   .   .   .   . </t>
  </si>
  <si>
    <t xml:space="preserve">.   .   .   .   .   .   .   .   .   .   .   .   .   .   .   .   .   .   .   .   .   .   .   .   .   .   .   .   .   .   . </t>
  </si>
  <si>
    <t>Subtract line 44 from line 43. If zero or less, enter -0-</t>
  </si>
  <si>
    <r>
      <t xml:space="preserve">Enter the </t>
    </r>
    <r>
      <rPr>
        <b/>
        <sz val="9"/>
        <rFont val="Arial"/>
        <family val="2"/>
      </rPr>
      <t>smaller</t>
    </r>
    <r>
      <rPr>
        <sz val="9"/>
        <rFont val="Arial"/>
        <family val="2"/>
      </rPr>
      <t xml:space="preserve"> of line 36 or line 37</t>
    </r>
  </si>
  <si>
    <t xml:space="preserve">  .   .   .   .   .   .   .   . </t>
  </si>
  <si>
    <t>Enter your alternative minimum taxable income</t>
  </si>
  <si>
    <r>
      <t>(AMTI) from Form 6251, line 28</t>
    </r>
    <r>
      <rPr>
        <b/>
        <sz val="9"/>
        <rFont val="Arial"/>
        <family val="2"/>
      </rPr>
      <t xml:space="preserve"> .   .   .   .   .   .   .   .   .   .   .  </t>
    </r>
  </si>
  <si>
    <t>separately</t>
  </si>
  <si>
    <r>
      <t>and go to Form 6251, line 30</t>
    </r>
    <r>
      <rPr>
        <b/>
        <sz val="9"/>
        <rFont val="Arial"/>
        <family val="2"/>
      </rPr>
      <t xml:space="preserve"> .   .   .   .   .   .   .   .   .   .   .   .   .   .   .   .   .   .   .   .   .   .  </t>
    </r>
  </si>
  <si>
    <t>any death benefit exclusion that you are entitled to (up to $5,000) in the amount entered on line 2 below.</t>
  </si>
  <si>
    <r>
      <t xml:space="preserve">If you are the beneficiary of a deceased employee or former employee who died </t>
    </r>
    <r>
      <rPr>
        <b/>
        <sz val="10"/>
        <rFont val="Arial"/>
        <family val="2"/>
      </rPr>
      <t>before</t>
    </r>
    <r>
      <rPr>
        <sz val="10"/>
        <rFont val="Arial"/>
        <family val="2"/>
      </rPr>
      <t xml:space="preserve"> August 21, 1996, include</t>
    </r>
  </si>
  <si>
    <r>
      <t xml:space="preserve">Enter the appropriate number from </t>
    </r>
    <r>
      <rPr>
        <b/>
        <sz val="9"/>
        <rFont val="Arial"/>
        <family val="2"/>
      </rPr>
      <t>Table 1</t>
    </r>
    <r>
      <rPr>
        <sz val="9"/>
        <rFont val="Arial"/>
        <family val="2"/>
      </rPr>
      <t xml:space="preserve"> below. </t>
    </r>
    <r>
      <rPr>
        <b/>
        <sz val="9"/>
        <rFont val="Arial"/>
        <family val="2"/>
      </rPr>
      <t>But</t>
    </r>
    <r>
      <rPr>
        <sz val="9"/>
        <rFont val="Arial"/>
        <family val="2"/>
      </rPr>
      <t xml:space="preserve"> if your annuity starting date was </t>
    </r>
    <r>
      <rPr>
        <b/>
        <sz val="9"/>
        <rFont val="Arial"/>
        <family val="2"/>
      </rPr>
      <t>after</t>
    </r>
  </si>
  <si>
    <r>
      <t xml:space="preserve">1997 </t>
    </r>
    <r>
      <rPr>
        <b/>
        <sz val="9"/>
        <rFont val="Arial"/>
        <family val="2"/>
      </rPr>
      <t>and</t>
    </r>
    <r>
      <rPr>
        <sz val="9"/>
        <rFont val="Arial"/>
        <family val="2"/>
      </rPr>
      <t xml:space="preserve"> the payments are for your life and that of your beneficiary, enter the appropriate number</t>
    </r>
  </si>
  <si>
    <r>
      <t xml:space="preserve">from </t>
    </r>
    <r>
      <rPr>
        <b/>
        <sz val="9"/>
        <rFont val="Arial"/>
        <family val="2"/>
      </rPr>
      <t>Table 2</t>
    </r>
    <r>
      <rPr>
        <sz val="9"/>
        <rFont val="Arial"/>
        <family val="2"/>
      </rPr>
      <t xml:space="preserve"> below</t>
    </r>
  </si>
  <si>
    <r>
      <t xml:space="preserve">Enter the </t>
    </r>
    <r>
      <rPr>
        <b/>
        <sz val="9"/>
        <rFont val="Arial"/>
        <family val="2"/>
      </rPr>
      <t>smaller</t>
    </r>
    <r>
      <rPr>
        <sz val="9"/>
        <rFont val="Arial"/>
        <family val="2"/>
      </rPr>
      <t xml:space="preserve"> of line 5 or line 7</t>
    </r>
  </si>
  <si>
    <r>
      <t xml:space="preserve">Enter the total amount from </t>
    </r>
    <r>
      <rPr>
        <b/>
        <sz val="9"/>
        <rFont val="Arial"/>
        <family val="2"/>
      </rPr>
      <t>box 5</t>
    </r>
    <r>
      <rPr>
        <sz val="9"/>
        <rFont val="Arial"/>
        <family val="2"/>
      </rPr>
      <t xml:space="preserve"> of </t>
    </r>
    <r>
      <rPr>
        <b/>
        <sz val="9"/>
        <rFont val="Arial"/>
        <family val="2"/>
      </rPr>
      <t>all</t>
    </r>
    <r>
      <rPr>
        <sz val="9"/>
        <rFont val="Arial"/>
        <family val="2"/>
      </rPr>
      <t xml:space="preserve"> your </t>
    </r>
    <r>
      <rPr>
        <b/>
        <sz val="9"/>
        <rFont val="Arial"/>
        <family val="2"/>
      </rPr>
      <t>Forms SSA-1099</t>
    </r>
    <r>
      <rPr>
        <sz val="9"/>
        <rFont val="Arial"/>
        <family val="2"/>
      </rPr>
      <t xml:space="preserve"> and</t>
    </r>
  </si>
  <si>
    <r>
      <t xml:space="preserve">Forms RRB-1099. </t>
    </r>
    <r>
      <rPr>
        <sz val="9"/>
        <rFont val="Arial"/>
        <family val="2"/>
      </rPr>
      <t xml:space="preserve"> Also, enter this amount on Form 1040, line 20a .</t>
    </r>
  </si>
  <si>
    <t>Combine the amounts from Form 1040, lines 7, 8a, 9a, 10 through 14, 15b, 16b, 17 through 19,</t>
  </si>
  <si>
    <t>and 21</t>
  </si>
  <si>
    <t>Combine lines 2, 3, and 4</t>
  </si>
  <si>
    <t>Enter the total of the amounts from Form 1040, lines 23 through 32, plus any write-in</t>
  </si>
  <si>
    <t xml:space="preserve">No.  Stop.  </t>
  </si>
  <si>
    <t>None of your IRA contributions are deductible. For details on</t>
  </si>
  <si>
    <t xml:space="preserve">Nontaxable combat pay. This amount should be </t>
  </si>
  <si>
    <t>reported in box 12 of Form W-2 with code Q</t>
  </si>
  <si>
    <t>Enter the smaller of line 1 or line 8</t>
  </si>
  <si>
    <t>Enter the smaller of line 7 or line 9</t>
  </si>
  <si>
    <t>Subtract line 10 from line 9. This amount is taxed at 0%</t>
  </si>
  <si>
    <t>Figure the tax on the amount on line 7. If the amount on line 7 is less than $100,000, use the Tax</t>
  </si>
  <si>
    <t>Table to figure this tax. If the amount on line 7 is $100,000 or more, use the Tax Computation</t>
  </si>
  <si>
    <t>Figure the tax on the amount on line 1. If the amount on line 1 is less than $100,000, use the Tax</t>
  </si>
  <si>
    <t>Table to figure this tax. If the amount on line 1 is $100,000 or more, use the Tax Computation</t>
  </si>
  <si>
    <t>Check here to use worksheet anyway.</t>
  </si>
  <si>
    <r>
      <t>Enter your</t>
    </r>
    <r>
      <rPr>
        <b/>
        <sz val="10"/>
        <rFont val="Arial"/>
        <family val="2"/>
      </rPr>
      <t xml:space="preserve"> total income</t>
    </r>
    <r>
      <rPr>
        <sz val="10"/>
        <rFont val="Arial"/>
        <family val="2"/>
      </rPr>
      <t xml:space="preserve"> that is taxable, such as pensions, wages, interest, ordinary
dividends, and capital gain distributions. Do not reduce your income by any items such
as student loan interest deduction, the standard deduction (or itemized deductions), or
exemptions</t>
    </r>
  </si>
  <si>
    <r>
      <t xml:space="preserve">Enter the total amount from </t>
    </r>
    <r>
      <rPr>
        <b/>
        <sz val="10"/>
        <rFont val="Arial"/>
        <family val="2"/>
      </rPr>
      <t>box 5</t>
    </r>
    <r>
      <rPr>
        <sz val="10"/>
        <rFont val="Arial"/>
        <family val="2"/>
      </rPr>
      <t xml:space="preserve"> of all your Forms SSA-1099</t>
    </r>
  </si>
  <si>
    <r>
      <t xml:space="preserve">Add lines B, C, and D, and enter the total here. </t>
    </r>
    <r>
      <rPr>
        <b/>
        <sz val="10"/>
        <rFont val="Arial"/>
        <family val="2"/>
      </rPr>
      <t>Then, read the information below</t>
    </r>
  </si>
  <si>
    <r>
      <t xml:space="preserve">Manual
Override
</t>
    </r>
    <r>
      <rPr>
        <b/>
        <sz val="10"/>
        <rFont val="Wingdings"/>
        <charset val="2"/>
      </rPr>
      <t>ê</t>
    </r>
  </si>
  <si>
    <r>
      <t xml:space="preserve">Line 15 or line 16 of Schedule D is zero or less </t>
    </r>
    <r>
      <rPr>
        <b/>
        <sz val="9"/>
        <rFont val="Arial"/>
        <family val="2"/>
      </rPr>
      <t>and</t>
    </r>
    <r>
      <rPr>
        <sz val="9"/>
        <rFont val="Arial"/>
        <family val="2"/>
      </rPr>
      <t xml:space="preserve"> you have no qualified dividends on Form 1040, line 9b, (or Form 1040NR, line 10b);</t>
    </r>
  </si>
  <si>
    <t>Instead, see the instructions for Form 1040, line 44 (or Form 1040NR, line 42).</t>
  </si>
  <si>
    <t>(relating to foreign earned income), enter instead the amount from line 3 of the Foreign Earned Income Tax Worksheet in the</t>
  </si>
  <si>
    <t>Instructions for Form 1040, line 44)</t>
  </si>
  <si>
    <t>*If applicable, enter instead the smaller amount you entered on the dotted line next to line 4e of Form 4952.</t>
  </si>
  <si>
    <t>Form 1040NR, line 10b)</t>
  </si>
  <si>
    <t xml:space="preserve"> .   .   .   .   .   .   .   .   .   .   .   .   .   .   .   .   .   .   .   .   .   .   .   .   .   .   .   .   .   .   .   .   .   .   .   .   .   .   .   .   .   .   .   . </t>
  </si>
  <si>
    <t>**If you are filing Form 2555 or 2555-EZ, see the footnote in the Foreign Earned Income Tax Worksheet in the Instructions for</t>
  </si>
  <si>
    <t>Form 1040, line 44, before completing this line.</t>
  </si>
  <si>
    <r>
      <t xml:space="preserve">Enter the </t>
    </r>
    <r>
      <rPr>
        <b/>
        <sz val="10"/>
        <rFont val="Arial"/>
        <family val="2"/>
      </rPr>
      <t>smaller</t>
    </r>
    <r>
      <rPr>
        <sz val="10"/>
        <rFont val="Arial"/>
        <family val="2"/>
      </rPr>
      <t xml:space="preserve"> of line 1 or line 15</t>
    </r>
  </si>
  <si>
    <r>
      <t>Enter the</t>
    </r>
    <r>
      <rPr>
        <b/>
        <sz val="10"/>
        <rFont val="Arial"/>
        <family val="2"/>
      </rPr>
      <t xml:space="preserve"> smaller</t>
    </r>
    <r>
      <rPr>
        <sz val="10"/>
        <rFont val="Arial"/>
        <family val="2"/>
      </rPr>
      <t xml:space="preserve"> of line 14 or line 16</t>
    </r>
  </si>
  <si>
    <t xml:space="preserve"> .   .   .   .   .   .   .   .   .   .   .   .   .   .   .   .   .   .   .   .   .   .   .   .   .   .   .   . </t>
  </si>
  <si>
    <t>Enter the larger of line 17 or line 18</t>
  </si>
  <si>
    <t>Subtract line 17 from line 16. This amount is taxed at 0%.</t>
  </si>
  <si>
    <t xml:space="preserve"> .   .   .   .   .   .   .   .   .   .   .   .   .   .   .   .   .   .   . </t>
  </si>
  <si>
    <r>
      <t xml:space="preserve">Enter the </t>
    </r>
    <r>
      <rPr>
        <b/>
        <sz val="10"/>
        <rFont val="Arial"/>
        <family val="2"/>
      </rPr>
      <t>smaller</t>
    </r>
    <r>
      <rPr>
        <sz val="10"/>
        <rFont val="Arial"/>
        <family val="2"/>
      </rPr>
      <t xml:space="preserve"> of line 1 or line 13 </t>
    </r>
  </si>
  <si>
    <t>Enter the amount from line 20 (if line 20 is blank, enter -0-)</t>
  </si>
  <si>
    <t>Subtract line 22 from line 21. If zero or less, enter -0-</t>
  </si>
  <si>
    <t xml:space="preserve">.   .   .   .   .   .   .   .   .   . </t>
  </si>
  <si>
    <t>Add lines 10 and 19</t>
  </si>
  <si>
    <t>Enter the amount from line 1 above</t>
  </si>
  <si>
    <r>
      <t xml:space="preserve">Figure the tax on the amount on </t>
    </r>
    <r>
      <rPr>
        <b/>
        <sz val="9"/>
        <rFont val="Arial"/>
        <family val="2"/>
      </rPr>
      <t>line 19</t>
    </r>
    <r>
      <rPr>
        <sz val="9"/>
        <rFont val="Arial"/>
        <family val="2"/>
      </rPr>
      <t>. If the amount on line 19 is less than $100,000, use the Tax Table to figure the tax. If the</t>
    </r>
  </si>
  <si>
    <t>amount on line 19 is $100,000 or more, use the Tax Computation Worksheet</t>
  </si>
  <si>
    <t xml:space="preserve">.   .   .   .   .   .   .   .   .   .   .   .   .   .   .   .   .   .   .   .   .   .   .   .   .   .   .   .   .   .   .   .   .   .   .  </t>
  </si>
  <si>
    <t>SchDTW_Line19</t>
  </si>
  <si>
    <t>SchDTW_Line1</t>
  </si>
  <si>
    <t>Figure the tax on the amount on line 1. If the amount on line 1 is less than $100,000, use the Tax Table to figure the tax. If the</t>
  </si>
  <si>
    <t>amount on line 1 is $100,000 or more, use the Tax Computation Worksheet</t>
  </si>
  <si>
    <t>include this amount on Form 1040, line 44 (or Form 1040NR, line 42). (If you are filing Form 2555 or 2555-EZ, do not enter this amount</t>
  </si>
  <si>
    <r>
      <t>on Form 1040, line 44. Instead, enter it on line 4 of the Foreign Earned Income Tax Worksheet in the Form 1040 instructions)</t>
    </r>
    <r>
      <rPr>
        <b/>
        <sz val="9"/>
        <rFont val="Arial"/>
        <family val="2"/>
      </rPr>
      <t xml:space="preserve"> .   .   .   .   .   .</t>
    </r>
  </si>
  <si>
    <t>↓  Income Tax Override</t>
  </si>
  <si>
    <t>calculated using:</t>
  </si>
  <si>
    <t>Your deduction is being</t>
  </si>
  <si>
    <t xml:space="preserve">.   .   .   .   .   .   .   .   .   .   .   .   .   .   .   .   .   .   .   . </t>
  </si>
  <si>
    <t xml:space="preserve">.   .   .   .   .   .   .   .   .   .   .   .   .   .   .   .   . </t>
  </si>
  <si>
    <t xml:space="preserve"> .   .   .   .   .   .   .   .   .   . </t>
  </si>
  <si>
    <t xml:space="preserve">   .   .   .   .   .   .   .   .   .   .   .   .   .   .   .   .   .   .   .   .   . </t>
  </si>
  <si>
    <t xml:space="preserve">.   .   .   .   .   .   .   .   .   .   .   .   .   . </t>
  </si>
  <si>
    <t xml:space="preserve">.   .   .   .   .   .   .   .   .   .   .   .   . </t>
  </si>
  <si>
    <t xml:space="preserve">.   .   .   .   .   .   .   .   .   .   .   . </t>
  </si>
  <si>
    <t xml:space="preserve">.   .   .   .   .   .   . </t>
  </si>
  <si>
    <t xml:space="preserve">  .   .   .   .   .   .   .   .   .   .   .   .   .   . </t>
  </si>
  <si>
    <t xml:space="preserve">  .   .   .   .   .   .   .   .   .   .   .   .   . </t>
  </si>
  <si>
    <t>Download Form 1040 Schedule C Instructions</t>
  </si>
  <si>
    <t>Gross</t>
  </si>
  <si>
    <t xml:space="preserve">.   .   .   .   .   .   .   .   .   .   .   .   .   .   .   .   .   .   .   .   .   .   .   .   .   .   .   .   .   .   .   .   .   .   . </t>
  </si>
  <si>
    <r>
      <t>Enter</t>
    </r>
    <r>
      <rPr>
        <sz val="9"/>
        <rFont val="Arial"/>
        <family val="2"/>
      </rPr>
      <t>:</t>
    </r>
  </si>
  <si>
    <t>Enter the amount from line 11</t>
  </si>
  <si>
    <t xml:space="preserve">.    .    .    .    .    .    .    .    .    .    .    .    .    .    .    .    . </t>
  </si>
  <si>
    <t xml:space="preserve"> .    .    .    .    .    .    .    .    .    .    .    .    .    .    .    .    . </t>
  </si>
  <si>
    <t xml:space="preserve"> .    .    .    .    .    .    .    . </t>
  </si>
  <si>
    <t xml:space="preserve"> .    .    .    .    .    .    .    .    .    .    .    . </t>
  </si>
  <si>
    <t xml:space="preserve"> .    .    .    .    .    .    .    .    .    .    .    .    . </t>
  </si>
  <si>
    <t xml:space="preserve">   .    .    .    .    .    .    .    .    .    .    .    .    .    .    .    .    .    .    .    .    .    .    .    .    .    .    .    .    .    .    .    .    .    . </t>
  </si>
  <si>
    <t>Rental real estate, royalties, partnerships, S corporations, trusts, etc.     Attach Schedule E.</t>
  </si>
  <si>
    <r>
      <t>Enter your</t>
    </r>
    <r>
      <rPr>
        <b/>
        <sz val="9"/>
        <rFont val="Arial"/>
        <family val="2"/>
      </rPr>
      <t xml:space="preserve"> earned income</t>
    </r>
    <r>
      <rPr>
        <sz val="9"/>
        <rFont val="Arial"/>
        <family val="2"/>
      </rPr>
      <t>, if any (see instructions)</t>
    </r>
    <r>
      <rPr>
        <b/>
        <sz val="9"/>
        <rFont val="Arial"/>
        <family val="2"/>
      </rPr>
      <t xml:space="preserve">  .   .   .   .   .   .   .   .   .   .   .   .   .   .   .   .   .   .   .   .   .   .   .   .   .   .   .   .   .   .   .   .   .   .   .   .   .   .</t>
    </r>
  </si>
  <si>
    <t>City, town or post office, state, and ZIP code. If you have a foreign address, also complete spaces below (see instructions).</t>
  </si>
  <si>
    <t>Foreign country name</t>
  </si>
  <si>
    <t>Foreign postal code</t>
  </si>
  <si>
    <t>See separate instructions.</t>
  </si>
  <si>
    <t>Presidential Election Campaign</t>
  </si>
  <si>
    <t xml:space="preserve">Check here if you, or your spouse if filing
jointly, want $3 to go to this fund. Checking
a box below will not change your tax or </t>
  </si>
  <si>
    <t>refund.</t>
  </si>
  <si>
    <t>Boxes checked
on 6a and 6b.</t>
  </si>
  <si>
    <r>
      <t xml:space="preserve">Form 4972  </t>
    </r>
    <r>
      <rPr>
        <b/>
        <sz val="8"/>
        <rFont val="Arial"/>
        <family val="2"/>
      </rPr>
      <t>c</t>
    </r>
  </si>
  <si>
    <r>
      <t xml:space="preserve">Blind. </t>
    </r>
    <r>
      <rPr>
        <b/>
        <sz val="9"/>
        <rFont val="Arial"/>
        <family val="2"/>
      </rPr>
      <t xml:space="preserve">  checked </t>
    </r>
  </si>
  <si>
    <r>
      <t xml:space="preserve">Blind.   </t>
    </r>
    <r>
      <rPr>
        <b/>
        <sz val="9"/>
        <rFont val="Arial"/>
        <family val="2"/>
      </rPr>
      <t>Total boxes</t>
    </r>
  </si>
  <si>
    <t>Household employment taxes from Schedule H</t>
  </si>
  <si>
    <t>First-time homebuyer credit repayment. Attach Form 5405 if required</t>
  </si>
  <si>
    <r>
      <t xml:space="preserve">This is your  </t>
    </r>
    <r>
      <rPr>
        <b/>
        <sz val="9"/>
        <rFont val="Arial"/>
        <family val="2"/>
      </rPr>
      <t>total tax</t>
    </r>
  </si>
  <si>
    <t xml:space="preserve"> .   .   .   .   .   .   .   .   .   .   .   .   .   .   .   .   .   .   .   .     </t>
  </si>
  <si>
    <t xml:space="preserve">b  </t>
  </si>
  <si>
    <t xml:space="preserve">  Tax and</t>
  </si>
  <si>
    <t xml:space="preserve">  Credits</t>
  </si>
  <si>
    <t>Deduction for --</t>
  </si>
  <si>
    <t>Single or Married filing separately,</t>
  </si>
  <si>
    <t>Married filing jointly or qualifying widow(er)</t>
  </si>
  <si>
    <r>
      <t>Tax</t>
    </r>
    <r>
      <rPr>
        <sz val="7"/>
        <rFont val="Arial"/>
        <family val="2"/>
      </rPr>
      <t xml:space="preserve"> (see instructions). </t>
    </r>
    <r>
      <rPr>
        <sz val="8"/>
        <rFont val="Arial"/>
        <family val="2"/>
      </rPr>
      <t xml:space="preserve">Check if any tax is from: </t>
    </r>
    <r>
      <rPr>
        <b/>
        <sz val="8"/>
        <rFont val="Arial"/>
        <family val="2"/>
      </rPr>
      <t>a</t>
    </r>
  </si>
  <si>
    <r>
      <t xml:space="preserve">Form(s) 8814      </t>
    </r>
    <r>
      <rPr>
        <b/>
        <sz val="8"/>
        <rFont val="Arial"/>
        <family val="2"/>
      </rPr>
      <t>b</t>
    </r>
  </si>
  <si>
    <t xml:space="preserve"> .   .   .   .   .   .  </t>
  </si>
  <si>
    <t>See instructions.</t>
  </si>
  <si>
    <t>If the IRS sent you an Identity Protection PIN,</t>
  </si>
  <si>
    <t>enter it here.</t>
  </si>
  <si>
    <t>if</t>
  </si>
  <si>
    <t xml:space="preserve">Check </t>
  </si>
  <si>
    <t xml:space="preserve">   self-employed</t>
  </si>
  <si>
    <t xml:space="preserve">    Standard Deduction Worksheet for Dependents -- Line 40</t>
  </si>
  <si>
    <r>
      <t xml:space="preserve">Use the worksheet </t>
    </r>
    <r>
      <rPr>
        <b/>
        <sz val="10"/>
        <rFont val="Arial"/>
        <family val="2"/>
      </rPr>
      <t>only</t>
    </r>
    <r>
      <rPr>
        <sz val="10"/>
        <rFont val="Arial"/>
        <family val="2"/>
      </rPr>
      <t xml:space="preserve"> if someone can claim you, or your spouse, if filing jointly, as a dependent.</t>
    </r>
  </si>
  <si>
    <t>Standard deduction.</t>
  </si>
  <si>
    <t>c.</t>
  </si>
  <si>
    <t>a.</t>
  </si>
  <si>
    <t>enter this amount on Form 1040, line 40. Otherwise, go to line 3b</t>
  </si>
  <si>
    <t>b.</t>
  </si>
  <si>
    <t>Add lines 3a and 3b. Enter the total here and on Form 1040, line 40</t>
  </si>
  <si>
    <t>•</t>
  </si>
  <si>
    <r>
      <t>Enter the</t>
    </r>
    <r>
      <rPr>
        <b/>
        <sz val="10"/>
        <rFont val="Arial"/>
        <family val="2"/>
      </rPr>
      <t xml:space="preserve"> smaller</t>
    </r>
    <r>
      <rPr>
        <sz val="10"/>
        <rFont val="Arial"/>
        <family val="2"/>
      </rPr>
      <t xml:space="preserve"> of line 1 or line 2.</t>
    </r>
  </si>
  <si>
    <t>If born after January</t>
  </si>
  <si>
    <t>3a.</t>
  </si>
  <si>
    <t>3b.</t>
  </si>
  <si>
    <t>3c.</t>
  </si>
  <si>
    <r>
      <t xml:space="preserve">blind, </t>
    </r>
    <r>
      <rPr>
        <b/>
        <sz val="10"/>
        <rFont val="Arial"/>
        <family val="2"/>
      </rPr>
      <t>stop here</t>
    </r>
    <r>
      <rPr>
        <sz val="10"/>
        <rFont val="Arial"/>
        <family val="2"/>
      </rPr>
      <t xml:space="preserve"> and</t>
    </r>
  </si>
  <si>
    <r>
      <t xml:space="preserve">Personal property taxes   </t>
    </r>
    <r>
      <rPr>
        <b/>
        <sz val="9"/>
        <rFont val="Arial"/>
        <family val="2"/>
      </rPr>
      <t>.   .   .   .   .   .   .   .   .   .   .   .   .   .   .   .   .   .   .</t>
    </r>
  </si>
  <si>
    <t>Cat. No. 17145C</t>
  </si>
  <si>
    <t xml:space="preserve">Real estate taxes (see instructions) </t>
  </si>
  <si>
    <t xml:space="preserve">.   .   .   .   .   .   .   .   .   .   .   .   .   .   </t>
  </si>
  <si>
    <t>account (such as a bank account, securities account, or brokerage account) located in a foreign</t>
  </si>
  <si>
    <t>country? See instructions</t>
  </si>
  <si>
    <t xml:space="preserve"> .   .   .   .   .   .   .   .   .   .   .   .   .   .   .   .   .   .   .   .   .   .   .   .   .   .   .   .   .   .   .   .   .   .   .   .   .   .   </t>
  </si>
  <si>
    <t>financial account is located</t>
  </si>
  <si>
    <t>and Trusts</t>
  </si>
  <si>
    <t>Cat. No. 17146N</t>
  </si>
  <si>
    <r>
      <t xml:space="preserve">account; or </t>
    </r>
    <r>
      <rPr>
        <b/>
        <sz val="9"/>
        <rFont val="Arial"/>
        <family val="2"/>
      </rPr>
      <t>(c)</t>
    </r>
    <r>
      <rPr>
        <sz val="9"/>
        <rFont val="Arial"/>
        <family val="2"/>
      </rPr>
      <t xml:space="preserve"> received a distribution from, or were a grantor of, or a transferor to, a foreign trust.</t>
    </r>
  </si>
  <si>
    <r>
      <t xml:space="preserve">For information on Schedule C and its instructions, go to </t>
    </r>
    <r>
      <rPr>
        <b/>
        <i/>
        <sz val="9"/>
        <rFont val="Arial"/>
        <family val="2"/>
      </rPr>
      <t>www.irs.gov/schedulec</t>
    </r>
  </si>
  <si>
    <t>Attach to Form 1040, 1040NR, or 1041; partnerships generally must file Form 1065.</t>
  </si>
  <si>
    <t>Department of the Treasury Internal Revenue Service  (99)</t>
  </si>
  <si>
    <t>B  Enter code from instructions</t>
  </si>
  <si>
    <t>D  Employer ID number (EIN), see instructions</t>
  </si>
  <si>
    <t>Business address (including suite/room no.)</t>
  </si>
  <si>
    <t>Other (specify)</t>
  </si>
  <si>
    <t>I</t>
  </si>
  <si>
    <t>J</t>
  </si>
  <si>
    <t>If "Yes," did you or will you file all required Forms 1099?</t>
  </si>
  <si>
    <t xml:space="preserve">.   .   .   .   .   .   .   .   .   .   .   .   .   .   .   .   .   .   .   .   .  </t>
  </si>
  <si>
    <t xml:space="preserve">.   .   .   .   .   .   .   .   .   .   .   .   .   .   .   .   .   .   .   .   .   .   .   .  </t>
  </si>
  <si>
    <t>Cost of goods sold  (from line 42)</t>
  </si>
  <si>
    <t xml:space="preserve">.   .   .   .   .   .   .   .   .   .   .   .   .   .   .   .   .   .   .   .   .   .   .   .   .   .   .   .   .   .   .   .   .   .   .   .   .  </t>
  </si>
  <si>
    <t>Legal and professional services</t>
  </si>
  <si>
    <t>in Part III) (see instructions)</t>
  </si>
  <si>
    <t xml:space="preserve">   .   .   .   .   .   .   .   .</t>
  </si>
  <si>
    <t>Office Expense (See instructions)</t>
  </si>
  <si>
    <t>Rent or lease (see instructions):</t>
  </si>
  <si>
    <t>Other expenses (from line 48)</t>
  </si>
  <si>
    <t>Reserved for future use</t>
  </si>
  <si>
    <t>27a</t>
  </si>
  <si>
    <t>27b</t>
  </si>
  <si>
    <t>Contract labor (see instructions)</t>
  </si>
  <si>
    <t xml:space="preserve">If "Yes", attach explanation.   .   .   .   .   .   .   .   .   .   .   .   .   .   .   .   .   .   .   .   .   .   .   .   .   . </t>
  </si>
  <si>
    <t>Was there any change in determining quantities, cost or valuations between opening and closing inventory?</t>
  </si>
  <si>
    <t>Was your vehicle available for use during off-duty hours?</t>
  </si>
  <si>
    <t xml:space="preserve">Do you have evidence to support your deduction?     .    .    .    .    .    .    .    .    .    . </t>
  </si>
  <si>
    <r>
      <t>Total other expenses.</t>
    </r>
    <r>
      <rPr>
        <sz val="9"/>
        <rFont val="Arial"/>
        <family val="2"/>
      </rPr>
      <t xml:space="preserve">  Enter here and on page 1, line 27a  .   .   .   .   .   .   .   .   .   .   .   .   .   .   .   .   .   .    .   .   .   .   .   .   .</t>
    </r>
  </si>
  <si>
    <t xml:space="preserve">Cat. No. 11334P   </t>
  </si>
  <si>
    <r>
      <t xml:space="preserve">   </t>
    </r>
    <r>
      <rPr>
        <b/>
        <sz val="11"/>
        <rFont val="Arial"/>
        <family val="2"/>
      </rPr>
      <t>Other expenses.</t>
    </r>
    <r>
      <rPr>
        <sz val="11"/>
        <rFont val="Arial"/>
        <family val="2"/>
      </rPr>
      <t xml:space="preserve"> </t>
    </r>
    <r>
      <rPr>
        <sz val="12"/>
        <rFont val="Arial"/>
        <family val="2"/>
      </rPr>
      <t xml:space="preserve"> List below business expenses not included on lines 8-26 or line 30.</t>
    </r>
  </si>
  <si>
    <r>
      <rPr>
        <b/>
        <sz val="7"/>
        <rFont val="Arial"/>
        <family val="2"/>
      </rPr>
      <t>(g)</t>
    </r>
    <r>
      <rPr>
        <sz val="7"/>
        <rFont val="Arial"/>
        <family val="2"/>
      </rPr>
      <t xml:space="preserve"> Adjustments to
gain or loss from
Form(s) 8949,
line 2, column (g)</t>
    </r>
  </si>
  <si>
    <r>
      <rPr>
        <sz val="8"/>
        <rFont val="Arial"/>
        <family val="2"/>
      </rPr>
      <t>Form</t>
    </r>
    <r>
      <rPr>
        <sz val="10"/>
        <rFont val="Arial"/>
        <family val="2"/>
      </rPr>
      <t xml:space="preserve"> </t>
    </r>
    <r>
      <rPr>
        <b/>
        <sz val="26"/>
        <rFont val="Arial"/>
        <family val="2"/>
      </rPr>
      <t>8949</t>
    </r>
  </si>
  <si>
    <t>Sales and Other Dispositions of Capital Assets</t>
  </si>
  <si>
    <r>
      <rPr>
        <b/>
        <sz val="8"/>
        <rFont val="Arial"/>
        <family val="2"/>
      </rPr>
      <t>(a)</t>
    </r>
    <r>
      <rPr>
        <sz val="8"/>
        <rFont val="Arial"/>
        <family val="2"/>
      </rPr>
      <t xml:space="preserve">
Description of property
(Example: 100 sh. XYZ Co.)</t>
    </r>
  </si>
  <si>
    <t>Cat. No. 37768Z</t>
  </si>
  <si>
    <r>
      <t xml:space="preserve">Page </t>
    </r>
    <r>
      <rPr>
        <b/>
        <sz val="12"/>
        <rFont val="Arial"/>
        <family val="2"/>
      </rPr>
      <t>2</t>
    </r>
  </si>
  <si>
    <r>
      <t xml:space="preserve">Attachment Sequence No. </t>
    </r>
    <r>
      <rPr>
        <b/>
        <sz val="12"/>
        <rFont val="Arial"/>
        <family val="2"/>
      </rPr>
      <t>12A</t>
    </r>
  </si>
  <si>
    <r>
      <rPr>
        <b/>
        <sz val="7"/>
        <rFont val="Arial"/>
        <family val="2"/>
      </rPr>
      <t>(h)</t>
    </r>
    <r>
      <rPr>
        <sz val="7"/>
        <rFont val="Arial"/>
        <family val="2"/>
      </rPr>
      <t xml:space="preserve"> Gain or (loss)
Combine columns (e),
(f), and (g)</t>
    </r>
  </si>
  <si>
    <r>
      <t xml:space="preserve">Short-term capital loss carryover. Enter the amount, if any, from line 8 of your </t>
    </r>
    <r>
      <rPr>
        <b/>
        <sz val="9"/>
        <rFont val="Arial"/>
        <family val="2"/>
      </rPr>
      <t>Capital Loss Carryover</t>
    </r>
  </si>
  <si>
    <r>
      <t>Worksheet</t>
    </r>
    <r>
      <rPr>
        <sz val="10"/>
        <rFont val="Arial"/>
        <family val="2"/>
      </rPr>
      <t xml:space="preserve"> in the instructions</t>
    </r>
  </si>
  <si>
    <t>.   .   .   .   .   .   .   .   .   .   .   .   .   .   .   .   .   .   .   .   .   .   .   .   .   .   .</t>
  </si>
  <si>
    <r>
      <t xml:space="preserve">Long-term capital loss carryover. Enter the amount, if any, from line 13 of your </t>
    </r>
    <r>
      <rPr>
        <b/>
        <sz val="9"/>
        <rFont val="Arial"/>
        <family val="2"/>
      </rPr>
      <t>Capital Loss Carryover</t>
    </r>
  </si>
  <si>
    <t>Capital gain distributions. See the instructions</t>
  </si>
  <si>
    <t>14.  Then go to line 17 below.</t>
  </si>
  <si>
    <r>
      <t xml:space="preserve">If line 16 is a </t>
    </r>
    <r>
      <rPr>
        <b/>
        <sz val="9"/>
        <rFont val="Arial"/>
        <family val="2"/>
      </rPr>
      <t>gain</t>
    </r>
    <r>
      <rPr>
        <sz val="9"/>
        <rFont val="Arial"/>
        <family val="2"/>
      </rPr>
      <t>, enter the amount from line 16 on Form 1040, line 13, or Form 1040NR, line</t>
    </r>
  </si>
  <si>
    <r>
      <t xml:space="preserve">Enter the amount, if any, from line 18 of the </t>
    </r>
    <r>
      <rPr>
        <b/>
        <sz val="10"/>
        <rFont val="Arial"/>
        <family val="2"/>
      </rPr>
      <t>Unrecaptured Section 1250 Gain Worksheet</t>
    </r>
    <r>
      <rPr>
        <sz val="10"/>
        <rFont val="Arial"/>
        <family val="2"/>
      </rPr>
      <t xml:space="preserve"> in the</t>
    </r>
  </si>
  <si>
    <r>
      <t xml:space="preserve">Enter the amount, if any, from line 7 of the </t>
    </r>
    <r>
      <rPr>
        <b/>
        <sz val="10"/>
        <rFont val="Arial"/>
        <family val="2"/>
      </rPr>
      <t>28% Rate Gain Worksheet</t>
    </r>
    <r>
      <rPr>
        <sz val="10"/>
        <rFont val="Arial"/>
        <family val="2"/>
      </rPr>
      <t xml:space="preserve"> in the instructions</t>
    </r>
  </si>
  <si>
    <t xml:space="preserve"> .   .   .   .   .   . </t>
  </si>
  <si>
    <r>
      <t xml:space="preserve">If line 16 is a loss, enter here and on Form 1040, line 13, or Form 1040NR, line 14, the </t>
    </r>
    <r>
      <rPr>
        <b/>
        <sz val="10"/>
        <rFont val="Arial"/>
        <family val="2"/>
      </rPr>
      <t>smaller</t>
    </r>
    <r>
      <rPr>
        <sz val="10"/>
        <rFont val="Arial"/>
        <family val="2"/>
      </rPr>
      <t xml:space="preserve"> of</t>
    </r>
  </si>
  <si>
    <t>Form 1040, line 43 (or Form 1040NR, line 41) is zero or less.</t>
  </si>
  <si>
    <t>Enter your taxable income from Form 1040, line 43 (or Form 1040NR, line 41). (However, if you are filing Form 2555 or 2555-EZ</t>
  </si>
  <si>
    <r>
      <t>Enter the amount from Form 4952 (used to
figure investment interest expense
deduction), line 4g</t>
    </r>
    <r>
      <rPr>
        <b/>
        <sz val="10"/>
        <rFont val="Arial"/>
        <family val="2"/>
      </rPr>
      <t>.   .   .   .   .   .   .   .   .   .   .   .   .   .   .   .</t>
    </r>
  </si>
  <si>
    <r>
      <t>4</t>
    </r>
    <r>
      <rPr>
        <b/>
        <sz val="8"/>
        <rFont val="Arial"/>
        <family val="2"/>
      </rPr>
      <t xml:space="preserve">  Attach to Form 1040 or Form 1040NR.   </t>
    </r>
  </si>
  <si>
    <t>earnings (see instructions)?</t>
  </si>
  <si>
    <t>Net farm profit or (loss) from Schedule F, line 34, and farm partnerships, Schedule K-1 (Form</t>
  </si>
  <si>
    <t>Ministers and members of religious orders, see instructions for types of income to report on</t>
  </si>
  <si>
    <t>this line.  See instructions for other income to report</t>
  </si>
  <si>
    <t xml:space="preserve">Combine lines 1a, 1b, and 2. </t>
  </si>
  <si>
    <t xml:space="preserve"> .   .   .   .   .   .   .   .   .   .   .   .   .   .   .   .   .   .   .   .   .   . </t>
  </si>
  <si>
    <r>
      <rPr>
        <b/>
        <sz val="10"/>
        <rFont val="Arial"/>
        <family val="2"/>
      </rPr>
      <t>do not</t>
    </r>
    <r>
      <rPr>
        <sz val="10"/>
        <rFont val="Arial"/>
        <family val="2"/>
      </rPr>
      <t xml:space="preserve"> file this schedule unless you have an amount on line 1b</t>
    </r>
  </si>
  <si>
    <r>
      <rPr>
        <b/>
        <sz val="10"/>
        <rFont val="Arial"/>
        <family val="2"/>
      </rPr>
      <t xml:space="preserve">Note.   </t>
    </r>
    <r>
      <rPr>
        <sz val="10"/>
        <rFont val="Arial"/>
        <family val="2"/>
      </rPr>
      <t xml:space="preserve"> If line 4 is less than</t>
    </r>
  </si>
  <si>
    <t xml:space="preserve"> .   .   .   .   .   .   .   .   .   .   .   .</t>
  </si>
  <si>
    <r>
      <t xml:space="preserve">Deduction for employer-equivalent portion of self-employment tax. </t>
    </r>
    <r>
      <rPr>
        <sz val="9"/>
        <rFont val="Arial"/>
        <family val="2"/>
      </rPr>
      <t>Add the two following amounts.</t>
    </r>
  </si>
  <si>
    <t xml:space="preserve">   .   .   .   .   .   .   .   .   .   .   .   .   .   .</t>
  </si>
  <si>
    <r>
      <t>Note.</t>
    </r>
    <r>
      <rPr>
        <sz val="10"/>
        <rFont val="Arial"/>
        <family val="2"/>
      </rPr>
      <t xml:space="preserve"> If your only income subject to self-employment tax is </t>
    </r>
    <r>
      <rPr>
        <b/>
        <sz val="10"/>
        <rFont val="Arial"/>
        <family val="2"/>
      </rPr>
      <t>church employee income</t>
    </r>
    <r>
      <rPr>
        <sz val="10"/>
        <rFont val="Arial"/>
        <family val="2"/>
      </rPr>
      <t>, see instructions. Also, see instructions for</t>
    </r>
  </si>
  <si>
    <t>the definition of church employee income.</t>
  </si>
  <si>
    <t xml:space="preserve">.   .   .   .   .   .   .   .   . </t>
  </si>
  <si>
    <t>Net farm profit or (loss) from Schedule F, line 34, and farm partnerships, Schedule K-1 (Form 1065),</t>
  </si>
  <si>
    <r>
      <t xml:space="preserve">box 14, code A. </t>
    </r>
    <r>
      <rPr>
        <b/>
        <sz val="10"/>
        <rFont val="Arial"/>
        <family val="2"/>
      </rPr>
      <t>Note.</t>
    </r>
    <r>
      <rPr>
        <sz val="10"/>
        <rFont val="Arial"/>
        <family val="2"/>
      </rPr>
      <t xml:space="preserve"> Skip lines 1a and 1b if you use the farm optional method (see instructions)</t>
    </r>
  </si>
  <si>
    <t>.   .</t>
  </si>
  <si>
    <r>
      <rPr>
        <b/>
        <sz val="9"/>
        <rFont val="Arial"/>
        <family val="2"/>
      </rPr>
      <t>Note.</t>
    </r>
    <r>
      <rPr>
        <sz val="9"/>
        <rFont val="Arial"/>
        <family val="2"/>
      </rPr>
      <t xml:space="preserve"> If line 4a is less than $400 due to Conservation Reserve Program payments on line 1b, see instructions.</t>
    </r>
  </si>
  <si>
    <t>instructions for definition of church employee income</t>
  </si>
  <si>
    <r>
      <t xml:space="preserve">Multiply the </t>
    </r>
    <r>
      <rPr>
        <b/>
        <sz val="10"/>
        <rFont val="Arial"/>
        <family val="2"/>
      </rPr>
      <t xml:space="preserve">smaller </t>
    </r>
    <r>
      <rPr>
        <sz val="10"/>
        <rFont val="Arial"/>
        <family val="2"/>
      </rPr>
      <t>of line 6 or line 9 by</t>
    </r>
  </si>
  <si>
    <t xml:space="preserve"> .   . </t>
  </si>
  <si>
    <r>
      <t xml:space="preserve">Social security number of person
with </t>
    </r>
    <r>
      <rPr>
        <b/>
        <sz val="9"/>
        <rFont val="Arial"/>
        <family val="2"/>
      </rPr>
      <t>self-employment</t>
    </r>
    <r>
      <rPr>
        <sz val="9"/>
        <rFont val="Arial"/>
        <family val="2"/>
      </rPr>
      <t xml:space="preserve"> income</t>
    </r>
  </si>
  <si>
    <t>From Sch. F, line 34, and Sch. K-1 (Form 1065),  box 14, code A -- minus the amount you would have entered on line 1b had you not used the optional method.</t>
  </si>
  <si>
    <t>You may use Short Schedule SE below</t>
  </si>
  <si>
    <t xml:space="preserve">   You must use Long Schedule SE on page 2</t>
  </si>
  <si>
    <t>Also</t>
  </si>
  <si>
    <t>Combine lines 1a, 1b, and 2.</t>
  </si>
  <si>
    <t xml:space="preserve">.   .   .   .   .   .   .   .   .   .   .   .   .   .   .   .   .   .   .   .   .   .   .   .   .   .   .  </t>
  </si>
  <si>
    <t xml:space="preserve">. </t>
  </si>
  <si>
    <r>
      <t xml:space="preserve">Override  </t>
    </r>
    <r>
      <rPr>
        <b/>
        <sz val="10"/>
        <rFont val="Wingdings"/>
        <charset val="2"/>
      </rPr>
      <t>è</t>
    </r>
  </si>
  <si>
    <t>Taxes from Schedule A (Form 1040), line 9</t>
  </si>
  <si>
    <r>
      <t xml:space="preserve"> </t>
    </r>
    <r>
      <rPr>
        <sz val="8"/>
        <rFont val="Wingdings"/>
        <charset val="2"/>
      </rPr>
      <t>l</t>
    </r>
    <r>
      <rPr>
        <sz val="8"/>
        <rFont val="Arial"/>
        <family val="2"/>
      </rPr>
      <t xml:space="preserve">  </t>
    </r>
    <r>
      <rPr>
        <sz val="9"/>
        <rFont val="Arial"/>
        <family val="2"/>
      </rPr>
      <t>If you are filing Form 2555 or 2555-EZ, see instructions for the amount to enter.</t>
    </r>
  </si>
  <si>
    <r>
      <rPr>
        <sz val="8"/>
        <rFont val="Arial"/>
        <family val="2"/>
      </rPr>
      <t xml:space="preserve">Form </t>
    </r>
    <r>
      <rPr>
        <b/>
        <sz val="12"/>
        <rFont val="Arial"/>
        <family val="2"/>
      </rPr>
      <t>8949</t>
    </r>
  </si>
  <si>
    <t xml:space="preserve"> .   .   .   .   .   .   .   .   .   .   .   .   .   .   .   .   .   .   .   .   .   .   .   .   .   .   .   .   .   . </t>
  </si>
  <si>
    <t>Complete Part III only if you are required to do so by line 31 or by the Foreign Earned Income Tax Worksheet in the instructions.</t>
  </si>
  <si>
    <t xml:space="preserve">.   .   .   .   .   .   .   .   .   .   .   .   .   .   .   .   .   .   .   .   .   .   .   .   .   . </t>
  </si>
  <si>
    <t xml:space="preserve">.   .   .   .   .   .   .   .   .   .   .   .   .   .   .   .   .   .   .   .   .   .   .   .   .   .   .   .   . </t>
  </si>
  <si>
    <t>.   .   .   .   .   .</t>
  </si>
  <si>
    <t xml:space="preserve"> .   .   .   .   .   .   .   .   .   .   .   .   .   . </t>
  </si>
  <si>
    <t xml:space="preserve"> .   .   .   .   .   .   .   .   .   .   .   .   .   .   .   .   .   .   .   .   .   .</t>
  </si>
  <si>
    <t>status was single or head of household).</t>
  </si>
  <si>
    <t>Multiply line 4 by the number of months for which this year’s payments were made. If your</t>
  </si>
  <si>
    <t>annuity starting date was before 1987, skip lines 6 and 7 and enter this amount on line 8.</t>
  </si>
  <si>
    <t>Otherwise, go to line 6</t>
  </si>
  <si>
    <r>
      <rPr>
        <b/>
        <sz val="9"/>
        <rFont val="Arial"/>
        <family val="2"/>
      </rPr>
      <t>Taxable amount.</t>
    </r>
    <r>
      <rPr>
        <sz val="9"/>
        <rFont val="Arial"/>
        <family val="2"/>
      </rPr>
      <t xml:space="preserve"> Subtract line 8 from line 1. Enter the result, but not less than zero. Also, enter this amount on Form</t>
    </r>
  </si>
  <si>
    <t>1040, line 16b. If your Form 1099-R shows a larger amount, use the amount on this line instead of the amount from</t>
  </si>
  <si>
    <r>
      <t xml:space="preserve">Form 1099-R. If you are a retired public safety officer, see </t>
    </r>
    <r>
      <rPr>
        <i/>
        <sz val="9"/>
        <rFont val="Arial"/>
        <family val="2"/>
      </rPr>
      <t>Insurance Premiums for Retired Public Safety Officers</t>
    </r>
  </si>
  <si>
    <t>before entering an amount on line 16b</t>
  </si>
  <si>
    <t>IF the age at annuity starting</t>
  </si>
  <si>
    <t>date was …</t>
  </si>
  <si>
    <t>IF the combined ages at annuity</t>
  </si>
  <si>
    <t xml:space="preserve"> starting date were . . .</t>
  </si>
  <si>
    <t>instructions for line 36).</t>
  </si>
  <si>
    <t>use this worksheet instead of a publication to find out if any of your benefits are taxable.</t>
  </si>
  <si>
    <t>enter "D" to the right of the word "benefits" on line 20a.  If you do not, you may get a math</t>
  </si>
  <si>
    <t>error notice from the IRS.</t>
  </si>
  <si>
    <r>
      <t xml:space="preserve">No.   STOP   </t>
    </r>
    <r>
      <rPr>
        <sz val="10"/>
        <rFont val="Arial"/>
        <family val="2"/>
      </rPr>
      <t>None of your social security benefits are taxable. Enter -0- on Form 1040, line 20b.</t>
    </r>
  </si>
  <si>
    <t xml:space="preserve"> .   .   .   .   .   .   .   .   .   .   .   .   .   .   .   .   .   .   .   .</t>
  </si>
  <si>
    <t xml:space="preserve">  .   .   .   .   .   .   .   .   .   .   .   .   .   .   .   .   .   .   .   .   .   .   .   .   .   .   .   .   .   .   .   .   .   .</t>
  </si>
  <si>
    <t>adjustments you entered on the dotted line next to line 36</t>
  </si>
  <si>
    <t xml:space="preserve"> .   .   .   .   .   .   .   .   .   .   .   .   .   .   .   .   .</t>
  </si>
  <si>
    <r>
      <t xml:space="preserve"> Yes.</t>
    </r>
    <r>
      <rPr>
        <sz val="10"/>
        <rFont val="Arial"/>
        <family val="2"/>
      </rPr>
      <t xml:space="preserve">  Subtract line 6 from line 5</t>
    </r>
    <r>
      <rPr>
        <b/>
        <sz val="10"/>
        <rFont val="Arial"/>
        <family val="2"/>
      </rPr>
      <t>.   .   .   .   .   .   .   .   .   .</t>
    </r>
  </si>
  <si>
    <t>Figure any write-in adjustments to be entered on the dotted line next to line 36 (see the instructions for line 36).</t>
  </si>
  <si>
    <r>
      <t>Were you covered by a retirement plan (</t>
    </r>
    <r>
      <rPr>
        <i/>
        <sz val="10"/>
        <rFont val="Arial"/>
        <family val="2"/>
      </rPr>
      <t>see Were You Covered by a Retirement</t>
    </r>
  </si>
  <si>
    <t xml:space="preserve">.   .   .   .   .   .   .   .   .   .   .   .   .   .   .   .   .   .  </t>
  </si>
  <si>
    <t>skip lines 2 through 6, enter the applicable amount below on line 7a (and line 7b if</t>
  </si>
  <si>
    <t>applicable), and go to line 8.</t>
  </si>
  <si>
    <r>
      <t xml:space="preserve">Enter the amount from Form 1040, line 22 </t>
    </r>
    <r>
      <rPr>
        <b/>
        <sz val="10"/>
        <rFont val="Arial"/>
        <family val="2"/>
      </rPr>
      <t xml:space="preserve">.   .   .   .   .   .   .   .   .   .   .   .   .   .   .   .   .   . </t>
    </r>
    <r>
      <rPr>
        <sz val="10"/>
        <rFont val="Arial"/>
        <family val="2"/>
      </rPr>
      <t xml:space="preserve"> </t>
    </r>
  </si>
  <si>
    <r>
      <t>the dotted line next to line 36</t>
    </r>
    <r>
      <rPr>
        <b/>
        <sz val="10"/>
        <rFont val="Arial"/>
        <family val="2"/>
      </rPr>
      <t xml:space="preserve">.   .   .   .   .   .   .   .   .   .   .   .   .   .   .   .   .   .   .  </t>
    </r>
  </si>
  <si>
    <t>Subtract line 4 from line 3. If married filing jointly, enter the result in both columns</t>
  </si>
  <si>
    <t xml:space="preserve"> .   .   .   .   .   .   .   .  </t>
  </si>
  <si>
    <t>Otherwise, go to line 7.</t>
  </si>
  <si>
    <t>Wages, salaries, tips, etc. Generally, this is the</t>
  </si>
  <si>
    <t>amount reported in box 1 of Form W-2. Exceptions</t>
  </si>
  <si>
    <t>are explained earlier in these instructions for line 32</t>
  </si>
  <si>
    <r>
      <t>For more details, see Pub. 590</t>
    </r>
    <r>
      <rPr>
        <b/>
        <sz val="10"/>
        <rFont val="Arial"/>
        <family val="2"/>
      </rPr>
      <t xml:space="preserve">.   .   .   .   .   .   .   .   .   .   .   .   .   .   .   .   .   .   .   .   .   .   . </t>
    </r>
  </si>
  <si>
    <t>.   .   .   .   .   .   .   .   .   .   .   .   .   .   .   .   .   .   .   .   .</t>
  </si>
  <si>
    <t>line 3 of the Foreign Earned Income Tax Worksheet</t>
  </si>
  <si>
    <t xml:space="preserve"> .    .    .    .    .    .    .    .    .    .    . </t>
  </si>
  <si>
    <t>Enter the smaller of line 1 or line 6</t>
  </si>
  <si>
    <t>Subtract line 13 from line 12</t>
  </si>
  <si>
    <t>1040, line 44. Instead, enter it on line 4 of the Foreign Earned Income Tax Worksheet</t>
  </si>
  <si>
    <t xml:space="preserve">.    .    .    .    .    .    .    .    .    .    . </t>
  </si>
  <si>
    <t>* If you are filing Form 2555 or 2555-EZ, see the footnote in the Foreign Earned Income Tax Worksheet before completing this line.</t>
  </si>
  <si>
    <t>NOTICE !</t>
  </si>
  <si>
    <t>Child Tax Credit Worksheet --- Publication 972</t>
  </si>
  <si>
    <r>
      <t>1040 Filers.</t>
    </r>
    <r>
      <rPr>
        <sz val="10"/>
        <rFont val="Arial"/>
        <family val="2"/>
      </rPr>
      <t xml:space="preserve">  Enter the total of any—</t>
    </r>
  </si>
  <si>
    <t>Exclusion of income from Puerto Rico, and</t>
  </si>
  <si>
    <t>Amounts from Form 2555, lines 45 and 50;</t>
  </si>
  <si>
    <t>Form 2555-EZ, line 18; and</t>
  </si>
  <si>
    <t>Form 4563, line 15.</t>
  </si>
  <si>
    <r>
      <t xml:space="preserve">1040A and 1040NR Filers.  </t>
    </r>
    <r>
      <rPr>
        <sz val="10"/>
        <rFont val="Arial"/>
        <family val="2"/>
      </rPr>
      <t>Enter -0-.</t>
    </r>
  </si>
  <si>
    <t>Add lines 2 and 3. Enter the total.</t>
  </si>
  <si>
    <t>Enter the amount shown below for your</t>
  </si>
  <si>
    <t>filing status.</t>
  </si>
  <si>
    <t>Is the amount on line 4 more than the amount on line 5?</t>
  </si>
  <si>
    <t>Leave line 6 blank. Enter -0- on line 7.</t>
  </si>
  <si>
    <t>Subtract line 5 from line 4.</t>
  </si>
  <si>
    <t xml:space="preserve">  If the result is not a multiple of $1,000,</t>
  </si>
  <si>
    <t xml:space="preserve">  increase it to the next multiple of $1,000</t>
  </si>
  <si>
    <t xml:space="preserve">  (for example, increase $425 to $1,000,</t>
  </si>
  <si>
    <t xml:space="preserve">  increase $1,025 to $2,000, etc.).</t>
  </si>
  <si>
    <t>Multiply the amount on line 6 by 5% (.05). Enter the result.</t>
  </si>
  <si>
    <t>Is the amount on line 1 more than the amount on line 7?</t>
  </si>
  <si>
    <t xml:space="preserve"> No. </t>
  </si>
  <si>
    <t xml:space="preserve">  Form 1040, 1040A, or Form 1040NR.</t>
  </si>
  <si>
    <t>Subtract line 7 from line 1. Enter the result.</t>
  </si>
  <si>
    <t>Go to Part 2 on the next page.</t>
  </si>
  <si>
    <t>Page 4</t>
  </si>
  <si>
    <t>Add the amounts from—</t>
  </si>
  <si>
    <t>Form 1040NR</t>
  </si>
  <si>
    <t>Line 47</t>
  </si>
  <si>
    <t>Line 48</t>
  </si>
  <si>
    <t>-----------</t>
  </si>
  <si>
    <t xml:space="preserve">+ </t>
  </si>
  <si>
    <t>Line 49</t>
  </si>
  <si>
    <t>Line 31</t>
  </si>
  <si>
    <t>Line 46</t>
  </si>
  <si>
    <t>Enter the total.</t>
  </si>
  <si>
    <t>Mortgage interest credit, Form 8396</t>
  </si>
  <si>
    <t>11</t>
  </si>
  <si>
    <t>Complete the Line 11 Worksheet on the next page</t>
  </si>
  <si>
    <t>to figure the amount to enter here.</t>
  </si>
  <si>
    <t>Subtract line 11 from line 9. Enter the result.</t>
  </si>
  <si>
    <t>Is the amount on line 8 of this worksheet more than the amount on line 12?</t>
  </si>
  <si>
    <t>13</t>
  </si>
  <si>
    <r>
      <t xml:space="preserve">See the </t>
    </r>
    <r>
      <rPr>
        <b/>
        <sz val="10"/>
        <rFont val="Arial"/>
        <family val="2"/>
      </rPr>
      <t>TIP</t>
    </r>
    <r>
      <rPr>
        <sz val="10"/>
        <rFont val="Arial"/>
        <family val="2"/>
      </rPr>
      <t xml:space="preserve"> below.</t>
    </r>
  </si>
  <si>
    <r>
      <t xml:space="preserve">  You may be able to take the </t>
    </r>
    <r>
      <rPr>
        <b/>
        <sz val="10"/>
        <rFont val="Arial"/>
        <family val="2"/>
      </rPr>
      <t>additional child tax credit</t>
    </r>
    <r>
      <rPr>
        <sz val="10"/>
        <rFont val="Arial"/>
        <family val="2"/>
      </rPr>
      <t xml:space="preserve"> on</t>
    </r>
  </si>
  <si>
    <t>Page 5</t>
  </si>
  <si>
    <r>
      <t xml:space="preserve">Before you begin: </t>
    </r>
    <r>
      <rPr>
        <sz val="12"/>
        <rFont val="Arial"/>
        <family val="2"/>
      </rPr>
      <t xml:space="preserve"> </t>
    </r>
    <r>
      <rPr>
        <sz val="12"/>
        <rFont val="Wingdings"/>
        <charset val="2"/>
      </rPr>
      <t>ü</t>
    </r>
  </si>
  <si>
    <t>Leave line 3 blank, enter -0- on line 4, and</t>
  </si>
  <si>
    <t>go to line 5.</t>
  </si>
  <si>
    <t>Enter the result.</t>
  </si>
  <si>
    <t>If married filing</t>
  </si>
  <si>
    <t>jointly, include your</t>
  </si>
  <si>
    <t>Social security taxes from box 4, and</t>
  </si>
  <si>
    <t>spouse's amounts</t>
  </si>
  <si>
    <t>Medicare taxes from box 6.</t>
  </si>
  <si>
    <t>with yours when</t>
  </si>
  <si>
    <t>Add lines 6 and 7. Enter the total.</t>
  </si>
  <si>
    <t>Page 6</t>
  </si>
  <si>
    <t>Subtract line 9 from line 8. If the result is zero or less, enter -0-.</t>
  </si>
  <si>
    <r>
      <t xml:space="preserve">   Enter the </t>
    </r>
    <r>
      <rPr>
        <b/>
        <sz val="10"/>
        <rFont val="Arial"/>
        <family val="2"/>
      </rPr>
      <t>larger</t>
    </r>
    <r>
      <rPr>
        <sz val="10"/>
        <rFont val="Arial"/>
        <family val="2"/>
      </rPr>
      <t xml:space="preserve"> of line 4 or line 10.</t>
    </r>
  </si>
  <si>
    <t>`</t>
  </si>
  <si>
    <t>from Form 1040, line 53, Form 1040A, line 33, or Form 1040NR, line 48.</t>
  </si>
  <si>
    <t xml:space="preserve">  Enter the total of the amounts from—</t>
  </si>
  <si>
    <t>14</t>
  </si>
  <si>
    <t>15</t>
  </si>
  <si>
    <t>Tax Credit Worksheet</t>
  </si>
  <si>
    <t>Page 7</t>
  </si>
  <si>
    <t>This worksheet will work in place of the simplified worksheets in the 1040 instructions.</t>
  </si>
  <si>
    <t>If you do not have a qualifying child, you cannot claim the child tax credit.</t>
  </si>
  <si>
    <t>Line 50</t>
  </si>
  <si>
    <r>
      <rPr>
        <b/>
        <sz val="10"/>
        <rFont val="Arial"/>
        <family val="2"/>
      </rPr>
      <t>Schedule R</t>
    </r>
    <r>
      <rPr>
        <sz val="10"/>
        <rFont val="Arial"/>
        <family val="2"/>
      </rPr>
      <t>, line 22</t>
    </r>
  </si>
  <si>
    <t>Form 1040  or</t>
  </si>
  <si>
    <t xml:space="preserve"> Form 1040A          or</t>
  </si>
  <si>
    <t>Form 1040A, line 33,</t>
  </si>
  <si>
    <t>48.</t>
  </si>
  <si>
    <t>or Form 1040NR, line</t>
  </si>
  <si>
    <t>Enter the amount from line 8 of the Child Tax Credit Worksheet.</t>
  </si>
  <si>
    <t>Enter your earned income from the Earned Income</t>
  </si>
  <si>
    <t>Worksheet that applies to you.</t>
  </si>
  <si>
    <t>More than zero, leave lines 6 through 9 blank, enter -0- on line 10, and</t>
  </si>
  <si>
    <t>go to line 11.</t>
  </si>
  <si>
    <t>Any taxes that you identified using code</t>
  </si>
  <si>
    <t>“UT” and entered on line 60.</t>
  </si>
  <si>
    <r>
      <rPr>
        <b/>
        <sz val="10"/>
        <rFont val="Arial"/>
        <family val="2"/>
      </rPr>
      <t>Next,</t>
    </r>
    <r>
      <rPr>
        <sz val="10"/>
        <rFont val="Arial"/>
        <family val="2"/>
      </rPr>
      <t xml:space="preserve"> figure the amount of any of the following credits that you are claiming.</t>
    </r>
  </si>
  <si>
    <t>Then, go to line 13.</t>
  </si>
  <si>
    <t>Line 11</t>
  </si>
  <si>
    <r>
      <t xml:space="preserve">Otherwise, see 1040 filers, 1040A </t>
    </r>
    <r>
      <rPr>
        <i/>
        <sz val="10"/>
        <rFont val="Arial"/>
        <family val="2"/>
      </rPr>
      <t>filers</t>
    </r>
    <r>
      <rPr>
        <sz val="10"/>
        <rFont val="Arial"/>
        <family val="2"/>
      </rPr>
      <t xml:space="preserve">, and </t>
    </r>
    <r>
      <rPr>
        <i/>
        <sz val="10"/>
        <rFont val="Arial"/>
        <family val="2"/>
      </rPr>
      <t>1040NR filers</t>
    </r>
    <r>
      <rPr>
        <sz val="10"/>
        <rFont val="Arial"/>
        <family val="2"/>
      </rPr>
      <t xml:space="preserve"> later and then go to line 6.</t>
    </r>
  </si>
  <si>
    <t>Maximum SS Tax Earnings</t>
  </si>
  <si>
    <t xml:space="preserve">SCHEDULE E  </t>
  </si>
  <si>
    <t>Supplemental Income and Loss</t>
  </si>
  <si>
    <t xml:space="preserve"> (Form 1040)</t>
  </si>
  <si>
    <t>Internal Revenue Service      (99)</t>
  </si>
  <si>
    <r>
      <t xml:space="preserve">Sequence No. </t>
    </r>
    <r>
      <rPr>
        <b/>
        <sz val="10"/>
        <rFont val="Arial"/>
        <family val="2"/>
      </rPr>
      <t>13</t>
    </r>
  </si>
  <si>
    <t>Income or Loss From Rental Real Estate and Royalties</t>
  </si>
  <si>
    <r>
      <t>Note.</t>
    </r>
    <r>
      <rPr>
        <sz val="10"/>
        <rFont val="Arial"/>
        <family val="2"/>
      </rPr>
      <t xml:space="preserve">  If you are in the business of renting personal property, use</t>
    </r>
  </si>
  <si>
    <t>Expenses:</t>
  </si>
  <si>
    <t>Advertising</t>
  </si>
  <si>
    <t>Cleaning and maintenance</t>
  </si>
  <si>
    <t>Commissions</t>
  </si>
  <si>
    <t>Insurance</t>
  </si>
  <si>
    <t>Legal and other professional fees</t>
  </si>
  <si>
    <t>Management fees</t>
  </si>
  <si>
    <t>Other interest</t>
  </si>
  <si>
    <t>Repairs</t>
  </si>
  <si>
    <t>Supplies</t>
  </si>
  <si>
    <t>Taxes</t>
  </si>
  <si>
    <t>Utilities</t>
  </si>
  <si>
    <t>Depreciation expense or depletion</t>
  </si>
  <si>
    <t>Line 22</t>
  </si>
  <si>
    <r>
      <t>Total rental real estate and royalty income or (loss).</t>
    </r>
    <r>
      <rPr>
        <sz val="9"/>
        <rFont val="Arial"/>
        <family val="2"/>
      </rPr>
      <t xml:space="preserve">   Combine lines 24 and 25.   Enter the result here.</t>
    </r>
  </si>
  <si>
    <t>If Parts II, III, IV, and line 40 on page 2 do not apply to you, also enter this amount on Form 1040,</t>
  </si>
  <si>
    <t>Cat. No. 11344L</t>
  </si>
  <si>
    <t>Download Form 1040 Schedule E</t>
  </si>
  <si>
    <t>Download Form 1040 Schedule E Instructions</t>
  </si>
  <si>
    <r>
      <t xml:space="preserve">Attachment Sequence No. </t>
    </r>
    <r>
      <rPr>
        <b/>
        <sz val="9"/>
        <rFont val="Arial"/>
        <family val="2"/>
      </rPr>
      <t>13</t>
    </r>
  </si>
  <si>
    <r>
      <t xml:space="preserve">Page </t>
    </r>
    <r>
      <rPr>
        <b/>
        <sz val="9"/>
        <rFont val="Arial"/>
        <family val="2"/>
      </rPr>
      <t>2</t>
    </r>
  </si>
  <si>
    <t>Name(s) shown on return.  Do not enter name and social security number if shown on other side.</t>
  </si>
  <si>
    <r>
      <t>Caution.</t>
    </r>
    <r>
      <rPr>
        <sz val="10"/>
        <rFont val="Arial"/>
        <family val="2"/>
      </rPr>
      <t xml:space="preserve">  The IRS compares amounts reported on your tax return with amounts shown on Schedule(s) K-1.</t>
    </r>
  </si>
  <si>
    <t xml:space="preserve">   Part II</t>
  </si>
  <si>
    <r>
      <t>(b)</t>
    </r>
    <r>
      <rPr>
        <sz val="8"/>
        <rFont val="Arial"/>
        <family val="2"/>
      </rPr>
      <t xml:space="preserve"> Enter </t>
    </r>
    <r>
      <rPr>
        <b/>
        <sz val="8"/>
        <rFont val="Arial"/>
        <family val="2"/>
      </rPr>
      <t>P</t>
    </r>
    <r>
      <rPr>
        <sz val="8"/>
        <rFont val="Arial"/>
        <family val="2"/>
      </rPr>
      <t xml:space="preserve"> for</t>
    </r>
  </si>
  <si>
    <r>
      <t xml:space="preserve">    (d)</t>
    </r>
    <r>
      <rPr>
        <sz val="8"/>
        <rFont val="Arial"/>
        <family val="2"/>
      </rPr>
      <t xml:space="preserve"> Employer</t>
    </r>
  </si>
  <si>
    <r>
      <t>(e)</t>
    </r>
    <r>
      <rPr>
        <sz val="8"/>
        <rFont val="Arial"/>
        <family val="2"/>
      </rPr>
      <t xml:space="preserve"> Check if</t>
    </r>
  </si>
  <si>
    <r>
      <t>(a)</t>
    </r>
    <r>
      <rPr>
        <sz val="8"/>
        <rFont val="Arial"/>
        <family val="2"/>
      </rPr>
      <t xml:space="preserve"> Name</t>
    </r>
  </si>
  <si>
    <r>
      <t xml:space="preserve">partnership; </t>
    </r>
    <r>
      <rPr>
        <b/>
        <sz val="8"/>
        <rFont val="Arial"/>
        <family val="2"/>
      </rPr>
      <t>S</t>
    </r>
  </si>
  <si>
    <t xml:space="preserve">       identification</t>
  </si>
  <si>
    <t>any amount is</t>
  </si>
  <si>
    <t>for S corporation</t>
  </si>
  <si>
    <t xml:space="preserve">          number</t>
  </si>
  <si>
    <t>not at risk</t>
  </si>
  <si>
    <t>Passive Income and Loss</t>
  </si>
  <si>
    <t>Nonpassive Income and Loss</t>
  </si>
  <si>
    <r>
      <t xml:space="preserve">from </t>
    </r>
    <r>
      <rPr>
        <b/>
        <sz val="8"/>
        <rFont val="Arial"/>
        <family val="2"/>
      </rPr>
      <t>Schedule K-1</t>
    </r>
  </si>
  <si>
    <r>
      <t>a</t>
    </r>
    <r>
      <rPr>
        <sz val="10"/>
        <rFont val="Arial"/>
        <family val="2"/>
      </rPr>
      <t xml:space="preserve"> Totals</t>
    </r>
  </si>
  <si>
    <r>
      <t>b</t>
    </r>
    <r>
      <rPr>
        <sz val="10"/>
        <rFont val="Arial"/>
        <family val="2"/>
      </rPr>
      <t xml:space="preserve"> Totals</t>
    </r>
  </si>
  <si>
    <r>
      <t xml:space="preserve">   Add columns (g) and (j) of line 29a </t>
    </r>
    <r>
      <rPr>
        <b/>
        <sz val="10"/>
        <rFont val="Arial"/>
        <family val="2"/>
      </rPr>
      <t xml:space="preserve">  .   .   .   .   .   .   .   .   .   .   .   .   .   .   .   .   .   .   .   .   .   .   .   .   .   .   .   .   .</t>
    </r>
  </si>
  <si>
    <r>
      <t xml:space="preserve">   Add columns (f), (h),  and (i) of line 29b</t>
    </r>
    <r>
      <rPr>
        <b/>
        <sz val="10"/>
        <rFont val="Arial"/>
        <family val="2"/>
      </rPr>
      <t xml:space="preserve"> .   .   .   .   .   .   .   .   .   .   .   .   .   .   .   .   .   .   .   .   .   .   .   .   .   .   .   .</t>
    </r>
  </si>
  <si>
    <r>
      <t xml:space="preserve">   </t>
    </r>
    <r>
      <rPr>
        <b/>
        <sz val="10"/>
        <rFont val="Arial"/>
        <family val="2"/>
      </rPr>
      <t>Total partnership and S corporation income or (loss).</t>
    </r>
    <r>
      <rPr>
        <sz val="10"/>
        <rFont val="Arial"/>
        <family val="2"/>
      </rPr>
      <t xml:space="preserve">  Combine lines 30 and 31.  Enter the</t>
    </r>
  </si>
  <si>
    <r>
      <t xml:space="preserve">  result here and include in the total on line 41 below</t>
    </r>
    <r>
      <rPr>
        <b/>
        <sz val="10"/>
        <rFont val="Arial"/>
        <family val="2"/>
      </rPr>
      <t xml:space="preserve"> .   .   .   .   .   .   .   .   .   .   .   .   .   .   .   .   .   .   .   .   .   .   .   .   .   .   .</t>
    </r>
  </si>
  <si>
    <t xml:space="preserve">   Part III</t>
  </si>
  <si>
    <t xml:space="preserve">    Income or Loss From Estates and Trusts</t>
  </si>
  <si>
    <r>
      <t xml:space="preserve">   (e)</t>
    </r>
    <r>
      <rPr>
        <sz val="8"/>
        <rFont val="Arial"/>
        <family val="2"/>
      </rPr>
      <t xml:space="preserve"> Deductions or loss</t>
    </r>
  </si>
  <si>
    <r>
      <t xml:space="preserve">   Add columns (d) and (f) of line 34a </t>
    </r>
    <r>
      <rPr>
        <b/>
        <sz val="10"/>
        <rFont val="Arial"/>
        <family val="2"/>
      </rPr>
      <t xml:space="preserve">  .   .   .   .   .   .   .   .   .   .   .   .   .   .   .   .   .   .   .   .   .   .   .   .   .   .   .   .   .</t>
    </r>
  </si>
  <si>
    <r>
      <t xml:space="preserve">   Add columns (c) and (e) of line 34b</t>
    </r>
    <r>
      <rPr>
        <b/>
        <sz val="10"/>
        <rFont val="Arial"/>
        <family val="2"/>
      </rPr>
      <t xml:space="preserve"> .   .   .   .   .   .   .   .   .   .   .   .   .   .   .   .   .   .   .   .   .   .   .   .   .   .   .   .   .</t>
    </r>
  </si>
  <si>
    <r>
      <t xml:space="preserve">   Total estate and trust income or (loss).</t>
    </r>
    <r>
      <rPr>
        <sz val="10"/>
        <rFont val="Arial"/>
        <family val="2"/>
      </rPr>
      <t xml:space="preserve"> Combine lines 35 and 36. Enter the result here and</t>
    </r>
  </si>
  <si>
    <r>
      <t xml:space="preserve">    include in the total on line 41 below</t>
    </r>
    <r>
      <rPr>
        <b/>
        <sz val="10"/>
        <rFont val="Arial"/>
        <family val="2"/>
      </rPr>
      <t xml:space="preserve"> .   .   .   .   .   .   .   .   .   .   .   .   .   .   .   .   .   .   .   .   .   .   .   .   .   .   .   .   .   .   .   .</t>
    </r>
  </si>
  <si>
    <t xml:space="preserve">   Part IV</t>
  </si>
  <si>
    <t xml:space="preserve">    Income or Loss From Real Estate Mortgage Investment Conduits (REMICs) -- Residual Holder</t>
  </si>
  <si>
    <r>
      <t xml:space="preserve">(b) </t>
    </r>
    <r>
      <rPr>
        <sz val="8"/>
        <rFont val="Arial"/>
        <family val="2"/>
      </rPr>
      <t>Employer                       identification number</t>
    </r>
  </si>
  <si>
    <r>
      <t>(d)</t>
    </r>
    <r>
      <rPr>
        <sz val="7"/>
        <rFont val="Arial"/>
        <family val="2"/>
      </rPr>
      <t xml:space="preserve"> Taxable income (net loss) from </t>
    </r>
    <r>
      <rPr>
        <b/>
        <sz val="7"/>
        <rFont val="Arial"/>
        <family val="2"/>
      </rPr>
      <t>Schedules Q</t>
    </r>
    <r>
      <rPr>
        <sz val="7"/>
        <rFont val="Arial"/>
        <family val="2"/>
      </rPr>
      <t>, line 1b</t>
    </r>
  </si>
  <si>
    <r>
      <t xml:space="preserve">                (a)</t>
    </r>
    <r>
      <rPr>
        <sz val="8"/>
        <rFont val="Arial"/>
        <family val="2"/>
      </rPr>
      <t xml:space="preserve"> Name</t>
    </r>
  </si>
  <si>
    <t xml:space="preserve">   Combine columns (d) and (e) only.  Enter the result here and include in the total on line 41 below</t>
  </si>
  <si>
    <t xml:space="preserve">   Part V</t>
  </si>
  <si>
    <t xml:space="preserve">     Summary</t>
  </si>
  <si>
    <r>
      <t xml:space="preserve">   Net farm rental income or (loss) from </t>
    </r>
    <r>
      <rPr>
        <b/>
        <sz val="10"/>
        <rFont val="Arial"/>
        <family val="2"/>
      </rPr>
      <t>Form 4835.</t>
    </r>
    <r>
      <rPr>
        <sz val="10"/>
        <rFont val="Arial"/>
        <family val="2"/>
      </rPr>
      <t xml:space="preserve">  Also, complete line 42 below</t>
    </r>
    <r>
      <rPr>
        <b/>
        <sz val="10"/>
        <rFont val="Arial"/>
        <family val="2"/>
      </rPr>
      <t xml:space="preserve"> .   .   .   .   .   .   .   .   .   .   .   .   .   .   .   .   .   .   .   .   .   .   . </t>
    </r>
  </si>
  <si>
    <t xml:space="preserve">   anywhere on Form 1040 or 1040NR from all rental real estate activities</t>
  </si>
  <si>
    <r>
      <t xml:space="preserve">   in which you materially participated under the passive activity loss rules</t>
    </r>
    <r>
      <rPr>
        <b/>
        <sz val="10"/>
        <rFont val="Arial"/>
        <family val="2"/>
      </rPr>
      <t xml:space="preserve">  .   .   .   .   .   .   .   .   .   .   .</t>
    </r>
  </si>
  <si>
    <r>
      <t>4</t>
    </r>
    <r>
      <rPr>
        <b/>
        <sz val="8"/>
        <rFont val="Arial"/>
        <family val="2"/>
      </rPr>
      <t>Attach to Form 1040, 1040NR, or Form 1041.</t>
    </r>
  </si>
  <si>
    <t>If “Yes,” did you or will you file all required Forms 1099?</t>
  </si>
  <si>
    <t>QJV</t>
  </si>
  <si>
    <t>Personal Use Days</t>
  </si>
  <si>
    <t>Type of Property:</t>
  </si>
  <si>
    <t>1 Single Family Residence</t>
  </si>
  <si>
    <t>3 Vacation/Short-Term Rental</t>
  </si>
  <si>
    <t>5 Land</t>
  </si>
  <si>
    <t>7 Self-Rental</t>
  </si>
  <si>
    <t>2 Multi-Family Residence</t>
  </si>
  <si>
    <t>4 Commercial</t>
  </si>
  <si>
    <t>6 Royalties</t>
  </si>
  <si>
    <t>8 Other (describe)</t>
  </si>
  <si>
    <r>
      <t>Other (list)</t>
    </r>
    <r>
      <rPr>
        <sz val="9"/>
        <rFont val="Marlett"/>
        <charset val="2"/>
      </rPr>
      <t>4</t>
    </r>
  </si>
  <si>
    <t>Auto and travel (see instructions)</t>
  </si>
  <si>
    <t>Mortgage interest paid to banks, etc. (see instructions)</t>
  </si>
  <si>
    <t>Total expenses. Add lines 5 through 19</t>
  </si>
  <si>
    <t>23a</t>
  </si>
  <si>
    <t>23b</t>
  </si>
  <si>
    <t xml:space="preserve">    b</t>
  </si>
  <si>
    <t xml:space="preserve">    c</t>
  </si>
  <si>
    <t xml:space="preserve">    d</t>
  </si>
  <si>
    <t xml:space="preserve">    e</t>
  </si>
  <si>
    <t>Total of all amounts reported on line 4 for all royalty properties</t>
  </si>
  <si>
    <t>Total of all amounts reported on line 12 for all properties</t>
  </si>
  <si>
    <t>Total of all amounts reported on line 18 for all properties</t>
  </si>
  <si>
    <t>Total of all amounts reported on line 20 for all properties</t>
  </si>
  <si>
    <r>
      <rPr>
        <b/>
        <sz val="9"/>
        <rFont val="Arial"/>
        <family val="2"/>
      </rPr>
      <t>Losses.</t>
    </r>
    <r>
      <rPr>
        <sz val="9"/>
        <rFont val="Arial"/>
        <family val="2"/>
      </rPr>
      <t xml:space="preserve"> Add royalty losses from line 21 and rental real estate losses from line 22. Enter total losses here</t>
    </r>
  </si>
  <si>
    <r>
      <rPr>
        <b/>
        <sz val="9"/>
        <rFont val="Arial"/>
        <family val="2"/>
      </rPr>
      <t>Income.</t>
    </r>
    <r>
      <rPr>
        <sz val="9"/>
        <rFont val="Arial"/>
        <family val="2"/>
      </rPr>
      <t xml:space="preserve"> Add positive amounts shown on line 21. </t>
    </r>
    <r>
      <rPr>
        <b/>
        <sz val="9"/>
        <rFont val="Arial"/>
        <family val="2"/>
      </rPr>
      <t>Do not</t>
    </r>
    <r>
      <rPr>
        <sz val="9"/>
        <rFont val="Arial"/>
        <family val="2"/>
      </rPr>
      <t xml:space="preserve"> include any losses</t>
    </r>
  </si>
  <si>
    <t>23c</t>
  </si>
  <si>
    <t>23d</t>
  </si>
  <si>
    <t>23e</t>
  </si>
  <si>
    <r>
      <t xml:space="preserve">line 17, or Form 1040NR, line 18. Otherwise, include this amount in the total on line 41 on page 2  </t>
    </r>
    <r>
      <rPr>
        <b/>
        <sz val="9"/>
        <rFont val="Arial"/>
        <family val="2"/>
      </rPr>
      <t>.   .   .   .   .   .   .   .   .   .   .   .   .   .   .</t>
    </r>
  </si>
  <si>
    <t xml:space="preserve">.   .   .   . </t>
  </si>
  <si>
    <t xml:space="preserve">.   .   .   .   .   .   .   .   .   .   . </t>
  </si>
  <si>
    <t xml:space="preserve"> .   .   .   . </t>
  </si>
  <si>
    <t>Gains</t>
  </si>
  <si>
    <t>Losses</t>
  </si>
  <si>
    <t>Royalty losses</t>
  </si>
  <si>
    <t>Line 21</t>
  </si>
  <si>
    <t>Rental Real Estate Losses</t>
  </si>
  <si>
    <r>
      <t xml:space="preserve">Overrides </t>
    </r>
    <r>
      <rPr>
        <b/>
        <sz val="10"/>
        <rFont val="Wingdings"/>
        <charset val="2"/>
      </rPr>
      <t>ê</t>
    </r>
  </si>
  <si>
    <r>
      <t xml:space="preserve">   Reconciliation for real estate professionals.</t>
    </r>
    <r>
      <rPr>
        <sz val="10"/>
        <rFont val="Arial"/>
        <family val="2"/>
      </rPr>
      <t xml:space="preserve">  If you were a real estate</t>
    </r>
  </si>
  <si>
    <t xml:space="preserve">   professional (see instructions), enter the net income or (loss) you reported</t>
  </si>
  <si>
    <t>Capital gain (not included in box 2a)</t>
  </si>
  <si>
    <t>Employee contributions / Insurance premiums / 
Designated Roth IRA contributions</t>
  </si>
  <si>
    <t>Distribution code(s)</t>
  </si>
  <si>
    <t>Amount allocable to IRR within 5 years</t>
  </si>
  <si>
    <t>1st year of desig. Roth contrib.</t>
  </si>
  <si>
    <r>
      <t xml:space="preserve">  Only </t>
    </r>
    <r>
      <rPr>
        <b/>
        <sz val="10"/>
        <color indexed="10"/>
        <rFont val="Arial"/>
        <family val="2"/>
      </rPr>
      <t>bolded</t>
    </r>
    <r>
      <rPr>
        <sz val="10"/>
        <color indexed="10"/>
        <rFont val="Arial"/>
        <family val="2"/>
      </rPr>
      <t xml:space="preserve"> amounts are used in this spreadsheet.</t>
    </r>
  </si>
  <si>
    <t>---</t>
  </si>
  <si>
    <t>Check here to hide red formatting.   &gt;</t>
  </si>
  <si>
    <r>
      <t>Exception:   Do not</t>
    </r>
    <r>
      <rPr>
        <sz val="9"/>
        <rFont val="Arial"/>
        <family val="2"/>
      </rPr>
      <t xml:space="preserve"> use the Qualified Dividends and Capital Gain Tax Worksheet </t>
    </r>
    <r>
      <rPr>
        <b/>
        <u/>
        <sz val="9"/>
        <rFont val="Arial"/>
        <family val="2"/>
      </rPr>
      <t>or</t>
    </r>
    <r>
      <rPr>
        <sz val="9"/>
        <rFont val="Arial"/>
        <family val="2"/>
      </rPr>
      <t xml:space="preserve"> this worksheet to figure your tax if:</t>
    </r>
  </si>
  <si>
    <t xml:space="preserve">Complete this worksheet only if line 18 or line 19 of Schedule D is more than zero. </t>
  </si>
  <si>
    <r>
      <t xml:space="preserve">Deductible part of self-employment tax. Attach Schedule SE </t>
    </r>
    <r>
      <rPr>
        <b/>
        <sz val="9"/>
        <rFont val="Arial"/>
        <family val="2"/>
      </rPr>
      <t xml:space="preserve"> .   .   .   .   .   .   .   .   .   .   .   .   .   .   .   .   .   .   .   .   .   .   .   .   .   .   .   .   .   .   .   .   .   .   .   .   .   .   .   .   .</t>
    </r>
  </si>
  <si>
    <t>(a)
Description of property
(Example: 100 sh. XYZ Co.)</t>
  </si>
  <si>
    <t>Paste data from other spreadsheets, reports, etc. here.</t>
  </si>
  <si>
    <t>Personal Identification no.(PIN)</t>
  </si>
  <si>
    <t>Foreign province/state/county</t>
  </si>
  <si>
    <r>
      <rPr>
        <sz val="6"/>
        <rFont val="Arial"/>
        <family val="2"/>
      </rPr>
      <t>Resvd</t>
    </r>
    <r>
      <rPr>
        <sz val="8"/>
        <rFont val="Arial"/>
        <family val="2"/>
      </rPr>
      <t xml:space="preserve"> </t>
    </r>
    <r>
      <rPr>
        <b/>
        <sz val="8"/>
        <rFont val="Arial"/>
        <family val="2"/>
      </rPr>
      <t>c</t>
    </r>
  </si>
  <si>
    <r>
      <t xml:space="preserve">   </t>
    </r>
    <r>
      <rPr>
        <b/>
        <sz val="9"/>
        <rFont val="Marlett"/>
        <charset val="2"/>
      </rPr>
      <t>4</t>
    </r>
    <r>
      <rPr>
        <b/>
        <sz val="9"/>
        <rFont val="Arial"/>
        <family val="2"/>
      </rPr>
      <t xml:space="preserve"> Attach to Form 1040.</t>
    </r>
  </si>
  <si>
    <t>Check here to remove blue &amp; green colors.</t>
  </si>
  <si>
    <t>from all sheets.</t>
  </si>
  <si>
    <r>
      <t xml:space="preserve">      </t>
    </r>
    <r>
      <rPr>
        <b/>
        <sz val="8"/>
        <rFont val="Marlett"/>
        <charset val="2"/>
      </rPr>
      <t>4</t>
    </r>
    <r>
      <rPr>
        <b/>
        <sz val="8"/>
        <rFont val="Arial"/>
        <family val="2"/>
      </rPr>
      <t xml:space="preserve"> Attach to Form 1040A or 1040.</t>
    </r>
  </si>
  <si>
    <t>received a Form 1099-INT, Form 1099-OID, or substitute
statement from a brokerage firm, 
list the firm’s 
name as the 
payer and enter 
the total interest shown on that 
form.</t>
  </si>
  <si>
    <t>Gross receipts or sales. See instructions for line 1 and check the box if this income was reported to you on</t>
  </si>
  <si>
    <t>Form W-2 and the “Statutory employee” box on that form was checked</t>
  </si>
  <si>
    <t>Subtract line 2 from line 1</t>
  </si>
  <si>
    <r>
      <t xml:space="preserve">   </t>
    </r>
    <r>
      <rPr>
        <b/>
        <sz val="11"/>
        <rFont val="Arial"/>
        <family val="2"/>
      </rPr>
      <t>Expenses</t>
    </r>
  </si>
  <si>
    <r>
      <t>(see instructions)</t>
    </r>
    <r>
      <rPr>
        <b/>
        <sz val="10"/>
        <rFont val="Arial"/>
        <family val="2"/>
      </rPr>
      <t xml:space="preserve">  .   .   .   .   .   .   .   .   .   .   .   .</t>
    </r>
  </si>
  <si>
    <t xml:space="preserve">.   .   .   .   . </t>
  </si>
  <si>
    <t xml:space="preserve"> .   .   .   .   .   .   .   .   . </t>
  </si>
  <si>
    <t>Travel</t>
  </si>
  <si>
    <r>
      <t>Cost of goods sold.</t>
    </r>
    <r>
      <rPr>
        <sz val="9"/>
        <rFont val="Arial"/>
        <family val="2"/>
      </rPr>
      <t xml:space="preserve">   Subtract line 41 from line 40.  Enter the result here and on line 4  .   .   .   .   .   .   .   .   .   .   .   .   .   .   .   .   .   .   </t>
    </r>
  </si>
  <si>
    <r>
      <t xml:space="preserve">Enter the </t>
    </r>
    <r>
      <rPr>
        <b/>
        <sz val="10"/>
        <rFont val="Arial"/>
        <family val="2"/>
      </rPr>
      <t>smaller</t>
    </r>
    <r>
      <rPr>
        <sz val="10"/>
        <rFont val="Arial"/>
        <family val="2"/>
      </rPr>
      <t xml:space="preserve"> of: two-thirds(2 ⁄3) of gross farm income</t>
    </r>
    <r>
      <rPr>
        <vertAlign val="superscript"/>
        <sz val="10"/>
        <rFont val="Arial"/>
        <family val="2"/>
      </rPr>
      <t>1</t>
    </r>
    <r>
      <rPr>
        <sz val="10"/>
        <rFont val="Arial"/>
        <family val="2"/>
      </rPr>
      <t xml:space="preserve">(not less than zero) </t>
    </r>
    <r>
      <rPr>
        <b/>
        <sz val="10"/>
        <rFont val="Arial"/>
        <family val="2"/>
      </rPr>
      <t>or</t>
    </r>
  </si>
  <si>
    <t>From Sch. C, line 31; Sch. C-EZ, line 3; Sch. K-1 (Form 1065), box 14, code A; and    
Sch. K-1 (Form 1065-B), box 9, code J1.</t>
  </si>
  <si>
    <t>From Sch. C, line 7; Sch. C-EZ, line 1; Sch. K-1 (Form 1065), box 14, code C; and 
Sch. K-1 (Form 1065-B), box 9, code J2.</t>
  </si>
  <si>
    <r>
      <t xml:space="preserve">    Attachment
    Sequence No. </t>
    </r>
    <r>
      <rPr>
        <b/>
        <sz val="8"/>
        <rFont val="Arial"/>
        <family val="2"/>
      </rPr>
      <t>12</t>
    </r>
  </si>
  <si>
    <r>
      <rPr>
        <b/>
        <sz val="7"/>
        <rFont val="Arial"/>
        <family val="2"/>
      </rPr>
      <t>(g)</t>
    </r>
    <r>
      <rPr>
        <sz val="7"/>
        <rFont val="Arial"/>
        <family val="2"/>
      </rPr>
      <t xml:space="preserve"> Adjustments to
gain or loss from
Form(s) 8949, Part I,
line 2, column (g)</t>
    </r>
  </si>
  <si>
    <r>
      <rPr>
        <b/>
        <sz val="7"/>
        <rFont val="Arial"/>
        <family val="2"/>
      </rPr>
      <t>(d)</t>
    </r>
    <r>
      <rPr>
        <sz val="7"/>
        <rFont val="Arial"/>
        <family val="2"/>
      </rPr>
      <t xml:space="preserve"> Proceeds (sales
price) from Form(s)
8949, Part I, line 2,
column (d)</t>
    </r>
  </si>
  <si>
    <r>
      <rPr>
        <b/>
        <sz val="7"/>
        <rFont val="Arial"/>
        <family val="2"/>
      </rPr>
      <t>(e)</t>
    </r>
    <r>
      <rPr>
        <sz val="7"/>
        <rFont val="Arial"/>
        <family val="2"/>
      </rPr>
      <t xml:space="preserve"> Cost or other basis
from Form(s) 8949, Part
I, line 2, column (e)</t>
    </r>
  </si>
  <si>
    <r>
      <rPr>
        <b/>
        <sz val="7"/>
        <rFont val="Arial"/>
        <family val="2"/>
      </rPr>
      <t xml:space="preserve">(h) Gain or (loss) </t>
    </r>
    <r>
      <rPr>
        <sz val="7"/>
        <rFont val="Arial"/>
        <family val="2"/>
      </rPr>
      <t xml:space="preserve">
Subtract column (e) from
column (d) and combine
the result with column (g)</t>
    </r>
  </si>
  <si>
    <t>Short-term gain from Form 6252, and short-term gain or (loss) from Forms 4684, 6781, and 8824</t>
  </si>
  <si>
    <r>
      <rPr>
        <b/>
        <sz val="7"/>
        <rFont val="Arial"/>
        <family val="2"/>
      </rPr>
      <t>(d)</t>
    </r>
    <r>
      <rPr>
        <sz val="7"/>
        <rFont val="Arial"/>
        <family val="2"/>
      </rPr>
      <t xml:space="preserve"> Proceeds (sales
price) from Form(s)
8949, Part II, line 4,
column (d)</t>
    </r>
  </si>
  <si>
    <r>
      <rPr>
        <b/>
        <sz val="7"/>
        <rFont val="Arial"/>
        <family val="2"/>
      </rPr>
      <t>(e)</t>
    </r>
    <r>
      <rPr>
        <sz val="7"/>
        <rFont val="Arial"/>
        <family val="2"/>
      </rPr>
      <t xml:space="preserve"> Cost or other basis
from Form(s) 8949, Part
II, line 4, column (e)</t>
    </r>
  </si>
  <si>
    <r>
      <rPr>
        <b/>
        <sz val="7"/>
        <rFont val="Arial"/>
        <family val="2"/>
      </rPr>
      <t>(g)</t>
    </r>
    <r>
      <rPr>
        <sz val="7"/>
        <rFont val="Arial"/>
        <family val="2"/>
      </rPr>
      <t xml:space="preserve"> Adjustments to
gain or loss from
Form(s) 8949, Part II,
line 4, column (g)</t>
    </r>
  </si>
  <si>
    <t>Net long-term gain or (loss) from partnerships, S corporations, estates, and trusts from Schedules(s) K-1</t>
  </si>
  <si>
    <r>
      <t>Yes.</t>
    </r>
    <r>
      <rPr>
        <sz val="10"/>
        <rFont val="Arial"/>
        <family val="2"/>
      </rPr>
      <t xml:space="preserve">Complete the </t>
    </r>
    <r>
      <rPr>
        <b/>
        <sz val="10"/>
        <rFont val="Arial"/>
        <family val="2"/>
      </rPr>
      <t>Qualified Dividends and Capital Gain Tax Worksheet</t>
    </r>
    <r>
      <rPr>
        <sz val="10"/>
        <rFont val="Arial"/>
        <family val="2"/>
      </rPr>
      <t xml:space="preserve"> in the instructions</t>
    </r>
  </si>
  <si>
    <r>
      <t xml:space="preserve">for Form 1040, line 44 (or in the instructions for Form 1040NR, line 42). </t>
    </r>
    <r>
      <rPr>
        <b/>
        <sz val="10"/>
        <rFont val="Arial"/>
        <family val="2"/>
      </rPr>
      <t>Do not</t>
    </r>
    <r>
      <rPr>
        <sz val="10"/>
        <rFont val="Arial"/>
        <family val="2"/>
      </rPr>
      <t xml:space="preserve"> complete lines</t>
    </r>
  </si>
  <si>
    <t>21 and 22 below.</t>
  </si>
  <si>
    <r>
      <t xml:space="preserve">No. </t>
    </r>
    <r>
      <rPr>
        <sz val="10"/>
        <rFont val="Arial"/>
        <family val="2"/>
      </rPr>
      <t xml:space="preserve">Complete the </t>
    </r>
    <r>
      <rPr>
        <b/>
        <sz val="10"/>
        <rFont val="Arial"/>
        <family val="2"/>
      </rPr>
      <t>Schedule D Tax Worksheet</t>
    </r>
    <r>
      <rPr>
        <sz val="10"/>
        <rFont val="Arial"/>
        <family val="2"/>
      </rPr>
      <t xml:space="preserve"> in the instructions. </t>
    </r>
    <r>
      <rPr>
        <b/>
        <sz val="10"/>
        <rFont val="Arial"/>
        <family val="2"/>
      </rPr>
      <t>Do not</t>
    </r>
    <r>
      <rPr>
        <sz val="10"/>
        <rFont val="Arial"/>
        <family val="2"/>
      </rPr>
      <t xml:space="preserve"> complete lines 21</t>
    </r>
  </si>
  <si>
    <t>and 22 below.</t>
  </si>
  <si>
    <r>
      <t>Gain from Form 4797, Part I; long-term gain from Forms 2439 and 6252; and long-term gain or (loss)
from Forms 4684, 6781, and 8824</t>
    </r>
    <r>
      <rPr>
        <b/>
        <sz val="9"/>
        <rFont val="Arial"/>
        <family val="2"/>
      </rPr>
      <t xml:space="preserve">.   .   .   .   .   .   .   .   .   .   .   .   .   .   .   .   .   .   .   .   .   .   .   .   .   .   .   .   .   .   .  </t>
    </r>
  </si>
  <si>
    <r>
      <rPr>
        <sz val="8"/>
        <rFont val="Arial"/>
        <family val="2"/>
      </rPr>
      <t>Attachment
Sequence No.</t>
    </r>
    <r>
      <rPr>
        <sz val="9"/>
        <rFont val="Arial"/>
        <family val="2"/>
      </rPr>
      <t xml:space="preserve"> </t>
    </r>
    <r>
      <rPr>
        <b/>
        <sz val="9"/>
        <rFont val="Arial"/>
        <family val="2"/>
      </rPr>
      <t>12A</t>
    </r>
  </si>
  <si>
    <t>transactions, see page 2.</t>
  </si>
  <si>
    <r>
      <t xml:space="preserve">Short-Term. </t>
    </r>
    <r>
      <rPr>
        <sz val="11"/>
        <rFont val="Arial"/>
        <family val="2"/>
      </rPr>
      <t xml:space="preserve">Transactions involving capital assets you held </t>
    </r>
  </si>
  <si>
    <t>are short term. For long-term</t>
  </si>
  <si>
    <t>transactions, see page 1.</t>
  </si>
  <si>
    <r>
      <t>Long-Term.</t>
    </r>
    <r>
      <rPr>
        <sz val="11"/>
        <rFont val="Arial"/>
        <family val="2"/>
      </rPr>
      <t xml:space="preserve"> Transactions involving capital assets you held </t>
    </r>
  </si>
  <si>
    <t xml:space="preserve"> are long term. For short-term</t>
  </si>
  <si>
    <t>complete a separate Form 8949, page 1, for each applicable box. If you have more short-term transactions than will fit on this page</t>
  </si>
  <si>
    <t>for one or more of the boxes, complete as many forms with the same box checked as you need.</t>
  </si>
  <si>
    <t>If more than one box applies for your short-term transactions,</t>
  </si>
  <si>
    <t xml:space="preserve"> Check only one box. </t>
  </si>
  <si>
    <r>
      <t xml:space="preserve">You </t>
    </r>
    <r>
      <rPr>
        <b/>
        <i/>
        <sz val="9"/>
        <rFont val="Arial"/>
        <family val="2"/>
      </rPr>
      <t>must</t>
    </r>
    <r>
      <rPr>
        <b/>
        <sz val="9"/>
        <rFont val="Arial"/>
        <family val="2"/>
      </rPr>
      <t xml:space="preserve"> check </t>
    </r>
    <r>
      <rPr>
        <b/>
        <sz val="10"/>
        <rFont val="Arial"/>
        <family val="2"/>
      </rPr>
      <t xml:space="preserve">Box A, B, </t>
    </r>
    <r>
      <rPr>
        <b/>
        <i/>
        <sz val="10"/>
        <rFont val="Arial"/>
        <family val="2"/>
      </rPr>
      <t>or</t>
    </r>
    <r>
      <rPr>
        <b/>
        <sz val="10"/>
        <rFont val="Arial"/>
        <family val="2"/>
      </rPr>
      <t xml:space="preserve"> C</t>
    </r>
    <r>
      <rPr>
        <b/>
        <sz val="9"/>
        <rFont val="Arial"/>
        <family val="2"/>
      </rPr>
      <t xml:space="preserve"> below. </t>
    </r>
  </si>
  <si>
    <r>
      <t xml:space="preserve"> </t>
    </r>
    <r>
      <rPr>
        <b/>
        <sz val="9"/>
        <rFont val="Arial"/>
        <family val="2"/>
      </rPr>
      <t>(B)</t>
    </r>
    <r>
      <rPr>
        <sz val="9"/>
        <rFont val="Arial"/>
        <family val="2"/>
      </rPr>
      <t xml:space="preserve"> Short-term transactions reported on Form(s) 1099-B showing basis was </t>
    </r>
    <r>
      <rPr>
        <b/>
        <sz val="9"/>
        <rFont val="Arial"/>
        <family val="2"/>
      </rPr>
      <t>not</t>
    </r>
    <r>
      <rPr>
        <sz val="9"/>
        <rFont val="Arial"/>
        <family val="2"/>
      </rPr>
      <t xml:space="preserve"> reported to the IRS</t>
    </r>
  </si>
  <si>
    <r>
      <t xml:space="preserve"> </t>
    </r>
    <r>
      <rPr>
        <b/>
        <sz val="9"/>
        <rFont val="Arial"/>
        <family val="2"/>
      </rPr>
      <t xml:space="preserve">(C) </t>
    </r>
    <r>
      <rPr>
        <sz val="9"/>
        <rFont val="Arial"/>
        <family val="2"/>
      </rPr>
      <t>Short-term transactions not reported to you on Form 1099-B</t>
    </r>
  </si>
  <si>
    <t>If more than one box applies for your long-term transactions, complete</t>
  </si>
  <si>
    <t>a separate Form 8949, page 2, for each applicable box. If you have more long-term transactions than will fit on this page for one or</t>
  </si>
  <si>
    <t>more of the boxes, complete as many forms with the same box checked as you need.</t>
  </si>
  <si>
    <r>
      <rPr>
        <b/>
        <sz val="9"/>
        <rFont val="Arial"/>
        <family val="2"/>
      </rPr>
      <t>Totals.</t>
    </r>
    <r>
      <rPr>
        <sz val="9"/>
        <rFont val="Arial"/>
        <family val="2"/>
      </rPr>
      <t xml:space="preserve"> Add the amounts in columns (d),(e),(g), and (h) (subtract 
negative amounts). Enter each total here and include on your 
Schedule D, </t>
    </r>
    <r>
      <rPr>
        <b/>
        <sz val="9"/>
        <rFont val="Arial"/>
        <family val="2"/>
      </rPr>
      <t>line 1</t>
    </r>
    <r>
      <rPr>
        <sz val="9"/>
        <rFont val="Arial"/>
        <family val="2"/>
      </rPr>
      <t xml:space="preserve"> (if </t>
    </r>
    <r>
      <rPr>
        <b/>
        <sz val="9"/>
        <rFont val="Arial"/>
        <family val="2"/>
      </rPr>
      <t>Box A</t>
    </r>
    <r>
      <rPr>
        <sz val="9"/>
        <rFont val="Arial"/>
        <family val="2"/>
      </rPr>
      <t xml:space="preserve"> above is checked), </t>
    </r>
    <r>
      <rPr>
        <b/>
        <sz val="9"/>
        <rFont val="Arial"/>
        <family val="2"/>
      </rPr>
      <t>line 2</t>
    </r>
    <r>
      <rPr>
        <sz val="9"/>
        <rFont val="Arial"/>
        <family val="2"/>
      </rPr>
      <t xml:space="preserve"> (if </t>
    </r>
    <r>
      <rPr>
        <b/>
        <sz val="9"/>
        <rFont val="Arial"/>
        <family val="2"/>
      </rPr>
      <t>Box B</t>
    </r>
    <r>
      <rPr>
        <sz val="9"/>
        <rFont val="Arial"/>
        <family val="2"/>
      </rPr>
      <t xml:space="preserve"> 
above is checked), or </t>
    </r>
    <r>
      <rPr>
        <b/>
        <sz val="9"/>
        <rFont val="Arial"/>
        <family val="2"/>
      </rPr>
      <t>line 3</t>
    </r>
    <r>
      <rPr>
        <sz val="9"/>
        <rFont val="Arial"/>
        <family val="2"/>
      </rPr>
      <t xml:space="preserve"> (if </t>
    </r>
    <r>
      <rPr>
        <b/>
        <sz val="9"/>
        <rFont val="Arial"/>
        <family val="2"/>
      </rPr>
      <t>Box C</t>
    </r>
    <r>
      <rPr>
        <sz val="9"/>
        <rFont val="Arial"/>
        <family val="2"/>
      </rPr>
      <t xml:space="preserve"> above is checked) .</t>
    </r>
  </si>
  <si>
    <t>(b)
Date acquired
(Mo., day, yr.)</t>
  </si>
  <si>
    <r>
      <rPr>
        <b/>
        <sz val="8"/>
        <rFont val="Arial"/>
        <family val="2"/>
      </rPr>
      <t>(c)</t>
    </r>
    <r>
      <rPr>
        <sz val="8"/>
        <rFont val="Arial"/>
        <family val="2"/>
      </rPr>
      <t xml:space="preserve">
Date sold
(Mo., day, yr.)</t>
    </r>
  </si>
  <si>
    <r>
      <rPr>
        <b/>
        <sz val="8"/>
        <rFont val="Arial"/>
        <family val="2"/>
      </rPr>
      <t>(d)</t>
    </r>
    <r>
      <rPr>
        <sz val="8"/>
        <rFont val="Arial"/>
        <family val="2"/>
      </rPr>
      <t xml:space="preserve">
Proceeds 
(sales price) 
(see instructions)</t>
    </r>
  </si>
  <si>
    <r>
      <rPr>
        <b/>
        <sz val="6"/>
        <rFont val="Arial"/>
        <family val="2"/>
      </rPr>
      <t>Adjustment, if any, to gain or loss.</t>
    </r>
    <r>
      <rPr>
        <sz val="6"/>
        <rFont val="Arial"/>
        <family val="2"/>
      </rPr>
      <t xml:space="preserve"> 
If you enter an amount in column (g), 
enter a code in column (f). 
</t>
    </r>
    <r>
      <rPr>
        <b/>
        <sz val="6"/>
        <rFont val="Arial"/>
        <family val="2"/>
      </rPr>
      <t>See the separate instructions.</t>
    </r>
  </si>
  <si>
    <r>
      <rPr>
        <b/>
        <sz val="7"/>
        <rFont val="Arial"/>
        <family val="2"/>
      </rPr>
      <t xml:space="preserve">(f) </t>
    </r>
    <r>
      <rPr>
        <sz val="7"/>
        <rFont val="Arial"/>
        <family val="2"/>
      </rPr>
      <t xml:space="preserve">
Code(s) from 
instructions</t>
    </r>
  </si>
  <si>
    <r>
      <rPr>
        <b/>
        <sz val="8"/>
        <rFont val="Arial"/>
        <family val="2"/>
      </rPr>
      <t xml:space="preserve">(g) </t>
    </r>
    <r>
      <rPr>
        <sz val="8"/>
        <rFont val="Arial"/>
        <family val="2"/>
      </rPr>
      <t xml:space="preserve">
Amount of 
adjustment</t>
    </r>
  </si>
  <si>
    <r>
      <rPr>
        <b/>
        <sz val="7"/>
        <rFont val="Arial"/>
        <family val="2"/>
      </rPr>
      <t xml:space="preserve">(h) </t>
    </r>
    <r>
      <rPr>
        <sz val="7"/>
        <rFont val="Arial"/>
        <family val="2"/>
      </rPr>
      <t xml:space="preserve">
</t>
    </r>
    <r>
      <rPr>
        <b/>
        <sz val="7"/>
        <rFont val="Arial"/>
        <family val="2"/>
      </rPr>
      <t xml:space="preserve">Gain or (loss). </t>
    </r>
    <r>
      <rPr>
        <sz val="7"/>
        <rFont val="Arial"/>
        <family val="2"/>
      </rPr>
      <t xml:space="preserve">
Subtract column (e) 
from column (d) and 
combine the result 
with column (g)</t>
    </r>
  </si>
  <si>
    <r>
      <rPr>
        <b/>
        <sz val="7"/>
        <rFont val="Arial"/>
        <family val="2"/>
      </rPr>
      <t>(e)</t>
    </r>
    <r>
      <rPr>
        <sz val="7"/>
        <rFont val="Arial"/>
        <family val="2"/>
      </rPr>
      <t xml:space="preserve">
Cost or other basis. 
See the </t>
    </r>
    <r>
      <rPr>
        <b/>
        <sz val="7"/>
        <rFont val="Arial"/>
        <family val="2"/>
      </rPr>
      <t>Note</t>
    </r>
    <r>
      <rPr>
        <sz val="7"/>
        <rFont val="Arial"/>
        <family val="2"/>
      </rPr>
      <t xml:space="preserve"> below 
and see </t>
    </r>
    <r>
      <rPr>
        <i/>
        <sz val="7"/>
        <rFont val="Arial"/>
        <family val="2"/>
      </rPr>
      <t xml:space="preserve">Column (e) </t>
    </r>
    <r>
      <rPr>
        <sz val="7"/>
        <rFont val="Arial"/>
        <family val="2"/>
      </rPr>
      <t xml:space="preserve">
in the separate 
instructions</t>
    </r>
  </si>
  <si>
    <r>
      <rPr>
        <b/>
        <sz val="9"/>
        <rFont val="Arial"/>
        <family val="2"/>
      </rPr>
      <t>Note.</t>
    </r>
    <r>
      <rPr>
        <sz val="9"/>
        <rFont val="Arial"/>
        <family val="2"/>
      </rPr>
      <t xml:space="preserve"> If you checked Box A above but the basis reported to the IRS was incorrect, enter in column (e) the basis as reported to the IRS, and enter an 
adjustment in column (g) to correct the basis. See </t>
    </r>
    <r>
      <rPr>
        <i/>
        <sz val="9"/>
        <rFont val="Arial"/>
        <family val="2"/>
      </rPr>
      <t>Column (g)</t>
    </r>
    <r>
      <rPr>
        <sz val="9"/>
        <rFont val="Arial"/>
        <family val="2"/>
      </rPr>
      <t xml:space="preserve"> in the separate instructions for how to figure the amount of the adjustment.</t>
    </r>
  </si>
  <si>
    <t>Social security number or taxpayer identification number</t>
  </si>
  <si>
    <t>(b)
Date acquired 
(Mo., day, yr.)</t>
  </si>
  <si>
    <t>(c)
Date sold or disposed
(Mo., day, yr.)</t>
  </si>
  <si>
    <t>(d)
Proceeds (sales price)
(see instructions)</t>
  </si>
  <si>
    <r>
      <rPr>
        <b/>
        <sz val="7"/>
        <rFont val="Arial"/>
        <family val="2"/>
      </rPr>
      <t>(e)</t>
    </r>
    <r>
      <rPr>
        <sz val="7"/>
        <rFont val="Arial"/>
        <family val="2"/>
      </rPr>
      <t xml:space="preserve">
Cost or other basis.
See the </t>
    </r>
    <r>
      <rPr>
        <b/>
        <sz val="7"/>
        <rFont val="Arial"/>
        <family val="2"/>
      </rPr>
      <t>Note</t>
    </r>
    <r>
      <rPr>
        <sz val="7"/>
        <rFont val="Arial"/>
        <family val="2"/>
      </rPr>
      <t xml:space="preserve"> below 
and see Column (e)
in the separate instructions</t>
    </r>
  </si>
  <si>
    <t>(f) 
Code(s) from 
instructions</t>
  </si>
  <si>
    <r>
      <rPr>
        <b/>
        <sz val="8"/>
        <rFont val="Arial"/>
        <family val="2"/>
      </rPr>
      <t xml:space="preserve">(h) </t>
    </r>
    <r>
      <rPr>
        <sz val="8"/>
        <rFont val="Arial"/>
        <family val="2"/>
      </rPr>
      <t xml:space="preserve">
</t>
    </r>
    <r>
      <rPr>
        <b/>
        <sz val="8"/>
        <rFont val="Arial"/>
        <family val="2"/>
      </rPr>
      <t xml:space="preserve">Gain or (loss). </t>
    </r>
    <r>
      <rPr>
        <sz val="8"/>
        <rFont val="Arial"/>
        <family val="2"/>
      </rPr>
      <t xml:space="preserve">
Subtract column (e) 
from column (d) and 
combine the result 
with column (g)</t>
    </r>
  </si>
  <si>
    <r>
      <t xml:space="preserve">Educator expenses </t>
    </r>
    <r>
      <rPr>
        <b/>
        <sz val="9"/>
        <rFont val="Arial"/>
        <family val="2"/>
      </rPr>
      <t xml:space="preserve"> .   .   .   .   .   .   .   .   .   .   .   .   .   .   .   .   .   .   .   .   .   .   .   .   .   .   .   .   .   .   .   .   .   .   .   .   .   .   .   .   .</t>
    </r>
  </si>
  <si>
    <t>Tuition and fees. Attach Form 8917</t>
  </si>
  <si>
    <t xml:space="preserve">   .   .   .   .   .   .   .   .   .   .   .   .   .   . </t>
  </si>
  <si>
    <r>
      <t>Itemized deductions</t>
    </r>
    <r>
      <rPr>
        <sz val="9"/>
        <rFont val="Arial"/>
        <family val="2"/>
      </rPr>
      <t xml:space="preserve"> (from Schedule A) </t>
    </r>
    <r>
      <rPr>
        <b/>
        <sz val="9"/>
        <rFont val="Arial"/>
        <family val="2"/>
      </rPr>
      <t>or</t>
    </r>
    <r>
      <rPr>
        <sz val="9"/>
        <rFont val="Arial"/>
        <family val="2"/>
      </rPr>
      <t xml:space="preserve"> your </t>
    </r>
    <r>
      <rPr>
        <b/>
        <sz val="9"/>
        <rFont val="Arial"/>
        <family val="2"/>
      </rPr>
      <t>standard deduction</t>
    </r>
    <r>
      <rPr>
        <sz val="9"/>
        <rFont val="Arial"/>
        <family val="2"/>
      </rPr>
      <t xml:space="preserve"> (see left margin)</t>
    </r>
  </si>
  <si>
    <r>
      <t xml:space="preserve">Alternative minimum tax </t>
    </r>
    <r>
      <rPr>
        <sz val="9"/>
        <rFont val="Arial"/>
        <family val="2"/>
      </rPr>
      <t>(see instructions).  Attach Form 6251</t>
    </r>
  </si>
  <si>
    <t>Education credits from Form 8863, line 19</t>
  </si>
  <si>
    <t>Child tax credit. Attach Schedule 8812, if required</t>
  </si>
  <si>
    <t xml:space="preserve">.   .   .   .   .   .   .   .   .   .  </t>
  </si>
  <si>
    <t>American opportunity credit from Form 8863, line 8</t>
  </si>
  <si>
    <t>General sales taxes</t>
  </si>
  <si>
    <t xml:space="preserve">.   .   .   .   .   .   .   .   .   .   .   .   .   </t>
  </si>
  <si>
    <r>
      <t>Mortgage insurance premiums (see instructions)</t>
    </r>
    <r>
      <rPr>
        <b/>
        <sz val="9"/>
        <rFont val="Arial"/>
        <family val="2"/>
      </rPr>
      <t xml:space="preserve">   .   .   .   .   .   .   .   .   .   .   .   .   .   .   .   .   .   .   .   .   .   .   .   .   .   .   .   .   .   .   .   .   .</t>
    </r>
  </si>
  <si>
    <r>
      <t>4</t>
    </r>
    <r>
      <rPr>
        <b/>
        <sz val="9"/>
        <rFont val="Arial"/>
        <family val="2"/>
      </rPr>
      <t xml:space="preserve"> Information about Form 6251 and its separate instructions is at </t>
    </r>
    <r>
      <rPr>
        <b/>
        <i/>
        <sz val="9"/>
        <rFont val="Arial"/>
        <family val="2"/>
      </rPr>
      <t>www.irs.gov/form6251.</t>
    </r>
  </si>
  <si>
    <t>If filing Schedule A (Form 1040), enter the amount from Form 1040, line 41, and go to line 2. Otherwise,</t>
  </si>
  <si>
    <t>enter the amount from Form 1040, line 38, and go to line 7. (If less than zero, enter as a negative amount.)</t>
  </si>
  <si>
    <t>Exemption Worksheet—
Line 29</t>
  </si>
  <si>
    <t xml:space="preserve">     Keep for Your Records                </t>
  </si>
  <si>
    <t xml:space="preserve">  line 28, on line 30 and go to line 31.</t>
  </si>
  <si>
    <t xml:space="preserve">  .   .   .   .   .   .   .   .   .   .   .   .   .   .   .   .   .   .   .   .   .   . </t>
  </si>
  <si>
    <t>go to Form 6251, line 30 .   .   .   .   .   .   .   .   .   .   .   .   .   .   .   .   .   .   .   .   .   .   .   .   .   .   .   .   .   .   .   .   .   .   .   .   .   .</t>
  </si>
  <si>
    <r>
      <t xml:space="preserve">Enter the </t>
    </r>
    <r>
      <rPr>
        <b/>
        <sz val="9"/>
        <rFont val="Arial"/>
        <family val="2"/>
      </rPr>
      <t>smaller</t>
    </r>
    <r>
      <rPr>
        <sz val="9"/>
        <rFont val="Arial"/>
        <family val="2"/>
      </rPr>
      <t xml:space="preserve"> of line 6 or line 9 here and on Form 6251, line 29,</t>
    </r>
  </si>
  <si>
    <t xml:space="preserve">did not have earned income that was more than half of your support.  </t>
  </si>
  <si>
    <t xml:space="preserve">You were a full-time student over age 18 and   </t>
  </si>
  <si>
    <t xml:space="preserve">None of the above apply.   </t>
  </si>
  <si>
    <t>Check all that apply to Form 6251 being completed for child under 24.</t>
  </si>
  <si>
    <r>
      <t xml:space="preserve">  exemption is zero. </t>
    </r>
    <r>
      <rPr>
        <b/>
        <i/>
        <sz val="9"/>
        <rFont val="Arial"/>
        <family val="2"/>
      </rPr>
      <t>Do not</t>
    </r>
    <r>
      <rPr>
        <i/>
        <sz val="9"/>
        <rFont val="Arial"/>
        <family val="2"/>
      </rPr>
      <t xml:space="preserve"> complete this worksheet; instead, enter the amount from Form 6251,</t>
    </r>
  </si>
  <si>
    <r>
      <t xml:space="preserve">     on Form 1040, line 9b; </t>
    </r>
    <r>
      <rPr>
        <b/>
        <sz val="9"/>
        <rFont val="Arial"/>
        <family val="2"/>
      </rPr>
      <t>or</t>
    </r>
    <r>
      <rPr>
        <sz val="9"/>
        <rFont val="Arial"/>
        <family val="2"/>
      </rPr>
      <t xml:space="preserve"> you had a gain on both lines 15 and 16 of Schedule D (Form 1040) (as refigured</t>
    </r>
  </si>
  <si>
    <r>
      <t xml:space="preserve"> </t>
    </r>
    <r>
      <rPr>
        <sz val="8"/>
        <rFont val="Wingdings"/>
        <charset val="2"/>
      </rPr>
      <t>l</t>
    </r>
    <r>
      <rPr>
        <sz val="8"/>
        <rFont val="Arial"/>
        <family val="2"/>
      </rPr>
      <t xml:space="preserve">  </t>
    </r>
    <r>
      <rPr>
        <sz val="9"/>
        <rFont val="Arial"/>
        <family val="2"/>
      </rPr>
      <t>If you reported capital gain distributions directly on Form 1040, line 13; you reported qualified dividends</t>
    </r>
  </si>
  <si>
    <t>Alternative minimum tax foreign tax credit (see instructions)</t>
  </si>
  <si>
    <t>2555-EZ, see instructions for the amount to enter</t>
  </si>
  <si>
    <t>Type of Property
(from list below)</t>
  </si>
  <si>
    <t>Physical address of each property (street, city, state, ZIP code)</t>
  </si>
  <si>
    <t>Fair Rental Days</t>
  </si>
  <si>
    <r>
      <t xml:space="preserve">For each rental real estate property listed 
above, report the number of fair rental and 
personal use days. Check the </t>
    </r>
    <r>
      <rPr>
        <b/>
        <sz val="9"/>
        <rFont val="Arial"/>
        <family val="2"/>
      </rPr>
      <t>QJV</t>
    </r>
    <r>
      <rPr>
        <sz val="9"/>
        <rFont val="Arial"/>
        <family val="2"/>
      </rPr>
      <t xml:space="preserve"> box 
only if you meet the requirements to file as 
a qualified joint venture. See instructions.</t>
    </r>
  </si>
  <si>
    <t xml:space="preserve">Properties:       </t>
  </si>
  <si>
    <t xml:space="preserve">  Income:</t>
  </si>
  <si>
    <t>Rents received</t>
  </si>
  <si>
    <t>Royalties Received</t>
  </si>
  <si>
    <t>Total of all amounts reported on line 3 for all rental properties</t>
  </si>
  <si>
    <r>
      <t>(j)</t>
    </r>
    <r>
      <rPr>
        <sz val="8"/>
        <rFont val="Arial"/>
        <family val="2"/>
      </rPr>
      <t xml:space="preserve"> Nonpassive income from </t>
    </r>
    <r>
      <rPr>
        <b/>
        <sz val="8"/>
        <rFont val="Arial"/>
        <family val="2"/>
      </rPr>
      <t>Schedule K-1</t>
    </r>
  </si>
  <si>
    <r>
      <t xml:space="preserve">  </t>
    </r>
    <r>
      <rPr>
        <b/>
        <sz val="8"/>
        <rFont val="Arial"/>
        <family val="2"/>
      </rPr>
      <t>(h)</t>
    </r>
    <r>
      <rPr>
        <sz val="8"/>
        <rFont val="Arial"/>
        <family val="2"/>
      </rPr>
      <t xml:space="preserve"> Nonpassive loss from </t>
    </r>
    <r>
      <rPr>
        <b/>
        <sz val="8"/>
        <rFont val="Arial"/>
        <family val="2"/>
      </rPr>
      <t>Schedule K-1</t>
    </r>
  </si>
  <si>
    <r>
      <t>(b)</t>
    </r>
    <r>
      <rPr>
        <sz val="8"/>
        <rFont val="Arial"/>
        <family val="2"/>
      </rPr>
      <t xml:space="preserve"> Employer
identification number</t>
    </r>
  </si>
  <si>
    <r>
      <t xml:space="preserve">   (e)</t>
    </r>
    <r>
      <rPr>
        <sz val="7"/>
        <rFont val="Arial"/>
        <family val="2"/>
      </rPr>
      <t xml:space="preserve"> Income from
</t>
    </r>
    <r>
      <rPr>
        <b/>
        <sz val="7"/>
        <rFont val="Arial"/>
        <family val="2"/>
      </rPr>
      <t>Schedules Q</t>
    </r>
    <r>
      <rPr>
        <sz val="7"/>
        <rFont val="Arial"/>
        <family val="2"/>
      </rPr>
      <t>, line 3b</t>
    </r>
  </si>
  <si>
    <r>
      <t xml:space="preserve">  </t>
    </r>
    <r>
      <rPr>
        <b/>
        <sz val="11"/>
        <rFont val="Arial"/>
        <family val="2"/>
      </rPr>
      <t>Income or Loss From Partnerships and S Corporations</t>
    </r>
    <r>
      <rPr>
        <sz val="10"/>
        <rFont val="Arial"/>
        <family val="2"/>
      </rPr>
      <t xml:space="preserve">  </t>
    </r>
    <r>
      <rPr>
        <b/>
        <sz val="9"/>
        <rFont val="Arial"/>
        <family val="2"/>
      </rPr>
      <t xml:space="preserve">Note: </t>
    </r>
    <r>
      <rPr>
        <sz val="9"/>
        <rFont val="Arial"/>
        <family val="2"/>
      </rPr>
      <t>If you report a loss from an at-risk activity for</t>
    </r>
  </si>
  <si>
    <r>
      <t xml:space="preserve">  which </t>
    </r>
    <r>
      <rPr>
        <b/>
        <sz val="9"/>
        <rFont val="Arial"/>
        <family val="2"/>
      </rPr>
      <t>any</t>
    </r>
    <r>
      <rPr>
        <sz val="9"/>
        <rFont val="Arial"/>
        <family val="2"/>
      </rPr>
      <t xml:space="preserve"> amount is </t>
    </r>
    <r>
      <rPr>
        <b/>
        <sz val="9"/>
        <rFont val="Arial"/>
        <family val="2"/>
      </rPr>
      <t>not</t>
    </r>
    <r>
      <rPr>
        <sz val="9"/>
        <rFont val="Arial"/>
        <family val="2"/>
      </rPr>
      <t xml:space="preserve"> at risk, you </t>
    </r>
    <r>
      <rPr>
        <b/>
        <sz val="9"/>
        <rFont val="Arial"/>
        <family val="2"/>
      </rPr>
      <t>must</t>
    </r>
    <r>
      <rPr>
        <sz val="9"/>
        <rFont val="Arial"/>
        <family val="2"/>
      </rPr>
      <t xml:space="preserve"> check column </t>
    </r>
    <r>
      <rPr>
        <b/>
        <sz val="9"/>
        <rFont val="Arial"/>
        <family val="2"/>
      </rPr>
      <t>(e)</t>
    </r>
    <r>
      <rPr>
        <sz val="9"/>
        <rFont val="Arial"/>
        <family val="2"/>
      </rPr>
      <t xml:space="preserve"> on line 28 and attach </t>
    </r>
    <r>
      <rPr>
        <b/>
        <sz val="9"/>
        <rFont val="Arial"/>
        <family val="2"/>
      </rPr>
      <t>Form 6198</t>
    </r>
    <r>
      <rPr>
        <sz val="9"/>
        <rFont val="Arial"/>
        <family val="2"/>
      </rPr>
      <t>. See instructions.</t>
    </r>
  </si>
  <si>
    <r>
      <t>(c)</t>
    </r>
    <r>
      <rPr>
        <sz val="8"/>
        <rFont val="Arial"/>
        <family val="2"/>
      </rPr>
      <t xml:space="preserve"> Check if foreign partnership</t>
    </r>
  </si>
  <si>
    <r>
      <t>(d)</t>
    </r>
    <r>
      <rPr>
        <sz val="8"/>
        <rFont val="Arial"/>
        <family val="2"/>
      </rPr>
      <t xml:space="preserve"> Passive income 
</t>
    </r>
    <r>
      <rPr>
        <b/>
        <sz val="8"/>
        <rFont val="Arial"/>
        <family val="2"/>
      </rPr>
      <t>from Schedule K-1</t>
    </r>
  </si>
  <si>
    <r>
      <t xml:space="preserve">   (f)</t>
    </r>
    <r>
      <rPr>
        <sz val="8"/>
        <rFont val="Arial"/>
        <family val="2"/>
      </rPr>
      <t xml:space="preserve"> Other income from
  </t>
    </r>
    <r>
      <rPr>
        <b/>
        <sz val="8"/>
        <rFont val="Arial"/>
        <family val="2"/>
      </rPr>
      <t>Schedule K-1</t>
    </r>
  </si>
  <si>
    <r>
      <t xml:space="preserve"> </t>
    </r>
    <r>
      <rPr>
        <b/>
        <sz val="8"/>
        <rFont val="Arial"/>
        <family val="2"/>
      </rPr>
      <t>(c)</t>
    </r>
    <r>
      <rPr>
        <sz val="8"/>
        <rFont val="Arial"/>
        <family val="2"/>
      </rPr>
      <t xml:space="preserve"> Passive deduction or loss allowed
(attach </t>
    </r>
    <r>
      <rPr>
        <b/>
        <sz val="8"/>
        <rFont val="Arial"/>
        <family val="2"/>
      </rPr>
      <t>Form 8582</t>
    </r>
    <r>
      <rPr>
        <sz val="8"/>
        <rFont val="Arial"/>
        <family val="2"/>
      </rPr>
      <t xml:space="preserve"> if required)</t>
    </r>
  </si>
  <si>
    <r>
      <t>(c)</t>
    </r>
    <r>
      <rPr>
        <sz val="7"/>
        <rFont val="Arial"/>
        <family val="2"/>
      </rPr>
      <t xml:space="preserve"> Excess inclusion from
</t>
    </r>
    <r>
      <rPr>
        <b/>
        <sz val="7"/>
        <rFont val="Arial"/>
        <family val="2"/>
      </rPr>
      <t>Schedules Q</t>
    </r>
    <r>
      <rPr>
        <sz val="7"/>
        <rFont val="Arial"/>
        <family val="2"/>
      </rPr>
      <t>, line 2c 
(see instructions)</t>
    </r>
  </si>
  <si>
    <r>
      <t xml:space="preserve">   </t>
    </r>
    <r>
      <rPr>
        <b/>
        <sz val="8"/>
        <rFont val="Arial"/>
        <family val="2"/>
      </rPr>
      <t>Total income or (loss).</t>
    </r>
    <r>
      <rPr>
        <sz val="8"/>
        <rFont val="Arial"/>
        <family val="2"/>
      </rPr>
      <t xml:space="preserve"> </t>
    </r>
    <r>
      <rPr>
        <sz val="7"/>
        <rFont val="Arial"/>
        <family val="2"/>
      </rPr>
      <t xml:space="preserve">Combine lines 26, 32, 37, 39, and 40. Enter the result here and on Form 1040, line 17, or Form 1040NR, line 18 </t>
    </r>
    <r>
      <rPr>
        <sz val="7"/>
        <rFont val="Marlett"/>
        <charset val="2"/>
      </rPr>
      <t>4</t>
    </r>
  </si>
  <si>
    <t>farming and fishing income reported on Form 4835, line 7; Schedule K-1</t>
  </si>
  <si>
    <t>(Form 1065), box 14, code B; Schedule K-1 (Form 1120S), box 17, code</t>
  </si>
  <si>
    <r>
      <t>Reconciliation of farming and fishing income.</t>
    </r>
    <r>
      <rPr>
        <sz val="10"/>
        <rFont val="Arial"/>
        <family val="2"/>
      </rPr>
      <t xml:space="preserve">  Enter your </t>
    </r>
    <r>
      <rPr>
        <b/>
        <sz val="10"/>
        <rFont val="Arial"/>
        <family val="2"/>
      </rPr>
      <t xml:space="preserve">gross </t>
    </r>
  </si>
  <si>
    <r>
      <t>(g)</t>
    </r>
    <r>
      <rPr>
        <sz val="8"/>
        <rFont val="Arial"/>
        <family val="2"/>
      </rPr>
      <t xml:space="preserve"> Passive income
from </t>
    </r>
    <r>
      <rPr>
        <b/>
        <sz val="8"/>
        <rFont val="Arial"/>
        <family val="2"/>
      </rPr>
      <t xml:space="preserve">Schedule K-1 </t>
    </r>
  </si>
  <si>
    <r>
      <t>(f)</t>
    </r>
    <r>
      <rPr>
        <sz val="8"/>
        <rFont val="Arial"/>
        <family val="2"/>
      </rPr>
      <t xml:space="preserve"> Passive loss allowed
(attach </t>
    </r>
    <r>
      <rPr>
        <b/>
        <sz val="8"/>
        <rFont val="Arial"/>
        <family val="2"/>
      </rPr>
      <t>Form 8582</t>
    </r>
    <r>
      <rPr>
        <sz val="8"/>
        <rFont val="Arial"/>
        <family val="2"/>
      </rPr>
      <t xml:space="preserve"> if required)</t>
    </r>
  </si>
  <si>
    <t>line 2 on line 6, and go to line 7.</t>
  </si>
  <si>
    <t>Add lines 3 and 4</t>
  </si>
  <si>
    <t>Subtract line 5 from line 2</t>
  </si>
  <si>
    <r>
      <t xml:space="preserve">Be sure you have read the </t>
    </r>
    <r>
      <rPr>
        <b/>
        <sz val="10"/>
        <rFont val="Arial"/>
        <family val="2"/>
      </rPr>
      <t>Exception</t>
    </r>
    <r>
      <rPr>
        <sz val="10"/>
        <rFont val="Arial"/>
        <family val="2"/>
      </rPr>
      <t xml:space="preserve"> in the line 20a and 20b instructions to see if you can</t>
    </r>
  </si>
  <si>
    <t xml:space="preserve">Alimony and separate maintenance payments </t>
  </si>
  <si>
    <t>reported on Form 1040, line 11</t>
  </si>
  <si>
    <t xml:space="preserve">  .   .   .   .   .   .   .   .   .   .   .   .   .   .   .   .   .   .   .   .</t>
  </si>
  <si>
    <t>Standard Deduction Chart for People Who Were</t>
  </si>
  <si>
    <t>See the earlier instructions for line 44 to see if you can use this worksheet to figure your tax.</t>
  </si>
  <si>
    <t>Before completing this worksheet, complete Form 1040 through line 43.</t>
  </si>
  <si>
    <t xml:space="preserve"> .    .    .    .    .    .    .    .    .    .    .    .    .    .    .    .    .    .    .    .    .    .    .    .    .    .  </t>
  </si>
  <si>
    <t xml:space="preserve">   .    .    .    .    .    .    .    .    .    .    .    .    .    .    .    .    .    . </t>
  </si>
  <si>
    <t xml:space="preserve">  .    .    .    .    .    .    .    .    .    .    .    .    .    .    .    . </t>
  </si>
  <si>
    <t xml:space="preserve"> .    .    .    .    .    .    .    .    .    . </t>
  </si>
  <si>
    <t>↑  General Sales Tax</t>
  </si>
  <si>
    <r>
      <t>To be a qualifying child for the child tax credit, the child must be your dependent,</t>
    </r>
    <r>
      <rPr>
        <b/>
        <i/>
        <sz val="9"/>
        <rFont val="Arial"/>
        <family val="2"/>
      </rPr>
      <t xml:space="preserve"> under age 17</t>
    </r>
    <r>
      <rPr>
        <i/>
        <sz val="9"/>
        <rFont val="Arial"/>
        <family val="2"/>
      </rPr>
      <t xml:space="preserve"> at the end</t>
    </r>
  </si>
  <si>
    <t>Form 1040A, line 22; or Form 1040NR, line 37.</t>
  </si>
  <si>
    <t>Line 32</t>
  </si>
  <si>
    <r>
      <rPr>
        <b/>
        <sz val="10"/>
        <rFont val="Arial"/>
        <family val="2"/>
      </rPr>
      <t>Form 8936</t>
    </r>
    <r>
      <rPr>
        <sz val="10"/>
        <rFont val="Arial"/>
        <family val="2"/>
      </rPr>
      <t>, line 23</t>
    </r>
  </si>
  <si>
    <t>Adoption credit, Form 8839.</t>
  </si>
  <si>
    <t>Then, use Parts II through IV of Schedule 8812 to</t>
  </si>
  <si>
    <t>figure any additional child tax credit.</t>
  </si>
  <si>
    <t>Complete the Earned Income Worksheet, later, that applies to you.</t>
  </si>
  <si>
    <t>Use this worksheet only if you answered “Yes” on line 11 of the Child Tax Credit Worksheet earlier.</t>
  </si>
  <si>
    <t>Railroad employees, see the end of this worksheet.</t>
  </si>
  <si>
    <r>
      <t>Line 11 Worksheet—</t>
    </r>
    <r>
      <rPr>
        <i/>
        <sz val="12"/>
        <rFont val="Arial"/>
        <family val="2"/>
      </rPr>
      <t>Continued</t>
    </r>
  </si>
  <si>
    <t>Form 8396, line 9, and</t>
  </si>
  <si>
    <t>Enter the amount from line 10 of the Child Tax Credit Worksheet.</t>
  </si>
  <si>
    <r>
      <t>Note.</t>
    </r>
    <r>
      <rPr>
        <sz val="10"/>
        <rFont val="Arial"/>
        <family val="2"/>
      </rPr>
      <t xml:space="preserve">  Use this flowchart </t>
    </r>
    <r>
      <rPr>
        <b/>
        <sz val="10"/>
        <rFont val="Arial"/>
        <family val="2"/>
      </rPr>
      <t>only if</t>
    </r>
    <r>
      <rPr>
        <sz val="10"/>
        <rFont val="Arial"/>
        <family val="2"/>
      </rPr>
      <t xml:space="preserve"> you must file Schedule SE. If unsure, see </t>
    </r>
    <r>
      <rPr>
        <i/>
        <sz val="10"/>
        <rFont val="Arial"/>
        <family val="2"/>
      </rPr>
      <t>Who Must File Schedule SE</t>
    </r>
    <r>
      <rPr>
        <sz val="10"/>
        <rFont val="Arial"/>
        <family val="2"/>
      </rPr>
      <t>, in the instructions.</t>
    </r>
  </si>
  <si>
    <t>(h) 
Gain or (loss). 
Subtract column (e) 
from column (d) and 
combine the result 
with column (g)</t>
  </si>
  <si>
    <t>F8949A</t>
  </si>
  <si>
    <t>F8949B</t>
  </si>
  <si>
    <t>F8949C</t>
  </si>
  <si>
    <t>(d)</t>
  </si>
  <si>
    <t>(e)</t>
  </si>
  <si>
    <t>(g)</t>
  </si>
  <si>
    <t>(h)</t>
  </si>
  <si>
    <t>(Applicability)</t>
  </si>
  <si>
    <t>D - 10</t>
  </si>
  <si>
    <t>D - 13</t>
  </si>
  <si>
    <t>Form 1040</t>
  </si>
  <si>
    <t>for Form 1040, line 44 (or in the instructions for Form 1040NR, line 42).</t>
  </si>
  <si>
    <t>for the person with self-employment income listed above.</t>
  </si>
  <si>
    <t xml:space="preserve">  Check here if the note applies to you.</t>
  </si>
  <si>
    <t>This Schedule SE is being completed for:</t>
  </si>
  <si>
    <t xml:space="preserve">  Yourself</t>
  </si>
  <si>
    <t xml:space="preserve">  Your spouse</t>
  </si>
  <si>
    <r>
      <t>When did you place your vehicle in service for business purposes?   (month,day,year)</t>
    </r>
    <r>
      <rPr>
        <sz val="10"/>
        <rFont val="Arial"/>
        <family val="2"/>
      </rPr>
      <t/>
    </r>
  </si>
  <si>
    <t>Before This Month (Last Year)</t>
  </si>
  <si>
    <t>Before This Day and Month (Last Year)</t>
  </si>
  <si>
    <t>Schedule D</t>
  </si>
  <si>
    <t>Line 18 &gt; 0</t>
  </si>
  <si>
    <t>Line 19 &gt; 0</t>
  </si>
  <si>
    <t>Line 15 &lt;= 0</t>
  </si>
  <si>
    <t>Line 9b = 0</t>
  </si>
  <si>
    <t>Line 16 &lt;= 0</t>
  </si>
  <si>
    <t>Line 43 &lt;= 0</t>
  </si>
  <si>
    <t>&gt;</t>
  </si>
  <si>
    <t>Calendar Year is SAME</t>
  </si>
  <si>
    <t>Less than One Year</t>
  </si>
  <si>
    <t xml:space="preserve">   Attachment</t>
  </si>
  <si>
    <r>
      <t xml:space="preserve">   Sequence No. </t>
    </r>
    <r>
      <rPr>
        <b/>
        <sz val="7"/>
        <rFont val="Arial"/>
        <family val="2"/>
      </rPr>
      <t>08</t>
    </r>
  </si>
  <si>
    <r>
      <t xml:space="preserve">Note: </t>
    </r>
    <r>
      <rPr>
        <sz val="9"/>
        <rFont val="Arial"/>
        <family val="2"/>
      </rPr>
      <t>If you</t>
    </r>
  </si>
  <si>
    <r>
      <t>Note:</t>
    </r>
    <r>
      <rPr>
        <sz val="9"/>
        <rFont val="Arial"/>
        <family val="2"/>
      </rPr>
      <t xml:space="preserve"> If you</t>
    </r>
  </si>
  <si>
    <t>If “Yes,” are you required to file FinCEN Form 114, Report of Foreign Bank and Financial</t>
  </si>
  <si>
    <t>If you are required to file FinCEN Form 114, enter the name of the foreign country where the</t>
  </si>
  <si>
    <r>
      <t>4</t>
    </r>
    <r>
      <rPr>
        <b/>
        <sz val="8"/>
        <rFont val="Arial"/>
        <family val="2"/>
      </rPr>
      <t xml:space="preserve"> Information about Schedule E and its separate instructions is at </t>
    </r>
    <r>
      <rPr>
        <b/>
        <i/>
        <sz val="8"/>
        <rFont val="Arial"/>
        <family val="2"/>
      </rPr>
      <t>www.irs.gov/schedulee</t>
    </r>
    <r>
      <rPr>
        <b/>
        <sz val="8"/>
        <rFont val="Arial"/>
        <family val="2"/>
      </rPr>
      <t>.</t>
    </r>
  </si>
  <si>
    <r>
      <rPr>
        <sz val="8"/>
        <rFont val="Calibri"/>
        <family val="2"/>
      </rPr>
      <t>•</t>
    </r>
    <r>
      <rPr>
        <sz val="8"/>
        <rFont val="Arial"/>
        <family val="2"/>
      </rPr>
      <t xml:space="preserve"> lived with you</t>
    </r>
  </si>
  <si>
    <r>
      <rPr>
        <sz val="8"/>
        <rFont val="Calibri"/>
        <family val="2"/>
      </rPr>
      <t xml:space="preserve">• </t>
    </r>
    <r>
      <rPr>
        <sz val="8"/>
        <rFont val="Arial"/>
        <family val="2"/>
      </rPr>
      <t>did not live with</t>
    </r>
  </si>
  <si>
    <t xml:space="preserve">  Dependents:</t>
  </si>
  <si>
    <r>
      <t xml:space="preserve"> Yourself.</t>
    </r>
    <r>
      <rPr>
        <sz val="9"/>
        <rFont val="Arial"/>
        <family val="2"/>
      </rPr>
      <t xml:space="preserve"> </t>
    </r>
  </si>
  <si>
    <r>
      <t xml:space="preserve">Taxes from: </t>
    </r>
    <r>
      <rPr>
        <b/>
        <sz val="9"/>
        <rFont val="Arial"/>
        <family val="2"/>
      </rPr>
      <t>a</t>
    </r>
  </si>
  <si>
    <r>
      <t xml:space="preserve">Form 8959 </t>
    </r>
    <r>
      <rPr>
        <b/>
        <sz val="8"/>
        <rFont val="Arial"/>
        <family val="2"/>
      </rPr>
      <t>b</t>
    </r>
  </si>
  <si>
    <r>
      <t xml:space="preserve">Form 8960 </t>
    </r>
    <r>
      <rPr>
        <b/>
        <sz val="8"/>
        <rFont val="Arial"/>
        <family val="2"/>
      </rPr>
      <t>c</t>
    </r>
  </si>
  <si>
    <t>Instructions; enter code(s)</t>
  </si>
  <si>
    <r>
      <t xml:space="preserve">8885  </t>
    </r>
    <r>
      <rPr>
        <b/>
        <sz val="8"/>
        <rFont val="Arial"/>
        <family val="2"/>
      </rPr>
      <t>d</t>
    </r>
  </si>
  <si>
    <r>
      <rPr>
        <b/>
        <sz val="10"/>
        <rFont val="Marlett"/>
        <charset val="2"/>
      </rPr>
      <t>4</t>
    </r>
    <r>
      <rPr>
        <b/>
        <sz val="8"/>
        <rFont val="Arial"/>
        <family val="2"/>
      </rPr>
      <t xml:space="preserve">  Information about Schedule A and its separate instructions is at </t>
    </r>
    <r>
      <rPr>
        <b/>
        <i/>
        <sz val="8"/>
        <rFont val="Arial"/>
        <family val="2"/>
      </rPr>
      <t>www.irs.gov/schedulea</t>
    </r>
    <r>
      <rPr>
        <b/>
        <sz val="8"/>
        <rFont val="Arial"/>
        <family val="2"/>
      </rPr>
      <t>.</t>
    </r>
  </si>
  <si>
    <t>Form 1040, line 9a.)</t>
  </si>
  <si>
    <t>Use Form 8949 to list your transactions for lines 1b, 2, 3, 8b, 9, and 10.</t>
  </si>
  <si>
    <r>
      <t xml:space="preserve">   Information about Schedule D and its separate instructions is at </t>
    </r>
    <r>
      <rPr>
        <b/>
        <i/>
        <sz val="8"/>
        <rFont val="Arial"/>
        <family val="2"/>
      </rPr>
      <t>www.irs.gov/scheduled</t>
    </r>
    <r>
      <rPr>
        <b/>
        <sz val="8"/>
        <rFont val="Arial"/>
        <family val="2"/>
      </rPr>
      <t>.</t>
    </r>
  </si>
  <si>
    <t>Attach to Form 1040 or Form 1040NR.</t>
  </si>
  <si>
    <t>See instructions for how to figure the amounts to enter on the lines below.
This form may be easier to complete if you round off cents to whole dollars.</t>
  </si>
  <si>
    <r>
      <t xml:space="preserve">Totals for all transactions reported on Form(s) 8949 with </t>
    </r>
    <r>
      <rPr>
        <b/>
        <sz val="9"/>
        <rFont val="Arial"/>
        <family val="2"/>
      </rPr>
      <t>Box A</t>
    </r>
    <r>
      <rPr>
        <sz val="9"/>
        <rFont val="Arial"/>
        <family val="2"/>
      </rPr>
      <t xml:space="preserve"> checked</t>
    </r>
    <r>
      <rPr>
        <b/>
        <sz val="9"/>
        <rFont val="Arial"/>
        <family val="2"/>
      </rPr>
      <t xml:space="preserve"> .   .   .   .   .   .   .   .   .   .   .   .   .   .   .   .   .   </t>
    </r>
  </si>
  <si>
    <r>
      <t xml:space="preserve">Totals for all transactions reported on Form(s) 8949 with </t>
    </r>
    <r>
      <rPr>
        <b/>
        <sz val="9"/>
        <rFont val="Arial"/>
        <family val="2"/>
      </rPr>
      <t>Box B</t>
    </r>
    <r>
      <rPr>
        <sz val="9"/>
        <rFont val="Arial"/>
        <family val="2"/>
      </rPr>
      <t xml:space="preserve"> checked</t>
    </r>
    <r>
      <rPr>
        <b/>
        <sz val="9"/>
        <rFont val="Arial"/>
        <family val="2"/>
      </rPr>
      <t xml:space="preserve"> .   .   .   .   .   .   .   .   .   .   .   .   .   .   .   .   .   </t>
    </r>
  </si>
  <si>
    <r>
      <t xml:space="preserve">Totals for all transactions reported on Form(s) 8949 with </t>
    </r>
    <r>
      <rPr>
        <b/>
        <sz val="9"/>
        <rFont val="Arial"/>
        <family val="2"/>
      </rPr>
      <t>Box C</t>
    </r>
    <r>
      <rPr>
        <sz val="9"/>
        <rFont val="Arial"/>
        <family val="2"/>
      </rPr>
      <t xml:space="preserve"> checked</t>
    </r>
    <r>
      <rPr>
        <b/>
        <sz val="9"/>
        <rFont val="Arial"/>
        <family val="2"/>
      </rPr>
      <t xml:space="preserve"> .   .   .   .   .   .   .   .   .   .   .   .   .   .   .   .   .   </t>
    </r>
  </si>
  <si>
    <t>.   .   .   .   .   .   .</t>
  </si>
  <si>
    <t>Totals for all short-term transactions reported on Form 1099-B for which basis was reported to the IRS and for which you have no adjustments (see instructions). However, if you choose to report all these transactions on Form 8949, leave this line blank and go to line 1b.</t>
  </si>
  <si>
    <r>
      <t xml:space="preserve">Net long-term capital gain or (loss). </t>
    </r>
    <r>
      <rPr>
        <sz val="9"/>
        <rFont val="Arial"/>
        <family val="2"/>
      </rPr>
      <t>Combine lines 8 through 14 in column (h). Then go to Part III on
the back.</t>
    </r>
    <r>
      <rPr>
        <b/>
        <sz val="10"/>
        <rFont val="Arial"/>
        <family val="2"/>
      </rPr>
      <t xml:space="preserve">   .   .   .   .   .   .   .   .   .   .   .   .   .   .   .   .   .   .   .   .   .   .   .   .   .   .   .   .   .   .   .   .   .   .   .   . </t>
    </r>
  </si>
  <si>
    <r>
      <t>Net short-term capital gain or (loss).</t>
    </r>
    <r>
      <rPr>
        <sz val="9"/>
        <rFont val="Arial"/>
        <family val="2"/>
      </rPr>
      <t xml:space="preserve"> Combine lines 1 through 6 in column (h). If you have any
long-term capital gains or losses, go to Part II below. Otherwise, go to Part III on the back</t>
    </r>
    <r>
      <rPr>
        <b/>
        <sz val="9"/>
        <rFont val="Arial"/>
        <family val="2"/>
      </rPr>
      <t>.   .   .   .   .   .   .   .   .   .</t>
    </r>
  </si>
  <si>
    <t xml:space="preserve"> .   .   .   .   .   .   .   .   .   .   .   .   .   .  </t>
  </si>
  <si>
    <t>Returns and allowances</t>
  </si>
  <si>
    <r>
      <t xml:space="preserve">Other income, including federal and state gasoline or fuel tax credit or refund  (See instructions) </t>
    </r>
    <r>
      <rPr>
        <b/>
        <sz val="9"/>
        <rFont val="Arial"/>
        <family val="2"/>
      </rPr>
      <t xml:space="preserve"> .   .   .   .   .   .   .   .</t>
    </r>
  </si>
  <si>
    <t>Expenses for business use of your home. Do not report these expenses elsewhere. Attach Form 8829</t>
  </si>
  <si>
    <t>unless using the simplified method (see instructions).</t>
  </si>
  <si>
    <t>and (b) the part of your home used for business:</t>
  </si>
  <si>
    <r>
      <rPr>
        <b/>
        <sz val="10"/>
        <rFont val="Arial"/>
        <family val="2"/>
      </rPr>
      <t>Simplified method filers only:</t>
    </r>
    <r>
      <rPr>
        <sz val="10"/>
        <rFont val="Arial"/>
        <family val="2"/>
      </rPr>
      <t xml:space="preserve"> enter the total square footage of: (a) your home:</t>
    </r>
  </si>
  <si>
    <t>Use the Simplified Method Worksheet in the instructions to figure the amount to enter on line 30</t>
  </si>
  <si>
    <r>
      <t xml:space="preserve">trusts, enter on </t>
    </r>
    <r>
      <rPr>
        <b/>
        <sz val="9"/>
        <rFont val="Arial"/>
        <family val="2"/>
      </rPr>
      <t>Form 1041, line 3.</t>
    </r>
  </si>
  <si>
    <t>Otherwise, complete the Qualified Dividends and Capital Gain Tax</t>
  </si>
  <si>
    <t>Worksheet in the Instructions for Form 1040, line 44 (or in the Instructions for Form 1040NR, line 42) to figure your tax.   Before completing this</t>
  </si>
  <si>
    <t>worksheet, complete Form 1040 through line 43 (or Form 1040NR through line 41).</t>
  </si>
  <si>
    <t>Not</t>
  </si>
  <si>
    <t>Over</t>
  </si>
  <si>
    <t>Not Over</t>
  </si>
  <si>
    <t>CGTW_Line7</t>
  </si>
  <si>
    <t>Is the amount on Form 1040, line 38, more than the amount shown on line 4 below for your filing status?</t>
  </si>
  <si>
    <t xml:space="preserve">No. </t>
  </si>
  <si>
    <t>Continue.</t>
  </si>
  <si>
    <t>Enter the amount from Form 1040, line 38</t>
  </si>
  <si>
    <t>result on line 42.</t>
  </si>
  <si>
    <t>STOP</t>
  </si>
  <si>
    <t>result is not a whole number, increase it to the next higher whole</t>
  </si>
  <si>
    <t>number (for example, increase .00004 to 1)</t>
  </si>
  <si>
    <t>Multiply line 2 by line 7</t>
  </si>
  <si>
    <t>1040, line 42</t>
  </si>
  <si>
    <r>
      <rPr>
        <b/>
        <sz val="10"/>
        <rFont val="Arial"/>
        <family val="2"/>
      </rPr>
      <t>Deduction for exemptions.</t>
    </r>
    <r>
      <rPr>
        <sz val="10"/>
        <rFont val="Arial"/>
        <family val="2"/>
      </rPr>
      <t xml:space="preserve"> Subtract line 8 from line 2. Enter the result here and on Form</t>
    </r>
  </si>
  <si>
    <t>Subtract line 4 from line 3.</t>
  </si>
  <si>
    <t xml:space="preserve">    Deduction for Exemptions Worksheet — Line 42</t>
  </si>
  <si>
    <t>Medical and dental. If you or your spouse was 65 or older, enter the smaller of Schedule A (Form 1040),</t>
  </si>
  <si>
    <t>Hide error</t>
  </si>
  <si>
    <t>message --&gt;</t>
  </si>
  <si>
    <t>for lines 4 through 28. Also, enter this amount on Form 1040, line 40.</t>
  </si>
  <si>
    <r>
      <rPr>
        <b/>
        <sz val="9"/>
        <rFont val="Arial"/>
        <family val="2"/>
      </rPr>
      <t>No.</t>
    </r>
    <r>
      <rPr>
        <sz val="9"/>
        <rFont val="Arial"/>
        <family val="2"/>
      </rPr>
      <t xml:space="preserve"> Your deduction is not limited. Add the amounts in the far right column</t>
    </r>
  </si>
  <si>
    <r>
      <rPr>
        <b/>
        <sz val="9"/>
        <rFont val="Arial"/>
        <family val="2"/>
      </rPr>
      <t>Yes.</t>
    </r>
    <r>
      <rPr>
        <sz val="9"/>
        <rFont val="Arial"/>
        <family val="2"/>
      </rPr>
      <t xml:space="preserve"> Your deduction may be limited. See the Itemized Deductions</t>
    </r>
  </si>
  <si>
    <t>Worksheet in the instructions to figure the amount to enter.</t>
  </si>
  <si>
    <r>
      <rPr>
        <b/>
        <sz val="8"/>
        <rFont val="Arial"/>
        <family val="2"/>
      </rPr>
      <t>Yes.</t>
    </r>
    <r>
      <rPr>
        <sz val="8"/>
        <rFont val="Arial"/>
        <family val="2"/>
      </rPr>
      <t xml:space="preserve"> Subtract line 6 from line 5</t>
    </r>
  </si>
  <si>
    <t>Your deduction is not limited. Enter the amount from line 1 above on Schedule A,</t>
  </si>
  <si>
    <r>
      <rPr>
        <b/>
        <sz val="8"/>
        <rFont val="Arial"/>
        <family val="2"/>
      </rPr>
      <t>Yes.</t>
    </r>
    <r>
      <rPr>
        <sz val="8"/>
        <rFont val="Arial"/>
        <family val="2"/>
      </rPr>
      <t xml:space="preserve"> Subtract line 2 from line 1</t>
    </r>
  </si>
  <si>
    <t>Is the amount on line 2 less than the amount on line 1?</t>
  </si>
  <si>
    <t>lines next to line 28.</t>
  </si>
  <si>
    <t>Be sure your total gambling and casualty or theft losses are clearly identified on the dotted</t>
  </si>
  <si>
    <t>line 28</t>
  </si>
  <si>
    <t>Enter the total of the amount from Schedule A, lines 4, 14, and 20, plus any gambling and casualty or theft losses included on</t>
  </si>
  <si>
    <t>Enter the total of the amounts from Schedule A, lines 4, 9, 15, 19, 20, 27, and 28</t>
  </si>
  <si>
    <t xml:space="preserve">  Itemized Deductions Worksheet—Line 29</t>
  </si>
  <si>
    <r>
      <t xml:space="preserve">Enter the </t>
    </r>
    <r>
      <rPr>
        <b/>
        <sz val="8"/>
        <rFont val="Arial"/>
        <family val="2"/>
      </rPr>
      <t>smaller</t>
    </r>
    <r>
      <rPr>
        <sz val="8"/>
        <rFont val="Arial"/>
        <family val="2"/>
      </rPr>
      <t xml:space="preserve"> of line 4 or line 8</t>
    </r>
  </si>
  <si>
    <r>
      <rPr>
        <b/>
        <sz val="8"/>
        <rFont val="Arial"/>
        <family val="2"/>
      </rPr>
      <t>Total itemized deductions.</t>
    </r>
    <r>
      <rPr>
        <sz val="8"/>
        <rFont val="Arial"/>
        <family val="2"/>
      </rPr>
      <t xml:space="preserve"> Subtract line 9 from line 1. Enter the result here and on Schedule A, line 29</t>
    </r>
  </si>
  <si>
    <r>
      <t xml:space="preserve">line 29. </t>
    </r>
    <r>
      <rPr>
        <b/>
        <sz val="8"/>
        <rFont val="Arial"/>
        <family val="2"/>
      </rPr>
      <t xml:space="preserve">Do not </t>
    </r>
    <r>
      <rPr>
        <sz val="8"/>
        <rFont val="Arial"/>
        <family val="2"/>
      </rPr>
      <t>complete the rest of this worksheet.</t>
    </r>
  </si>
  <si>
    <r>
      <t xml:space="preserve">line 29. </t>
    </r>
    <r>
      <rPr>
        <b/>
        <sz val="8"/>
        <rFont val="Arial"/>
        <family val="2"/>
      </rPr>
      <t>Do not</t>
    </r>
    <r>
      <rPr>
        <sz val="8"/>
        <rFont val="Arial"/>
        <family val="2"/>
      </rPr>
      <t xml:space="preserve"> complete the rest of this worksheet.</t>
    </r>
  </si>
  <si>
    <t>Instructions for Line 5</t>
  </si>
  <si>
    <t>The spreadsheet will automatically include income tax paid based on W-2 &amp; 1099 information.</t>
  </si>
  <si>
    <t>If you wish to deduct general sales taxes, enter the tax amount in Column P and place an 'X' in box 5b.</t>
  </si>
  <si>
    <r>
      <t xml:space="preserve">Alternative minimum taxable income. </t>
    </r>
    <r>
      <rPr>
        <sz val="9"/>
        <rFont val="Arial"/>
        <family val="2"/>
      </rPr>
      <t>Combine lines 1 through 27. (If married filing separately and line</t>
    </r>
  </si>
  <si>
    <t>Line 28—Alternative Minimum</t>
  </si>
  <si>
    <t>Taxable Income</t>
  </si>
  <si>
    <t>If your filing status is married filing</t>
  </si>
  <si>
    <t>separately and line 28 is more than</t>
  </si>
  <si>
    <t>additional amount on line 28. If line 28 is</t>
  </si>
  <si>
    <t>excess of the amount on line 28 over</t>
  </si>
  <si>
    <t>instead—the additional $5,000 is 25%</t>
  </si>
  <si>
    <t>Line 28</t>
  </si>
  <si>
    <t>Amount added</t>
  </si>
  <si>
    <t>IF your filing status is . . .</t>
  </si>
  <si>
    <t>Single or head of household</t>
  </si>
  <si>
    <r>
      <t xml:space="preserve">If line 28 is </t>
    </r>
    <r>
      <rPr>
        <b/>
        <sz val="9"/>
        <rFont val="Arial"/>
        <family val="2"/>
      </rPr>
      <t>over</t>
    </r>
    <r>
      <rPr>
        <sz val="9"/>
        <rFont val="Arial"/>
        <family val="2"/>
      </rPr>
      <t xml:space="preserve"> the amount shown above for your filing status, see instructions.</t>
    </r>
  </si>
  <si>
    <t>AND line 28 is not over . . .</t>
  </si>
  <si>
    <t>THEN enter on line 29 . . .</t>
  </si>
  <si>
    <t>For Married Filing Separately Only</t>
  </si>
  <si>
    <r>
      <t xml:space="preserve">Otherwise, </t>
    </r>
    <r>
      <rPr>
        <b/>
        <u/>
        <sz val="9"/>
        <color indexed="8"/>
        <rFont val="Arial"/>
        <family val="2"/>
      </rPr>
      <t>stop</t>
    </r>
    <r>
      <rPr>
        <b/>
        <sz val="9"/>
        <color indexed="8"/>
        <rFont val="Arial"/>
        <family val="2"/>
      </rPr>
      <t xml:space="preserve"> </t>
    </r>
    <r>
      <rPr>
        <b/>
        <u/>
        <sz val="9"/>
        <color indexed="8"/>
        <rFont val="Arial"/>
        <family val="2"/>
      </rPr>
      <t>here</t>
    </r>
    <r>
      <rPr>
        <sz val="9"/>
        <rFont val="Arial"/>
        <family val="2"/>
      </rPr>
      <t xml:space="preserve"> and enter this amount on Form 6251, line 29, and</t>
    </r>
  </si>
  <si>
    <t>Subtract line 47 from line 46.</t>
  </si>
  <si>
    <t xml:space="preserve">.   .   .   .   .   .   .   .   .   .   .   .   .   .   .   .   .   .   .   .   .   .   .   .   .   .   .   .   .   .   .   . </t>
  </si>
  <si>
    <t>enter this amount on line 31. Instead, enter it on line 4 of the worksheet in the instructions for line 31</t>
  </si>
  <si>
    <t xml:space="preserve">.   .   .   .   .   .   .   .   .   .   .   .   .   .   .   . </t>
  </si>
  <si>
    <t>.   .   .   .   .   .   .   .   .   .   .   .</t>
  </si>
  <si>
    <r>
      <rPr>
        <b/>
        <sz val="8"/>
        <rFont val="Marlett"/>
        <charset val="2"/>
      </rPr>
      <t>4</t>
    </r>
    <r>
      <rPr>
        <b/>
        <sz val="8"/>
        <rFont val="Arial"/>
        <family val="2"/>
      </rPr>
      <t xml:space="preserve">  Information about Schedule SE and its separate instructions is at </t>
    </r>
    <r>
      <rPr>
        <b/>
        <i/>
        <sz val="8"/>
        <rFont val="Arial"/>
        <family val="2"/>
      </rPr>
      <t>www.irs.gov/schedulese</t>
    </r>
    <r>
      <rPr>
        <b/>
        <sz val="8"/>
        <rFont val="Arial"/>
        <family val="2"/>
      </rPr>
      <t>.</t>
    </r>
  </si>
  <si>
    <r>
      <rPr>
        <b/>
        <i/>
        <sz val="10"/>
        <rFont val="Arial"/>
        <family val="2"/>
      </rPr>
      <t>Before you begin:</t>
    </r>
    <r>
      <rPr>
        <i/>
        <sz val="10"/>
        <rFont val="Arial"/>
        <family val="2"/>
      </rPr>
      <t xml:space="preserve"> </t>
    </r>
  </si>
  <si>
    <t>To determine if you must file Schedule SE, see the instructions.</t>
  </si>
  <si>
    <t>Program payments included on Schedule F, line 4b, or listed on Schedule K-1 (Form 1065), box 20, code Z</t>
  </si>
  <si>
    <t>Deduction for one-half of self-employment tax.</t>
  </si>
  <si>
    <t>1040, line 27, or Form 1040NR, line 27</t>
  </si>
  <si>
    <t>.   .   .   .   .   .   .   .   .   .   .</t>
  </si>
  <si>
    <r>
      <t xml:space="preserve">this line. See instructions for other income to report. </t>
    </r>
    <r>
      <rPr>
        <b/>
        <sz val="10"/>
        <rFont val="Arial"/>
        <family val="2"/>
      </rPr>
      <t>Note.</t>
    </r>
    <r>
      <rPr>
        <sz val="10"/>
        <rFont val="Arial"/>
        <family val="2"/>
      </rPr>
      <t xml:space="preserve"> Skip this line if you use the nonfarm</t>
    </r>
  </si>
  <si>
    <t>optional method (see instructions)</t>
  </si>
  <si>
    <t xml:space="preserve">.   .   .   .   .   .   .   .   .   .   .   .   .   .   .   .   .   .   .   .   .   .   .   .   .  </t>
  </si>
  <si>
    <t>Form 1040, line 27, or Form 1040NR, line 27.   .   .</t>
  </si>
  <si>
    <t>For Line 8a, only enter the total social security wages and tips</t>
  </si>
  <si>
    <t>Important:</t>
  </si>
  <si>
    <t>◄◄</t>
  </si>
  <si>
    <t>-- DISCLAIMER --</t>
  </si>
  <si>
    <t>These spreadsheets are provided "as is",</t>
  </si>
  <si>
    <t>with no warranty of any kind, expressed or implied, and</t>
  </si>
  <si>
    <t> in no event will Glenn Reeves be liable for</t>
  </si>
  <si>
    <t>direct, indirect, incidental, or consequential damages</t>
  </si>
  <si>
    <t> resulting from the use of any of these spreadsheets.</t>
  </si>
  <si>
    <t>Glenn Reeves specifically disclaims the role of tax adviser.</t>
  </si>
  <si>
    <t>These spreadsheets attempt to perform the mechanics of tax preparation</t>
  </si>
  <si>
    <t> in accordance with IRS forms and instructions.</t>
  </si>
  <si>
    <t>The user must assume responsibility as to the correctness and</t>
  </si>
  <si>
    <t>appropriateness of any and all amounts entered and results produced.</t>
  </si>
  <si>
    <r>
      <rPr>
        <b/>
        <sz val="8"/>
        <rFont val="Arial"/>
        <family val="2"/>
      </rPr>
      <t>Exception.</t>
    </r>
    <r>
      <rPr>
        <sz val="8"/>
        <rFont val="Arial"/>
        <family val="2"/>
      </rPr>
      <t xml:space="preserve"> See Itemized Deduction Recoveries in Pub. 525 instead of using the worksheet below if any of the following applies.</t>
    </r>
  </si>
  <si>
    <t xml:space="preserve">    credit claimed in an earlier year.</t>
  </si>
  <si>
    <t xml:space="preserve">    qualified dividends in certain situations.</t>
  </si>
  <si>
    <r>
      <t>Taxable part of your refund.</t>
    </r>
    <r>
      <rPr>
        <sz val="10"/>
        <rFont val="Arial"/>
        <family val="2"/>
      </rPr>
      <t xml:space="preserve"> Enter the </t>
    </r>
    <r>
      <rPr>
        <b/>
        <sz val="10"/>
        <rFont val="Arial"/>
        <family val="2"/>
      </rPr>
      <t>smaller</t>
    </r>
    <r>
      <rPr>
        <sz val="10"/>
        <rFont val="Arial"/>
        <family val="2"/>
      </rPr>
      <t xml:space="preserve"> of line 1 or line 6 here and on Form 1040, line 10</t>
    </r>
    <r>
      <rPr>
        <b/>
        <sz val="10"/>
        <rFont val="Arial"/>
        <family val="2"/>
      </rPr>
      <t>.   .   .   .   .   .</t>
    </r>
  </si>
  <si>
    <r>
      <t>More than one pension or annuity.</t>
    </r>
    <r>
      <rPr>
        <sz val="9"/>
        <rFont val="Arial"/>
        <family val="2"/>
      </rPr>
      <t xml:space="preserve"> If you had more than one partially taxable pension or annuity, figure the taxable part of each separately.</t>
    </r>
  </si>
  <si>
    <t xml:space="preserve">Enter the total pension or annuity payments from Form 1099-R, box 1. </t>
  </si>
  <si>
    <t>of last year’s worksheet on line 4 below (even if the amount of your pension or annuity has changed).</t>
  </si>
  <si>
    <r>
      <t>Note.</t>
    </r>
    <r>
      <rPr>
        <sz val="9"/>
        <rFont val="Arial"/>
        <family val="2"/>
      </rPr>
      <t xml:space="preserve"> If you completed this worksheet last year, skip line 3 and enter the amount from line 4</t>
    </r>
  </si>
  <si>
    <t>and 12b and enter the total on Form 1040, line 32. Or, if you want, you can deduct</t>
  </si>
  <si>
    <t>Enter the smaller of line 1 or line 15</t>
  </si>
  <si>
    <t>Add lines 7 and 11</t>
  </si>
  <si>
    <t>Subtract line 17 from line 16. If zero or less, enter -0-</t>
  </si>
  <si>
    <t>Enter the smaller of line 14 or line 18</t>
  </si>
  <si>
    <t>Add lines 11 and 19</t>
  </si>
  <si>
    <t>Subtract line 21 from line 12</t>
  </si>
  <si>
    <t>Add lines 20, 23, and 24</t>
  </si>
  <si>
    <t xml:space="preserve">.    .    .    .    .    .    .    .    .    .    .    .    .    .    .    .    .    .    .    .    .    .    .    .    .    .    .    . </t>
  </si>
  <si>
    <t xml:space="preserve">   .    .    .    .    .    .    .    .    .    .    .    .    .    .    .    .    .    .    .    .    .    .    .    .    .    .    .    .    .    .    .    .    . </t>
  </si>
  <si>
    <r>
      <t>Tax on all taxable income.</t>
    </r>
    <r>
      <rPr>
        <sz val="9"/>
        <rFont val="Arial"/>
        <family val="2"/>
      </rPr>
      <t xml:space="preserve">  Enter the </t>
    </r>
    <r>
      <rPr>
        <b/>
        <sz val="9"/>
        <rFont val="Arial"/>
        <family val="2"/>
      </rPr>
      <t>smaller</t>
    </r>
    <r>
      <rPr>
        <sz val="9"/>
        <rFont val="Arial"/>
        <family val="2"/>
      </rPr>
      <t xml:space="preserve"> of line 25 or line 26.   Also include this amount on</t>
    </r>
  </si>
  <si>
    <t>Form 8910; Form 8936; or Schedule R.</t>
  </si>
  <si>
    <r>
      <t xml:space="preserve">Child Tax Credit Worksheet --- </t>
    </r>
    <r>
      <rPr>
        <b/>
        <i/>
        <sz val="12"/>
        <rFont val="Arial"/>
        <family val="2"/>
      </rPr>
      <t>Continued</t>
    </r>
  </si>
  <si>
    <r>
      <rPr>
        <b/>
        <sz val="10"/>
        <rFont val="Arial"/>
        <family val="2"/>
      </rPr>
      <t>Form 5695</t>
    </r>
    <r>
      <rPr>
        <sz val="10"/>
        <rFont val="Arial"/>
        <family val="2"/>
      </rPr>
      <t>, line 30</t>
    </r>
  </si>
  <si>
    <r>
      <rPr>
        <b/>
        <sz val="10"/>
        <rFont val="Arial"/>
        <family val="2"/>
      </rPr>
      <t>Form 8834</t>
    </r>
    <r>
      <rPr>
        <sz val="10"/>
        <rFont val="Arial"/>
        <family val="2"/>
      </rPr>
      <t>, line 15</t>
    </r>
  </si>
  <si>
    <t>Residential energy efficient property credit, Form 5695, Part I.</t>
  </si>
  <si>
    <t>If your employer withheld or you paid Additional Medicare Tax or Tier 1 RRTA</t>
  </si>
  <si>
    <t>taxes, use the Additional Medicare Tax and RRTA Tax</t>
  </si>
  <si>
    <t>Worksheet to _x001F_gure the amount to enter; otherwise enter</t>
  </si>
  <si>
    <t>the total of the following amounts from Form(s) W-2:</t>
  </si>
  <si>
    <t>lines 6 and 7.</t>
  </si>
  <si>
    <t>Form 8839, line 16, and</t>
  </si>
  <si>
    <t>Form 5695, line 15, and</t>
  </si>
  <si>
    <t xml:space="preserve">Form 8859, line 3. </t>
  </si>
  <si>
    <t>reported to the IRS and for which no adjustments or codes are required. Enter the total directly on</t>
  </si>
  <si>
    <t>Schedule D, line 1a; you are not required to report these transactions on Form 8949 (see instructions).</t>
  </si>
  <si>
    <r>
      <rPr>
        <b/>
        <sz val="10"/>
        <rFont val="Arial"/>
        <family val="2"/>
      </rPr>
      <t>Note.</t>
    </r>
    <r>
      <rPr>
        <sz val="10"/>
        <rFont val="Arial"/>
        <family val="2"/>
      </rPr>
      <t xml:space="preserve"> You may aggregate all short-term transactions reported on Form(s) 1099-B showing basis was</t>
    </r>
  </si>
  <si>
    <t xml:space="preserve">to the IRS and for which no adjustments or codes are required. Enter the total directly on Schedule D, line 8a; 
</t>
  </si>
  <si>
    <t>you are not required to report these transactions on Form 8949 (see instructions).</t>
  </si>
  <si>
    <r>
      <t xml:space="preserve"> (D) Long-term transactions reported on Form(s) 1099-B showing basis was reported to the IRS (see </t>
    </r>
    <r>
      <rPr>
        <b/>
        <sz val="9"/>
        <rFont val="Arial"/>
        <family val="2"/>
      </rPr>
      <t>Note</t>
    </r>
    <r>
      <rPr>
        <sz val="9"/>
        <rFont val="Arial"/>
        <family val="2"/>
      </rPr>
      <t xml:space="preserve"> above)</t>
    </r>
  </si>
  <si>
    <t xml:space="preserve"> (E) Long-term transactions reported on Form(s) 1099-B showing basis was not reported to the IRS</t>
  </si>
  <si>
    <t xml:space="preserve"> (F) Long-term transactions not reported to you on Form 1099-B</t>
  </si>
  <si>
    <r>
      <t xml:space="preserve">You </t>
    </r>
    <r>
      <rPr>
        <b/>
        <i/>
        <sz val="9"/>
        <rFont val="Arial"/>
        <family val="2"/>
      </rPr>
      <t>must</t>
    </r>
    <r>
      <rPr>
        <b/>
        <sz val="9"/>
        <rFont val="Arial"/>
        <family val="2"/>
      </rPr>
      <t xml:space="preserve"> check Box D, E, </t>
    </r>
    <r>
      <rPr>
        <b/>
        <i/>
        <sz val="9"/>
        <rFont val="Arial"/>
        <family val="2"/>
      </rPr>
      <t>or</t>
    </r>
    <r>
      <rPr>
        <b/>
        <sz val="9"/>
        <rFont val="Arial"/>
        <family val="2"/>
      </rPr>
      <t xml:space="preserve"> F below. </t>
    </r>
  </si>
  <si>
    <r>
      <t xml:space="preserve"> </t>
    </r>
    <r>
      <rPr>
        <b/>
        <sz val="9"/>
        <rFont val="Arial"/>
        <family val="2"/>
      </rPr>
      <t>(A)</t>
    </r>
    <r>
      <rPr>
        <sz val="9"/>
        <rFont val="Arial"/>
        <family val="2"/>
      </rPr>
      <t xml:space="preserve"> Short-term transactions reported on Form(s) 1099-B showing basis was reported to the IRS (see </t>
    </r>
    <r>
      <rPr>
        <b/>
        <sz val="9"/>
        <rFont val="Arial"/>
        <family val="2"/>
      </rPr>
      <t>Note</t>
    </r>
    <r>
      <rPr>
        <sz val="9"/>
        <rFont val="Arial"/>
        <family val="2"/>
      </rPr>
      <t xml:space="preserve"> above)</t>
    </r>
  </si>
  <si>
    <r>
      <t xml:space="preserve"> (E) Long-term transactions reported on Form(s) 1099-B showing basis was </t>
    </r>
    <r>
      <rPr>
        <b/>
        <sz val="9"/>
        <rFont val="Arial"/>
        <family val="2"/>
      </rPr>
      <t>not</t>
    </r>
    <r>
      <rPr>
        <sz val="9"/>
        <rFont val="Arial"/>
        <family val="2"/>
      </rPr>
      <t xml:space="preserve"> reported to the IRS</t>
    </r>
  </si>
  <si>
    <r>
      <t>Enter</t>
    </r>
    <r>
      <rPr>
        <sz val="10"/>
        <rFont val="Arial"/>
        <family val="2"/>
      </rPr>
      <t>:</t>
    </r>
  </si>
  <si>
    <t>Enter the smaller of line 1 or line 24</t>
  </si>
  <si>
    <t>Add lines 19 and 20</t>
  </si>
  <si>
    <t>Subtract line 26 from line 25. If zero or less, enter -0-</t>
  </si>
  <si>
    <t>Enter the smaller of line 23 or line 27</t>
  </si>
  <si>
    <t>Add lines 22 and 28</t>
  </si>
  <si>
    <t>If lines 1 and 30 are the same, skip lines 31 through 41 and go to line 42. Otherwise, go to line 31.</t>
  </si>
  <si>
    <t>Subtract line 36 from line 33. If zero or less, enter -0-</t>
  </si>
  <si>
    <t>Subtract line 35 from line 34. If zero or less, enter -0-</t>
  </si>
  <si>
    <t>If Schedule D, line 19, is zero or blank, skip lines 33 through 38 and go to line 39. Otherwise, go to line 33.</t>
  </si>
  <si>
    <t>Subtract line 30 from line 21</t>
  </si>
  <si>
    <t>Add lines 19, 20, 28, 31, and 37</t>
  </si>
  <si>
    <t>39.</t>
  </si>
  <si>
    <t>Subtract line 39 from line 1</t>
  </si>
  <si>
    <t>40.</t>
  </si>
  <si>
    <t>41.</t>
  </si>
  <si>
    <t>42.</t>
  </si>
  <si>
    <t>43.</t>
  </si>
  <si>
    <t>44.</t>
  </si>
  <si>
    <t>45.</t>
  </si>
  <si>
    <t>If lines 1 and 16 are the same, skip lines 21 through 41 and go to line 42. Otherwise, go to line 21.</t>
  </si>
  <si>
    <t>If Schedule D, line 18, is zero or blank, skip lines 39 through 41 and go to line 42. Otherwise, go to line 39.</t>
  </si>
  <si>
    <t>Add lines 29, 32, 38, 41, and 42</t>
  </si>
  <si>
    <r>
      <t>Tax on all taxable income (including capital gains and qualified dividends).</t>
    </r>
    <r>
      <rPr>
        <sz val="10"/>
        <rFont val="Arial"/>
        <family val="2"/>
      </rPr>
      <t xml:space="preserve"> Enter the </t>
    </r>
    <r>
      <rPr>
        <b/>
        <sz val="10"/>
        <rFont val="Arial"/>
        <family val="2"/>
      </rPr>
      <t>smaller</t>
    </r>
    <r>
      <rPr>
        <sz val="10"/>
        <rFont val="Arial"/>
        <family val="2"/>
      </rPr>
      <t xml:space="preserve"> of line 43 or line 44. Also</t>
    </r>
  </si>
  <si>
    <r>
      <t xml:space="preserve">Totals for all transactions reported on Form(s) 8949 with </t>
    </r>
    <r>
      <rPr>
        <b/>
        <sz val="9"/>
        <rFont val="Arial"/>
        <family val="2"/>
      </rPr>
      <t>Box D</t>
    </r>
    <r>
      <rPr>
        <sz val="9"/>
        <rFont val="Arial"/>
        <family val="2"/>
      </rPr>
      <t xml:space="preserve"> checked</t>
    </r>
    <r>
      <rPr>
        <b/>
        <sz val="9"/>
        <rFont val="Arial"/>
        <family val="2"/>
      </rPr>
      <t xml:space="preserve"> .   .   .   .   .   .   .   .   .   .   .   .   .   .   .   .   .   </t>
    </r>
  </si>
  <si>
    <r>
      <t xml:space="preserve">Totals for all transactions reported on Form(s) 8949 with </t>
    </r>
    <r>
      <rPr>
        <b/>
        <sz val="9"/>
        <rFont val="Arial"/>
        <family val="2"/>
      </rPr>
      <t>Box E</t>
    </r>
    <r>
      <rPr>
        <sz val="9"/>
        <rFont val="Arial"/>
        <family val="2"/>
      </rPr>
      <t xml:space="preserve"> checked</t>
    </r>
    <r>
      <rPr>
        <b/>
        <sz val="9"/>
        <rFont val="Arial"/>
        <family val="2"/>
      </rPr>
      <t xml:space="preserve"> .   .   .   .   .   .   .   .   .   .   .   .   .   .   .   .   .   </t>
    </r>
  </si>
  <si>
    <r>
      <t xml:space="preserve">Totals for all transactions reported on Form(s) 8949 with </t>
    </r>
    <r>
      <rPr>
        <b/>
        <sz val="9"/>
        <rFont val="Arial"/>
        <family val="2"/>
      </rPr>
      <t>Box F</t>
    </r>
    <r>
      <rPr>
        <sz val="9"/>
        <rFont val="Arial"/>
        <family val="2"/>
      </rPr>
      <t xml:space="preserve"> checked</t>
    </r>
    <r>
      <rPr>
        <b/>
        <sz val="9"/>
        <rFont val="Arial"/>
        <family val="2"/>
      </rPr>
      <t xml:space="preserve"> .   .   .   .   .   .   .   .   .   .   .   .   .   .   .   .   .   </t>
    </r>
  </si>
  <si>
    <r>
      <t xml:space="preserve">Form </t>
    </r>
    <r>
      <rPr>
        <b/>
        <sz val="11"/>
        <rFont val="Arial"/>
        <family val="2"/>
      </rPr>
      <t>1040</t>
    </r>
  </si>
  <si>
    <t>Schedule D. If either line 15 or line 16 is</t>
  </si>
  <si>
    <t>blank or a loss, enter -0-.</t>
  </si>
  <si>
    <t>Additional Medicare Tax</t>
  </si>
  <si>
    <r>
      <rPr>
        <b/>
        <sz val="9"/>
        <rFont val="Marlett"/>
        <charset val="2"/>
      </rPr>
      <t>4</t>
    </r>
    <r>
      <rPr>
        <b/>
        <sz val="9"/>
        <rFont val="Arial"/>
        <family val="2"/>
      </rPr>
      <t xml:space="preserve">  If any line does not apply to you, leave it blank. See separate instructions.</t>
    </r>
  </si>
  <si>
    <r>
      <t>4</t>
    </r>
    <r>
      <rPr>
        <b/>
        <sz val="9"/>
        <rFont val="Arial"/>
        <family val="2"/>
      </rPr>
      <t xml:space="preserve">  Attach to Form 1040, 1040NR, 1040-PR, or 1040-SS.</t>
    </r>
  </si>
  <si>
    <r>
      <t xml:space="preserve">Sequence No. </t>
    </r>
    <r>
      <rPr>
        <b/>
        <sz val="11"/>
        <rFont val="Arial"/>
        <family val="2"/>
      </rPr>
      <t>71</t>
    </r>
  </si>
  <si>
    <t xml:space="preserve">  Additional Medicare Tax on Medicare Wages </t>
  </si>
  <si>
    <t>Medicare wages and tips from Form W-2, box 5. If you have</t>
  </si>
  <si>
    <t>more than one Form W-2, enter the total of the amounts</t>
  </si>
  <si>
    <t>Unreported tips from Form 4137, line 6</t>
  </si>
  <si>
    <t xml:space="preserve"> .   .   .   .   .   .   .   .   .   .   .   .   .   .   .   . </t>
  </si>
  <si>
    <t>Wages from Form 8919, line 6</t>
  </si>
  <si>
    <t>Add lines 1 through 3</t>
  </si>
  <si>
    <t>Enter the following amount for your filing status:</t>
  </si>
  <si>
    <t>Single, Head of household, or Qualifying widow(er)</t>
  </si>
  <si>
    <t>Subtract line 5 from line 4. If the result is zero or less, enter -0-</t>
  </si>
  <si>
    <t>go to Part II</t>
  </si>
  <si>
    <t xml:space="preserve">     Additional Medicare Tax on Self-Employment Income</t>
  </si>
  <si>
    <t>Self-employment income from Schedule SE (Form 1040),</t>
  </si>
  <si>
    <t>Section A, line 4, or Section B, line 6. If you had a loss, enter</t>
  </si>
  <si>
    <t>-0- (Form 1040-PR and Form 1040-SS filers, see instructions.)</t>
  </si>
  <si>
    <t xml:space="preserve"> .   .   .   .   . </t>
  </si>
  <si>
    <t>Enter the amount from line 4</t>
  </si>
  <si>
    <t>Subtract line 10 from line 9. If zero or less, enter -0-</t>
  </si>
  <si>
    <t>Subtract line 11 from line 8. If the result is zero or less, enter -0-</t>
  </si>
  <si>
    <t>here and go to Part III</t>
  </si>
  <si>
    <t xml:space="preserve">     Additional Medicare Tax on Railroad Retirement Tax Act (RRTA) Compensation</t>
  </si>
  <si>
    <t>Railroad retirement (RRTA) compensation and tips from</t>
  </si>
  <si>
    <t>Form(s) W-2, box 14 (see instructions)</t>
  </si>
  <si>
    <t>Subtract line 15 from line 14. If the result is zero or less, enter -0-</t>
  </si>
  <si>
    <t>Additional Medicare Tax on railroad retirement (RRTA) compensation. Multiply line 16 by</t>
  </si>
  <si>
    <t xml:space="preserve">     Total Additional Medicare Tax</t>
  </si>
  <si>
    <t>1040-PR, and 1040-SS filers, see instructions) and go to Part V</t>
  </si>
  <si>
    <t xml:space="preserve">    Withholding Reconciliation</t>
  </si>
  <si>
    <t>Medicare tax withheld from Form W-2, box 6. If you have</t>
  </si>
  <si>
    <t>from box 6</t>
  </si>
  <si>
    <t>Enter the amount from line 1</t>
  </si>
  <si>
    <t>Medicare tax withholding on Medicare wages</t>
  </si>
  <si>
    <t>Subtract line 21 from line 19. This is your Additional Medicare Tax withholding on Medicare</t>
  </si>
  <si>
    <t>wages</t>
  </si>
  <si>
    <t>Additional Medicare Tax withholding on railroad retirement (RRTA) compensation from Form</t>
  </si>
  <si>
    <t>W-2, box 14 (see instructions)</t>
  </si>
  <si>
    <t>Total Additional Medicare Tax withholding. Add lines 22 and 23. Also include this</t>
  </si>
  <si>
    <t>and 1040-SS filers, see instructions)</t>
  </si>
  <si>
    <r>
      <t>Form</t>
    </r>
    <r>
      <rPr>
        <sz val="10"/>
        <rFont val="Arial"/>
        <family val="2"/>
      </rPr>
      <t xml:space="preserve"> </t>
    </r>
    <r>
      <rPr>
        <b/>
        <sz val="10"/>
        <rFont val="Arial"/>
        <family val="2"/>
      </rPr>
      <t>8959</t>
    </r>
  </si>
  <si>
    <t>Cat. No. 59475X</t>
  </si>
  <si>
    <t>Download Form 8959</t>
  </si>
  <si>
    <t>Download Form 8959 Instructions</t>
  </si>
  <si>
    <t>Net Investment Income Tax—</t>
  </si>
  <si>
    <t>Individuals, Estates, and Trusts</t>
  </si>
  <si>
    <r>
      <t>4</t>
    </r>
    <r>
      <rPr>
        <b/>
        <sz val="9"/>
        <rFont val="Arial"/>
        <family val="2"/>
      </rPr>
      <t xml:space="preserve">  Attach to Form 1040 or Form 1041.</t>
    </r>
  </si>
  <si>
    <r>
      <rPr>
        <b/>
        <sz val="8"/>
        <rFont val="Marlett"/>
        <charset val="2"/>
      </rPr>
      <t>4</t>
    </r>
    <r>
      <rPr>
        <b/>
        <sz val="8"/>
        <rFont val="Arial"/>
        <family val="2"/>
      </rPr>
      <t xml:space="preserve">  Information about Form 8960 and its separate instructions is at </t>
    </r>
    <r>
      <rPr>
        <b/>
        <i/>
        <sz val="8"/>
        <rFont val="Arial"/>
        <family val="2"/>
      </rPr>
      <t>www.irs.gov/form8960</t>
    </r>
    <r>
      <rPr>
        <b/>
        <sz val="8"/>
        <rFont val="Arial"/>
        <family val="2"/>
      </rPr>
      <t>.</t>
    </r>
  </si>
  <si>
    <r>
      <t xml:space="preserve">Sequence No. </t>
    </r>
    <r>
      <rPr>
        <b/>
        <sz val="11"/>
        <rFont val="Arial"/>
        <family val="2"/>
      </rPr>
      <t>72</t>
    </r>
  </si>
  <si>
    <t xml:space="preserve"> Investment Income</t>
  </si>
  <si>
    <t>Section 6013(g) election (see instructions)</t>
  </si>
  <si>
    <t>Regulations section 1.1411-10(g) election (see instructions)</t>
  </si>
  <si>
    <t>Rental real estate, royalties, partnerships, S corporations, trusts,</t>
  </si>
  <si>
    <t>Adjustment for net income or loss derived in the ordinary course of</t>
  </si>
  <si>
    <t>a non-section 1411 trade or business (see instructions)</t>
  </si>
  <si>
    <t>Combine lines 4a and 4b</t>
  </si>
  <si>
    <t>Net gain or loss from disposition of property that is not subject to</t>
  </si>
  <si>
    <t>net investment income tax (see instructions)</t>
  </si>
  <si>
    <t>Adjustment from disposition of partnership interest or S corporation</t>
  </si>
  <si>
    <t>Combine lines 5a through 5c</t>
  </si>
  <si>
    <t>Changes to investment income for certain CFCs and PFICs (see instructions)</t>
  </si>
  <si>
    <t>Other modifications to investment income (see instructions)</t>
  </si>
  <si>
    <t>Total investment income. Combine lines 1, 2, 3, 4c, 5d, 6, and 7</t>
  </si>
  <si>
    <t>5d</t>
  </si>
  <si>
    <t xml:space="preserve">     Investment Expenses Allocable to Investment Income and Modifications</t>
  </si>
  <si>
    <t>Investment interest expenses (see instructions)</t>
  </si>
  <si>
    <t xml:space="preserve"> .   .   .   .   .   .   .   .   .   .   .   . </t>
  </si>
  <si>
    <t>State income tax (see instructions)</t>
  </si>
  <si>
    <t xml:space="preserve">  .   .   .   .   .   .   .   .   .   .   .   .   .   .   .   . </t>
  </si>
  <si>
    <t>Miscellaneous investment expenses (see instructions)</t>
  </si>
  <si>
    <t>9d</t>
  </si>
  <si>
    <t>9c</t>
  </si>
  <si>
    <t>Add lines 9a, 9b, and 9c</t>
  </si>
  <si>
    <t>Additional modifications (see instructions)</t>
  </si>
  <si>
    <t>Total deductions and modifications. Add lines 9d and 10</t>
  </si>
  <si>
    <t xml:space="preserve">     Tax Computation</t>
  </si>
  <si>
    <t xml:space="preserve">   .   .   .   .   .   .   .   .   .   .   .   .   .   .   . </t>
  </si>
  <si>
    <t>Individuals:</t>
  </si>
  <si>
    <t>Modified adjusted gross income (see instructions)</t>
  </si>
  <si>
    <t>Threshold based on filing status (see instructions)</t>
  </si>
  <si>
    <t>Subtract line 14 from line 13. If zero or less, enter -0-</t>
  </si>
  <si>
    <t>Enter the smaller of line 12 or line 15</t>
  </si>
  <si>
    <t>Estates and Trusts:</t>
  </si>
  <si>
    <t>18a</t>
  </si>
  <si>
    <t>Net investment income (line 12 above)</t>
  </si>
  <si>
    <t>Deductions for distributions of net investment income and</t>
  </si>
  <si>
    <t>deductions under section 642(c) (see instructions)</t>
  </si>
  <si>
    <t>18b</t>
  </si>
  <si>
    <t>18c</t>
  </si>
  <si>
    <t>Undistributed net investment income. Subtract line 18b from 18a (see</t>
  </si>
  <si>
    <t>instructions)</t>
  </si>
  <si>
    <t>19a</t>
  </si>
  <si>
    <t>19b</t>
  </si>
  <si>
    <t>19c</t>
  </si>
  <si>
    <t>Adjusted gross income (see instructions)</t>
  </si>
  <si>
    <t>Highest tax bracket for estates and trusts for the year (see</t>
  </si>
  <si>
    <t>Subtract line 19b from line 19a. If zero or less, enter -0-</t>
  </si>
  <si>
    <t>Enter the smaller of line 18c or line 19c</t>
  </si>
  <si>
    <r>
      <t>Form</t>
    </r>
    <r>
      <rPr>
        <sz val="10"/>
        <rFont val="Arial"/>
        <family val="2"/>
      </rPr>
      <t xml:space="preserve"> </t>
    </r>
    <r>
      <rPr>
        <b/>
        <sz val="10"/>
        <rFont val="Arial"/>
        <family val="2"/>
      </rPr>
      <t>8960</t>
    </r>
  </si>
  <si>
    <t>Cat. No. 59474M</t>
  </si>
  <si>
    <t xml:space="preserve">   .   .   .   .   .   .   .   .   .   .   .   .   .   .   .   .   .   .   .   .   .   . </t>
  </si>
  <si>
    <t>Net investment income. Subtract Part II, line 11 from Part I, line 8. Individuals complete lines 13–17.</t>
  </si>
  <si>
    <t>Estates and trusts complete lines 18a–21. If zero or less, enter -0-</t>
  </si>
  <si>
    <t>Line 13 — MAGI Worksheet</t>
  </si>
  <si>
    <t>1. Enter your Adjusted Gross Income</t>
  </si>
  <si>
    <t>2. Foreign Earned Income Exclusion:</t>
  </si>
  <si>
    <t>Line 42 of Form 2555)</t>
  </si>
  <si>
    <t>2555 allocable to your Foreign Earned Income</t>
  </si>
  <si>
    <t>(a)</t>
  </si>
  <si>
    <t>Enter your Foreign Earned Income Exclusion (from</t>
  </si>
  <si>
    <t>(b)</t>
  </si>
  <si>
    <t>Enter the deductions reported on Line 44 of Form</t>
  </si>
  <si>
    <t>Exclusion</t>
  </si>
  <si>
    <t>(c)</t>
  </si>
  <si>
    <t>3. Adjustments for Certain CFCs and Certain PFICs</t>
  </si>
  <si>
    <t>Combine Lines 2(a) and 2(b)</t>
  </si>
  <si>
    <t>4. Enter the sum of Line 1, Line 2(c), and Line 3. (Enter this amount on Form 8960,</t>
  </si>
  <si>
    <t xml:space="preserve">    Line 13.)</t>
  </si>
  <si>
    <t>(</t>
  </si>
  <si>
    <t>)</t>
  </si>
  <si>
    <t>Download Form 8960</t>
  </si>
  <si>
    <t>Download Form 8960 Instructions (Draft)</t>
  </si>
  <si>
    <r>
      <t>Student loan interest deduction</t>
    </r>
    <r>
      <rPr>
        <b/>
        <sz val="9"/>
        <rFont val="Arial"/>
        <family val="2"/>
      </rPr>
      <t/>
    </r>
  </si>
  <si>
    <t xml:space="preserve">.   .   .   .   .   .   .   .   .   .   .   .   .   .   .   .   .   .   .   .   .   . </t>
  </si>
  <si>
    <t>Totals for all long-term transactions reported on Form 1099-B for which basis was reported to the IRS and for which you have no adjustments (see instructions). However, if you choose to report all these transactions on Form 8949, leave this line blank and go to line 8b.</t>
  </si>
  <si>
    <t>Sch. E (2)</t>
  </si>
  <si>
    <r>
      <rPr>
        <b/>
        <sz val="9"/>
        <rFont val="Arial"/>
        <family val="2"/>
      </rPr>
      <t>Totals.</t>
    </r>
    <r>
      <rPr>
        <sz val="9"/>
        <rFont val="Arial"/>
        <family val="2"/>
      </rPr>
      <t xml:space="preserve"> Add the amounts in columns (d), (e), (g), and (h) (subtract 
negative amounts). Enter each total here and include on your 
Schedule D, </t>
    </r>
    <r>
      <rPr>
        <b/>
        <sz val="9"/>
        <rFont val="Arial"/>
        <family val="2"/>
      </rPr>
      <t>line 8b</t>
    </r>
    <r>
      <rPr>
        <sz val="9"/>
        <rFont val="Arial"/>
        <family val="2"/>
      </rPr>
      <t xml:space="preserve"> (if </t>
    </r>
    <r>
      <rPr>
        <b/>
        <sz val="9"/>
        <rFont val="Arial"/>
        <family val="2"/>
      </rPr>
      <t>Box D</t>
    </r>
    <r>
      <rPr>
        <sz val="9"/>
        <rFont val="Arial"/>
        <family val="2"/>
      </rPr>
      <t xml:space="preserve"> above is checked), </t>
    </r>
    <r>
      <rPr>
        <b/>
        <sz val="9"/>
        <rFont val="Arial"/>
        <family val="2"/>
      </rPr>
      <t>line 9</t>
    </r>
    <r>
      <rPr>
        <sz val="9"/>
        <rFont val="Arial"/>
        <family val="2"/>
      </rPr>
      <t xml:space="preserve"> (if </t>
    </r>
    <r>
      <rPr>
        <b/>
        <sz val="9"/>
        <rFont val="Arial"/>
        <family val="2"/>
      </rPr>
      <t>Box E</t>
    </r>
    <r>
      <rPr>
        <sz val="9"/>
        <rFont val="Arial"/>
        <family val="2"/>
      </rPr>
      <t xml:space="preserve">
 above is checked), or </t>
    </r>
    <r>
      <rPr>
        <b/>
        <sz val="9"/>
        <rFont val="Arial"/>
        <family val="2"/>
      </rPr>
      <t>line 10</t>
    </r>
    <r>
      <rPr>
        <sz val="9"/>
        <rFont val="Arial"/>
        <family val="2"/>
      </rPr>
      <t xml:space="preserve"> (if </t>
    </r>
    <r>
      <rPr>
        <b/>
        <sz val="9"/>
        <rFont val="Arial"/>
        <family val="2"/>
      </rPr>
      <t>Box F</t>
    </r>
    <r>
      <rPr>
        <sz val="9"/>
        <rFont val="Arial"/>
        <family val="2"/>
      </rPr>
      <t xml:space="preserve"> above is checked)</t>
    </r>
  </si>
  <si>
    <t xml:space="preserve">.   .   .   .   .   .   .   .   .   .   .   .   .   .   .   .   .   .   .   .   .   .   .   .   .   .   .   .   .   . </t>
  </si>
  <si>
    <t>Profit or Loss from Farming</t>
  </si>
  <si>
    <t>Attach to Form 1040, Form 1040NR, Form 1041, Form 1065, or Form 1065-B.</t>
  </si>
  <si>
    <t>Department of the Treasury
Internal Revenue Service  (99)</t>
  </si>
  <si>
    <r>
      <t xml:space="preserve">Attachment
Sequence No. </t>
    </r>
    <r>
      <rPr>
        <b/>
        <sz val="8"/>
        <rFont val="Arial"/>
        <family val="2"/>
      </rPr>
      <t>14</t>
    </r>
  </si>
  <si>
    <t>SCHEDULE F
(Form 1040)</t>
  </si>
  <si>
    <t>Name of proprietor</t>
  </si>
  <si>
    <t>Principal crop or activity</t>
  </si>
  <si>
    <r>
      <rPr>
        <b/>
        <sz val="10"/>
        <rFont val="Arial"/>
        <family val="2"/>
      </rPr>
      <t>C</t>
    </r>
    <r>
      <rPr>
        <sz val="9"/>
        <rFont val="Arial"/>
        <family val="2"/>
      </rPr>
      <t xml:space="preserve">  Accounting method:</t>
    </r>
  </si>
  <si>
    <t>Accural</t>
  </si>
  <si>
    <t>Complete Parts I and II (Accrual method. Complete Parts II and III, and Part I, line 9.)</t>
  </si>
  <si>
    <t>Sales of livestock and other resale items (see instructions)</t>
  </si>
  <si>
    <t>Cost or other basis of livestock or other items reported on line 1a</t>
  </si>
  <si>
    <t>Subtract line 1b from line 1a</t>
  </si>
  <si>
    <t>Sales of livestock, produce, grains, and other products you raised</t>
  </si>
  <si>
    <t>3a</t>
  </si>
  <si>
    <t>Cooperative distributions (Form(s) 1099-PATR)</t>
  </si>
  <si>
    <t>3b</t>
  </si>
  <si>
    <t>1c</t>
  </si>
  <si>
    <t>Agricultural program payments (see instructions)</t>
  </si>
  <si>
    <t>Commodity Credit Corporation (CCC) loans reported under election</t>
  </si>
  <si>
    <t>CCC loans forfeited</t>
  </si>
  <si>
    <t>Crop insurance proceeds and federal crop disaster payments (see instructions)</t>
  </si>
  <si>
    <t>6b</t>
  </si>
  <si>
    <r>
      <rPr>
        <b/>
        <sz val="9"/>
        <rFont val="Arial"/>
        <family val="2"/>
      </rPr>
      <t>6d</t>
    </r>
    <r>
      <rPr>
        <sz val="9"/>
        <rFont val="Arial"/>
        <family val="2"/>
      </rPr>
      <t xml:space="preserve">  Amount deferred from</t>
    </r>
  </si>
  <si>
    <t>6d</t>
  </si>
  <si>
    <t>Custom hire (machine work) income</t>
  </si>
  <si>
    <t>5c</t>
  </si>
  <si>
    <t>Other income, including federal and state gasoline or fuel tax credit or refund (see instructions)</t>
  </si>
  <si>
    <r>
      <rPr>
        <b/>
        <sz val="9"/>
        <rFont val="Arial"/>
        <family val="2"/>
      </rPr>
      <t xml:space="preserve">Gross income.  </t>
    </r>
    <r>
      <rPr>
        <sz val="9"/>
        <rFont val="Arial"/>
        <family val="2"/>
      </rPr>
      <t>Add amounts in the right column (lines 1c, 2, 3b, 4b, 5a, 5c, 6b, 6d, 7, and 8). If you use the</t>
    </r>
  </si>
  <si>
    <t>accrual method, enter the amount from Part III, line 50 (see instructions)</t>
  </si>
  <si>
    <t xml:space="preserve">.   .   .   .   .   .   .   .   .   .   .   .   .   .   .   .   .   .   .   .   .   .   </t>
  </si>
  <si>
    <t>Do not include personal or living expenses (see instructions).</t>
  </si>
  <si>
    <t xml:space="preserve">.   .   .   .   .   .   .   .   .   .   .   </t>
  </si>
  <si>
    <t>Car and truck expenses (see</t>
  </si>
  <si>
    <t>Chemicals</t>
  </si>
  <si>
    <t>Conservation expenses (see instructions)</t>
  </si>
  <si>
    <t>Custom hire (machine work)</t>
  </si>
  <si>
    <t>expense (see instructions)</t>
  </si>
  <si>
    <t>other than on line 23</t>
  </si>
  <si>
    <t>Feed</t>
  </si>
  <si>
    <t>Fertilizers and lime</t>
  </si>
  <si>
    <t>Freight and trucking</t>
  </si>
  <si>
    <t>Gasoline, fuel, and oil</t>
  </si>
  <si>
    <t>Insurance (other than health)</t>
  </si>
  <si>
    <t>21a</t>
  </si>
  <si>
    <t>21b</t>
  </si>
  <si>
    <t>Labor hired (less employment credits)</t>
  </si>
  <si>
    <t>Pension and profit-sharing plans</t>
  </si>
  <si>
    <t>Vehicles, machinery, equipment</t>
  </si>
  <si>
    <t>Other (land, animals, etc.)</t>
  </si>
  <si>
    <t>Seeds and plants</t>
  </si>
  <si>
    <t>Storage and warehousing</t>
  </si>
  <si>
    <t>Veterinary, breeding, and medicine</t>
  </si>
  <si>
    <t>Other expenses (specify):</t>
  </si>
  <si>
    <t>e</t>
  </si>
  <si>
    <t>f</t>
  </si>
  <si>
    <t>32c</t>
  </si>
  <si>
    <t>32d</t>
  </si>
  <si>
    <t>32e</t>
  </si>
  <si>
    <t>32f</t>
  </si>
  <si>
    <r>
      <t xml:space="preserve">Total expenses.  </t>
    </r>
    <r>
      <rPr>
        <sz val="9"/>
        <rFont val="Arial"/>
        <family val="2"/>
      </rPr>
      <t>Add lines 10 through 32f. If line 32f is negative, see instructions</t>
    </r>
  </si>
  <si>
    <t>Net farm profit or (loss). Subtract line 33 from line 9</t>
  </si>
  <si>
    <t>If a profit, stop here and see instructions for where to report. If a loss, complete lines 35 and 36.</t>
  </si>
  <si>
    <t>Check the box that describes your investment in this activity and see instructions for where to report your loss.</t>
  </si>
  <si>
    <t>All investment is at risk.</t>
  </si>
  <si>
    <t>Some investment is not at risk.</t>
  </si>
  <si>
    <t>Cat. No. 11346H</t>
  </si>
  <si>
    <t xml:space="preserve">.   .   .   .   .   .   .   .   .   .   .   .   .   .   .   </t>
  </si>
  <si>
    <t>Sales of livestock, produce, grains, and other products (see instructions)</t>
  </si>
  <si>
    <t>38a</t>
  </si>
  <si>
    <t>38b</t>
  </si>
  <si>
    <t>Agricultural program payments</t>
  </si>
  <si>
    <t>39b</t>
  </si>
  <si>
    <t>40a</t>
  </si>
  <si>
    <t>Commodity Credit Corporation (CCC) loans:</t>
  </si>
  <si>
    <t>CCC loans reported under election</t>
  </si>
  <si>
    <t>40b</t>
  </si>
  <si>
    <t>40c</t>
  </si>
  <si>
    <t>Crop insurance proceeds</t>
  </si>
  <si>
    <t>Other income (see instructions)</t>
  </si>
  <si>
    <t>Add amounts in the right column for lines 37 through 43 (lines 37, 38b, 39b, 40a, 40c, 41, 42, and 43)</t>
  </si>
  <si>
    <t>Inventory of livestock, produce, grains, and other products at beginning of</t>
  </si>
  <si>
    <t>the year. Do not include sales reported on Form 4797</t>
  </si>
  <si>
    <t>Cost of livestock, produce, grains, and other products purchased during the</t>
  </si>
  <si>
    <t>year</t>
  </si>
  <si>
    <t>.   .   .   .   .   .   .   .   .   .   .   .   .   .   .   .   .   .   .   .   .   .   .   .   .   .   .   .   .   .   .   .   .   .   .   .   .   .   .   .   .   .   .   .   .   .</t>
  </si>
  <si>
    <t>Add lines 45 and 46</t>
  </si>
  <si>
    <t>Inventory of livestock, produce, grains, and other products at end of year</t>
  </si>
  <si>
    <t>Cost of livestock, produce, grains, and other products sold. Subtract line 48 from line 47*</t>
  </si>
  <si>
    <r>
      <rPr>
        <b/>
        <sz val="9"/>
        <rFont val="Arial"/>
        <family val="2"/>
      </rPr>
      <t>Gross income.</t>
    </r>
    <r>
      <rPr>
        <sz val="9"/>
        <rFont val="Arial"/>
        <family val="2"/>
      </rPr>
      <t xml:space="preserve"> Subtract line 49 from line 44. Enter the result here and on Part I, line 9</t>
    </r>
  </si>
  <si>
    <t>*If you use the unit-livestock-price method or the farm-price method of valuing inventory and the amount on line 48 is larger than the amount on line</t>
  </si>
  <si>
    <t>47, subtract line 47 from line 48. Enter the result on line 49. Add lines 44 and 49. Enter the total on line 50 and on Part I, line 9.</t>
  </si>
  <si>
    <t>Download Form 1040 Schedule F</t>
  </si>
  <si>
    <t>Download Form 1040 Schedule F Instructions</t>
  </si>
  <si>
    <t xml:space="preserve">  Principal Agricultural Activity Codes</t>
  </si>
  <si>
    <t>Do not file Schedule F (Form 1040) to report the</t>
  </si>
  <si>
    <t>following.</t>
  </si>
  <si>
    <t>• Income from providing agricultural services such as</t>
  </si>
  <si>
    <t>soil preparation, veterinary, farm labor, horticultural, or</t>
  </si>
  <si>
    <t>management for a fee or on a contract basis. Instead file</t>
  </si>
  <si>
    <t>Schedule C (Form 1040) or Schedule C-EZ (Form 1040).</t>
  </si>
  <si>
    <t>• Income from breeding, raising, or caring for dogs, cats, or</t>
  </si>
  <si>
    <t>other pet animals. Instead file Schedule C (Form 1040) or</t>
  </si>
  <si>
    <t>Schedule C-EZ (Form 1040).</t>
  </si>
  <si>
    <t>• Sales of livestock held for draft, breeding, sport, or dairy</t>
  </si>
  <si>
    <t>purposes. Instead file Form 4797.</t>
  </si>
  <si>
    <t>These codes for the Principal Agricultural Activity classify</t>
  </si>
  <si>
    <t>farms by their primary activity to facilitate the administration of</t>
  </si>
  <si>
    <t>the Internal Revenue Code. These six-digit codes are based on</t>
  </si>
  <si>
    <t>the North American Industry Classification System (NAICS).</t>
  </si>
  <si>
    <t>Select the code that best identifies your primary farming</t>
  </si>
  <si>
    <t>activity and enter the six-digit number on line B.</t>
  </si>
  <si>
    <t>Crop Production</t>
  </si>
  <si>
    <t>Oilseed and grain farming</t>
  </si>
  <si>
    <t>Vegetable and melon farming</t>
  </si>
  <si>
    <t>Fruit and tree nut farming</t>
  </si>
  <si>
    <t>Animal Production</t>
  </si>
  <si>
    <t>Forestry and Logging</t>
  </si>
  <si>
    <t>timber tracts)</t>
  </si>
  <si>
    <t>Greenhouse, nursery, and floriculture production</t>
  </si>
  <si>
    <t>Other crop farming</t>
  </si>
  <si>
    <t>Beef cattle ranching and farming</t>
  </si>
  <si>
    <t>Cattle feedlots</t>
  </si>
  <si>
    <t>Dairy cattle and milk production</t>
  </si>
  <si>
    <t>Hog and pig farming</t>
  </si>
  <si>
    <t>Poultry and egg production</t>
  </si>
  <si>
    <t>Sheep and goat farming</t>
  </si>
  <si>
    <t>Aquaculture</t>
  </si>
  <si>
    <t>Other animal production</t>
  </si>
  <si>
    <t xml:space="preserve">.   .   .   .   .   .   .   .   .   .   .   .   .   .   .   .   .   .   .   </t>
  </si>
  <si>
    <t xml:space="preserve">.   .   .   .   .   .   .   .   .   .   </t>
  </si>
  <si>
    <t xml:space="preserve"> .   .   .   .   .   .   .   .   .   .   .   .   .   .   .   .   .   .   .   .   .   </t>
  </si>
  <si>
    <t xml:space="preserve">.   .   .   .   .   .   .   .   .   .   .   .   .   .   .   .   .   .   .   .   .   .   .   .   .   .   .   .   .   .   .   .   .   .   .   .   .   .   </t>
  </si>
  <si>
    <t xml:space="preserve"> .   .   .   .   .   .   .   .   .   .   . </t>
  </si>
  <si>
    <t>Farm Expenses—Cash and Accrual Method.</t>
  </si>
  <si>
    <t>Farm Income—Cash Method.</t>
  </si>
  <si>
    <r>
      <rPr>
        <b/>
        <sz val="9"/>
        <rFont val="Arial"/>
        <family val="2"/>
      </rPr>
      <t xml:space="preserve">D </t>
    </r>
    <r>
      <rPr>
        <b/>
        <sz val="8"/>
        <rFont val="Arial"/>
        <family val="2"/>
      </rPr>
      <t>Employer ID no. (EIN), (see instr)</t>
    </r>
  </si>
  <si>
    <t>Forestry and logging (including forest nurseries &amp;</t>
  </si>
  <si>
    <r>
      <t xml:space="preserve">   Farm Income — Accrual Method</t>
    </r>
    <r>
      <rPr>
        <sz val="10"/>
        <rFont val="Arial"/>
        <family val="2"/>
      </rPr>
      <t xml:space="preserve"> (see instructions).</t>
    </r>
  </si>
  <si>
    <r>
      <t xml:space="preserve">Information about Schedule F and its separate instructions is at </t>
    </r>
    <r>
      <rPr>
        <b/>
        <i/>
        <sz val="8"/>
        <rFont val="Arial"/>
        <family val="2"/>
      </rPr>
      <t>www.irs.gov/schedulef</t>
    </r>
    <r>
      <rPr>
        <b/>
        <sz val="8"/>
        <rFont val="Arial"/>
        <family val="2"/>
      </rPr>
      <t>.</t>
    </r>
  </si>
  <si>
    <r>
      <rPr>
        <b/>
        <sz val="10"/>
        <rFont val="Arial"/>
        <family val="2"/>
      </rPr>
      <t>B</t>
    </r>
    <r>
      <rPr>
        <b/>
        <sz val="9"/>
        <rFont val="Arial"/>
        <family val="2"/>
      </rPr>
      <t xml:space="preserve">  Enter code from Part IV</t>
    </r>
  </si>
  <si>
    <r>
      <t xml:space="preserve">instructions). Also attach </t>
    </r>
    <r>
      <rPr>
        <b/>
        <sz val="10"/>
        <rFont val="Arial"/>
        <family val="2"/>
      </rPr>
      <t>Form 4562</t>
    </r>
  </si>
  <si>
    <t xml:space="preserve">.   . </t>
  </si>
  <si>
    <t xml:space="preserve">   .   .   .   .   .   .   .   .   .   .   .   .   .   .   .   .   .   . </t>
  </si>
  <si>
    <t xml:space="preserve">.   .   .   .   .   .   .   .   .   .   .   .   .   .   .   .   .   .   .   .   .   .   .   .   .   .   .   .   .   .   .   .   .   .   </t>
  </si>
  <si>
    <t xml:space="preserve">.   .   .   .   </t>
  </si>
  <si>
    <t xml:space="preserve">.   .   .   .   .   .   .   .   .   .   .   .   .   .   .   .   .   .   .   .   .   .   .   .   .   .   .   .   .   .   .   .   .   .   .   .   </t>
  </si>
  <si>
    <t xml:space="preserve">.   .   .   .   .   .   .   .   .   .   .   .   .   .   .   .   .   .   .   .   .   .   .   .   .   .   .   .   .   .   .   .   .   .   .   .   .   .   .   </t>
  </si>
  <si>
    <t xml:space="preserve">.   .   .   .   .   .   .   .   .   .   .   .   .   .   .   .   .   </t>
  </si>
  <si>
    <t xml:space="preserve"> .   .   .   .   .</t>
  </si>
  <si>
    <t>.   .   .   .   .   .   .   .   .   .   .   .   .</t>
  </si>
  <si>
    <t>Principal business or profession, including product or service (see instructions)</t>
  </si>
  <si>
    <r>
      <t xml:space="preserve">Enter expenses for business use of your home </t>
    </r>
    <r>
      <rPr>
        <b/>
        <sz val="10"/>
        <rFont val="Arial"/>
        <family val="2"/>
      </rPr>
      <t>only</t>
    </r>
    <r>
      <rPr>
        <sz val="10"/>
        <rFont val="Arial"/>
        <family val="2"/>
      </rPr>
      <t xml:space="preserve"> on line 30.</t>
    </r>
  </si>
  <si>
    <r>
      <t>Total expenses</t>
    </r>
    <r>
      <rPr>
        <sz val="9"/>
        <rFont val="Arial"/>
        <family val="2"/>
      </rPr>
      <t xml:space="preserve"> before expenses for business use of home.  Add lines 8 through 27a</t>
    </r>
  </si>
  <si>
    <t>Tentative profit (loss).  Subtract line 28 from line 7</t>
  </si>
  <si>
    <t xml:space="preserve"> .   .   .   .   .   .   .   .   .   .   .   .   .   .   .   .   .  </t>
  </si>
  <si>
    <t xml:space="preserve">.   .   .   .   .   .   .   .   .   .   .   .   .   .   .   .   .   .   .   .   .   .   .   .   .   .   .   .   .   .   .  </t>
  </si>
  <si>
    <r>
      <t xml:space="preserve">• If a profit, enter on both </t>
    </r>
    <r>
      <rPr>
        <b/>
        <sz val="9"/>
        <rFont val="Arial"/>
        <family val="2"/>
      </rPr>
      <t>Form 1040, line 12</t>
    </r>
    <r>
      <rPr>
        <sz val="9"/>
        <rFont val="Arial"/>
        <family val="2"/>
      </rPr>
      <t xml:space="preserve"> (or </t>
    </r>
    <r>
      <rPr>
        <b/>
        <sz val="9"/>
        <rFont val="Arial"/>
        <family val="2"/>
      </rPr>
      <t>Form 1040NR, line 13</t>
    </r>
    <r>
      <rPr>
        <sz val="9"/>
        <rFont val="Arial"/>
        <family val="2"/>
      </rPr>
      <t xml:space="preserve">) and on </t>
    </r>
    <r>
      <rPr>
        <b/>
        <sz val="9"/>
        <rFont val="Arial"/>
        <family val="2"/>
      </rPr>
      <t>Schedule SE, line 2</t>
    </r>
    <r>
      <rPr>
        <sz val="9"/>
        <rFont val="Arial"/>
        <family val="2"/>
      </rPr>
      <t>.</t>
    </r>
  </si>
  <si>
    <r>
      <t xml:space="preserve">(If you checked the box on line 1, see instructions). Estates and trusts, enter on </t>
    </r>
    <r>
      <rPr>
        <b/>
        <sz val="9"/>
        <rFont val="Arial"/>
        <family val="2"/>
      </rPr>
      <t>Form 1041, line 3</t>
    </r>
    <r>
      <rPr>
        <sz val="9"/>
        <rFont val="Arial"/>
        <family val="2"/>
      </rPr>
      <t>.</t>
    </r>
  </si>
  <si>
    <r>
      <t xml:space="preserve">• If you checked 32a, enter the loss on both </t>
    </r>
    <r>
      <rPr>
        <b/>
        <sz val="9"/>
        <rFont val="Arial"/>
        <family val="2"/>
      </rPr>
      <t>Form 1040, line 12</t>
    </r>
    <r>
      <rPr>
        <sz val="9"/>
        <rFont val="Arial"/>
        <family val="2"/>
      </rPr>
      <t xml:space="preserve">, (or </t>
    </r>
    <r>
      <rPr>
        <b/>
        <sz val="9"/>
        <rFont val="Arial"/>
        <family val="2"/>
      </rPr>
      <t>Form 1040NR, line 13</t>
    </r>
    <r>
      <rPr>
        <sz val="9"/>
        <rFont val="Arial"/>
        <family val="2"/>
      </rPr>
      <t>) and</t>
    </r>
  </si>
  <si>
    <r>
      <t>on</t>
    </r>
    <r>
      <rPr>
        <b/>
        <sz val="9"/>
        <rFont val="Arial"/>
        <family val="2"/>
      </rPr>
      <t xml:space="preserve"> Schedule SE, line 2</t>
    </r>
    <r>
      <rPr>
        <sz val="9"/>
        <rFont val="Arial"/>
        <family val="2"/>
      </rPr>
      <t>.  (If you checked the box on line 1, see the line 31 instructions). Estates and</t>
    </r>
  </si>
  <si>
    <r>
      <t xml:space="preserve">• If you checked 32b, you </t>
    </r>
    <r>
      <rPr>
        <b/>
        <sz val="9"/>
        <rFont val="Arial"/>
        <family val="2"/>
      </rPr>
      <t>must</t>
    </r>
    <r>
      <rPr>
        <sz val="9"/>
        <rFont val="Arial"/>
        <family val="2"/>
      </rPr>
      <t xml:space="preserve"> attach </t>
    </r>
    <r>
      <rPr>
        <b/>
        <sz val="9"/>
        <rFont val="Arial"/>
        <family val="2"/>
      </rPr>
      <t>Form 6198</t>
    </r>
    <r>
      <rPr>
        <sz val="9"/>
        <rFont val="Arial"/>
        <family val="2"/>
      </rPr>
      <t>. Your loss may be limited.</t>
    </r>
  </si>
  <si>
    <r>
      <t xml:space="preserve">• If a loss, you </t>
    </r>
    <r>
      <rPr>
        <b/>
        <sz val="9"/>
        <rFont val="Arial"/>
        <family val="2"/>
      </rPr>
      <t>must</t>
    </r>
    <r>
      <rPr>
        <sz val="9"/>
        <rFont val="Arial"/>
        <family val="2"/>
      </rPr>
      <t xml:space="preserve"> go to line 32.</t>
    </r>
  </si>
  <si>
    <t>Updated for 2014.</t>
  </si>
  <si>
    <r>
      <t>Schedule C</t>
    </r>
    <r>
      <rPr>
        <sz val="9"/>
        <rFont val="Arial"/>
        <family val="2"/>
      </rPr>
      <t xml:space="preserve"> or </t>
    </r>
    <r>
      <rPr>
        <b/>
        <sz val="9"/>
        <rFont val="Arial"/>
        <family val="2"/>
      </rPr>
      <t>C-EZ</t>
    </r>
    <r>
      <rPr>
        <sz val="9"/>
        <rFont val="Arial"/>
        <family val="2"/>
      </rPr>
      <t xml:space="preserve"> (see instructions). If you are an individual, report farm rental income or loss from </t>
    </r>
    <r>
      <rPr>
        <b/>
        <sz val="9"/>
        <rFont val="Arial"/>
        <family val="2"/>
      </rPr>
      <t>Form 4835</t>
    </r>
    <r>
      <rPr>
        <sz val="9"/>
        <rFont val="Arial"/>
        <family val="2"/>
      </rPr>
      <t xml:space="preserve"> on page 2, line 40.</t>
    </r>
  </si>
  <si>
    <r>
      <t xml:space="preserve">Deductible rental real estate loss after limitation, if any, 
on </t>
    </r>
    <r>
      <rPr>
        <b/>
        <sz val="9"/>
        <rFont val="Arial"/>
        <family val="2"/>
      </rPr>
      <t>Form 8582</t>
    </r>
    <r>
      <rPr>
        <sz val="9"/>
        <rFont val="Arial"/>
        <family val="2"/>
      </rPr>
      <t xml:space="preserve"> (see instructions) </t>
    </r>
    <r>
      <rPr>
        <b/>
        <sz val="9"/>
        <rFont val="Arial"/>
        <family val="2"/>
      </rPr>
      <t xml:space="preserve"> .   .   .   .   .   .   .   .   .   .   .   .</t>
    </r>
  </si>
  <si>
    <t>For Paperwork Reduction Act Notice, see the separate instructions.</t>
  </si>
  <si>
    <t>Sch. F</t>
  </si>
  <si>
    <t>Added new Schedule F, Farm Income.  (2013 version)</t>
  </si>
  <si>
    <t>Sch. C</t>
  </si>
  <si>
    <t>Sch. E (1)</t>
  </si>
  <si>
    <t>Are you reporting any loss not allowed in a prior year due to the at-risk, excess farm loss, or basis limitations, a prior year</t>
  </si>
  <si>
    <t>unallowed loss from a passive activity (if that loss was not reported on Form 8582), or unreimbursed partnership expenses? If</t>
  </si>
  <si>
    <t>you answered “Yes,” see instructions before completing this section.</t>
  </si>
  <si>
    <r>
      <rPr>
        <b/>
        <sz val="8"/>
        <rFont val="Arial"/>
        <family val="2"/>
      </rPr>
      <t>(i)</t>
    </r>
    <r>
      <rPr>
        <sz val="8"/>
        <rFont val="Arial"/>
        <family val="2"/>
      </rPr>
      <t xml:space="preserve"> Section 179 expense deduction from </t>
    </r>
    <r>
      <rPr>
        <b/>
        <sz val="8"/>
        <rFont val="Arial"/>
        <family val="2"/>
      </rPr>
      <t>Form 4552</t>
    </r>
  </si>
  <si>
    <r>
      <t>V; and Schedule K-1 (Form 1041), line 14, code F (see instructions)</t>
    </r>
    <r>
      <rPr>
        <b/>
        <sz val="10"/>
        <rFont val="Arial"/>
        <family val="2"/>
      </rPr>
      <t xml:space="preserve"> .   .   .   .   .   .   .   .</t>
    </r>
  </si>
  <si>
    <r>
      <t xml:space="preserve"> </t>
    </r>
    <r>
      <rPr>
        <b/>
        <sz val="7"/>
        <rFont val="Marlett"/>
        <charset val="2"/>
      </rPr>
      <t>4</t>
    </r>
    <r>
      <rPr>
        <b/>
        <sz val="7"/>
        <rFont val="Arial"/>
        <family val="2"/>
      </rPr>
      <t xml:space="preserve"> Information about Schedule B and its instructions is at </t>
    </r>
    <r>
      <rPr>
        <b/>
        <i/>
        <sz val="7"/>
        <rFont val="Arial"/>
        <family val="2"/>
      </rPr>
      <t>www.irs.gov/scheduleb</t>
    </r>
    <r>
      <rPr>
        <b/>
        <sz val="7"/>
        <rFont val="Arial"/>
        <family val="2"/>
      </rPr>
      <t>.</t>
    </r>
  </si>
  <si>
    <t>Accounts (FBAR), to report that financial interest or signature authority? See FinCEN Form 114</t>
  </si>
  <si>
    <t>and its instructions for filing requirements and exceptions to those requirements</t>
  </si>
  <si>
    <t xml:space="preserve">.   .   .   .   .   .   .   .   .   .   .   .   </t>
  </si>
  <si>
    <t>Sch. B</t>
  </si>
  <si>
    <t>Before you check Box A, B, or C below, see whether you received any Form(s) 1099-B or substitute statement(s) from your broker. A substitute 
statement will have the same information as Form 1099-B. Either may show your basis (usually your cost) even if your broker did not report it to the IRS. 
Brokers must report basis to the IRS for most stock you bought in 2011 or later (and for certain debt instruments you bought in 2014 or later).</t>
  </si>
  <si>
    <t>1 year or less</t>
  </si>
  <si>
    <t>Before you check Box D, E, or F below, see whether you received any Form(s) 1099-B or substitute statement(s) from your broker. A substitute 
statement will have the same information as Form 1099-B. Either may show your basis (usually your cost) even if your broker did not report it to the IRS. 
Brokers must report basis to the IRS for most stock you bought in 2011 or later (and for certain debt instruments you bought in 2014 or later).</t>
  </si>
  <si>
    <t>more than 1 year</t>
  </si>
  <si>
    <t>File with your Schedule D to list your transactions for lines 1b, 2, 3, 8b, 9, and 10 of Schedule D.</t>
  </si>
  <si>
    <r>
      <t xml:space="preserve">Information about Form 8949 and its separate instructions is at </t>
    </r>
    <r>
      <rPr>
        <b/>
        <i/>
        <sz val="8"/>
        <rFont val="Arial"/>
        <family val="2"/>
      </rPr>
      <t>www.irs.gov/form8949</t>
    </r>
    <r>
      <rPr>
        <b/>
        <sz val="8"/>
        <rFont val="Arial"/>
        <family val="2"/>
      </rPr>
      <t>.</t>
    </r>
  </si>
  <si>
    <t>Form 8949A,B, C</t>
  </si>
  <si>
    <t xml:space="preserve">.   .   .   .   .   .   .   .   .   .   .   .   .   .   .   .   .   .   .   .   </t>
  </si>
  <si>
    <t xml:space="preserve">.   .   .   .   .   .   .   .   .   .   .   .   .   .   .   .   .   .   .   .   .   .   .   .   .   .   .   .   .   .   .   .   .   </t>
  </si>
  <si>
    <t xml:space="preserve">.   .   .   .   .   .   .   .   .   .   .   .   .   .   .   .   .   .   </t>
  </si>
  <si>
    <t>.   .   .   .   .   .   .   .   .   .   .   .   .   .   .   .   .   .   .   .   .   .   .   .   .   .   .   .   .   .   .</t>
  </si>
  <si>
    <t>Subtract line 29 from line 28. If more than zero, go to line 31. If zero or less, enter -0- here and on lines 31, 33,</t>
  </si>
  <si>
    <t>and 35 and go to line 34</t>
  </si>
  <si>
    <t>refigure that tax without using Schedule J before completing this line (see instructions)</t>
  </si>
  <si>
    <t>Add Form 1040, line 44 (minus any tax from Form 4972), and Form 1040, line 46. Subtract from the result any</t>
  </si>
  <si>
    <t>foreign tax credit from Form 1040, line 48. If you used Schedule J to figure your tax on Form 1040, line 44,</t>
  </si>
  <si>
    <r>
      <t xml:space="preserve">AMT. </t>
    </r>
    <r>
      <rPr>
        <sz val="9"/>
        <rFont val="Arial"/>
        <family val="2"/>
      </rPr>
      <t>Subtract line 34 from line 33. If zero or less, enter -0-.  Enter here and on Form 1040, Line 45.</t>
    </r>
  </si>
  <si>
    <t>line 3 of the worksheet on page 9 of the instructions</t>
  </si>
  <si>
    <t>If you are filing Form 2555 or 2555-EZ, see instructions for the amount to enter</t>
  </si>
  <si>
    <t>Enter the amount from line 6 of the Qualified Dividends and Capital Gain Tax Worksheet in the instructions</t>
  </si>
  <si>
    <t>for Form 1040, line 44, or the amount from line 13 of the Schedule D Tax Worksheet in the instructions for</t>
  </si>
  <si>
    <t>Schedule D (Form 1040), whichever applies (as refigured for the AMT, if necessary) (see instructions). If</t>
  </si>
  <si>
    <t>you are filing Form 2555 or 2555-EZ, see instructions for the amount to enter</t>
  </si>
  <si>
    <t>Enter the amount from Schedule D (Form 1040), line 19 (as refigured for the AMT, if necessary)(see instructions)</t>
  </si>
  <si>
    <t>If you did not complete a Schedule D Tax Worksheet for the regular tax or the AMT, enter the amount</t>
  </si>
  <si>
    <t>from line 37. Otherwise, add lines 37 and 38, and enter the smaller of that result or the amount from line</t>
  </si>
  <si>
    <t>10 of the Schedule D Tax Worksheet (as refigured for the AMT, if necessary). If you are filing Form 2555 or</t>
  </si>
  <si>
    <t>Enter the amount from line 7 of the Qualified Dividends and Capital Gain Tax Worksheet in the instructions</t>
  </si>
  <si>
    <t>for Form 1040, line 44, or the amount from line 14 of the Schedule D Tax Worksheet in the instructions for</t>
  </si>
  <si>
    <t>Schedule D (Form 1040), whichever applies (as figured for the regular tax). If you did not complete either</t>
  </si>
  <si>
    <t>worksheet for the regular tax, enter the amount from Form 1040, line 43; if zero or less, enter -0-. If you</t>
  </si>
  <si>
    <t>are filing Form 2555 or 2555-EZ, see instructions for the amount to enter</t>
  </si>
  <si>
    <t>for Form 1040, line 44, or the amount from line 19 of the Schedule D Tax Worksheet, whichever applies</t>
  </si>
  <si>
    <t>(as figured for the regular tax). If you did not complete either worksheet for the regular tax, enter the</t>
  </si>
  <si>
    <t>amount from Form 1040, line 43; if zero or less, enter -0-. If you are filing Form 2555 or Form 2555-EZ,</t>
  </si>
  <si>
    <t>see instructions for the amount to enter</t>
  </si>
  <si>
    <t xml:space="preserve">.   .   .   .   .   .   .   .   .   .   .   .   .   .   .   .   .   .   .   .   .   .   .   .   . </t>
  </si>
  <si>
    <t>IRS Use Only—Do not write or staple in this space.</t>
  </si>
  <si>
    <t>Department of the Treasury––Internal Revenue Service      (99)</t>
  </si>
  <si>
    <t xml:space="preserve"> (see instructions)</t>
  </si>
  <si>
    <r>
      <t xml:space="preserve">People who check any box on line 39a or 39b </t>
    </r>
    <r>
      <rPr>
        <b/>
        <sz val="8"/>
        <rFont val="Arial"/>
        <family val="2"/>
      </rPr>
      <t>or</t>
    </r>
    <r>
      <rPr>
        <sz val="8"/>
        <rFont val="Arial"/>
        <family val="2"/>
      </rPr>
      <t xml:space="preserve"> 
who can be claimed as a dependent, 
see instructions.</t>
    </r>
  </si>
  <si>
    <t>Excess advance premium tax credit repayment. Attach Form 8962</t>
  </si>
  <si>
    <t xml:space="preserve">.   .   .   .   .   .   .   .   .   .   .   .   .   .   .  </t>
  </si>
  <si>
    <t xml:space="preserve">.   .   .   .   .   .   .   .   .   .   .   .   .   .   .   .   .   .   .   .   .   .   .   .   .   .   .   .   .   .   .   .  </t>
  </si>
  <si>
    <r>
      <t xml:space="preserve">Other credits from Form:   </t>
    </r>
    <r>
      <rPr>
        <b/>
        <sz val="9"/>
        <rFont val="Arial"/>
        <family val="2"/>
      </rPr>
      <t>a</t>
    </r>
  </si>
  <si>
    <t>Health care: individual responsibility (see instructions)</t>
  </si>
  <si>
    <t>Full-year coverage</t>
  </si>
  <si>
    <t>Additional child tax credit.  Attach form 8812</t>
  </si>
  <si>
    <t>Net premium tax credit. Attach Form 8962</t>
  </si>
  <si>
    <t>www.irs.gov/form1040</t>
  </si>
  <si>
    <t>Updated for 2014.  (Except for tax tables and tax calculations.)</t>
  </si>
  <si>
    <t>Sch. A</t>
  </si>
  <si>
    <t>Updated for 2014.  (Except for Itemized Deduction Worksheet -- Line 29)</t>
  </si>
  <si>
    <t>Tax Table</t>
  </si>
  <si>
    <t>Tax Formulas</t>
  </si>
  <si>
    <t>Updated deduction worksheets for 2014.</t>
  </si>
  <si>
    <t>If filing Form 4952 (used to figure investment</t>
  </si>
  <si>
    <t>interest expense deduction), enter any amount from</t>
  </si>
  <si>
    <r>
      <t xml:space="preserve">line 4g of that form. Otherwise, enter -0- </t>
    </r>
    <r>
      <rPr>
        <b/>
        <sz val="9"/>
        <rFont val="Arial"/>
        <family val="2"/>
      </rPr>
      <t>.    .    .    .    .    .    .    .</t>
    </r>
  </si>
  <si>
    <t>Line 44</t>
  </si>
  <si>
    <t>Line 16</t>
  </si>
  <si>
    <t>Check here if the</t>
  </si>
  <si>
    <t>Line 10</t>
  </si>
  <si>
    <r>
      <t xml:space="preserve">as nondeductible contributions.   </t>
    </r>
    <r>
      <rPr>
        <b/>
        <i/>
        <sz val="10"/>
        <rFont val="Arial"/>
        <family val="2"/>
      </rPr>
      <t>Do not</t>
    </r>
    <r>
      <rPr>
        <i/>
        <sz val="10"/>
        <rFont val="Arial"/>
        <family val="2"/>
      </rPr>
      <t xml:space="preserve"> complete this worksheet for anyone age 70½ or older at the end of</t>
    </r>
  </si>
  <si>
    <t>Be sure you have read the 11-item list in the instructions for this line. You may not be able to use this worksheet.</t>
  </si>
  <si>
    <r>
      <t xml:space="preserve">Retirement </t>
    </r>
    <r>
      <rPr>
        <i/>
        <sz val="10"/>
        <rFont val="Arial"/>
        <family val="2"/>
      </rPr>
      <t>Plan?</t>
    </r>
    <r>
      <rPr>
        <sz val="10"/>
        <rFont val="Arial"/>
        <family val="2"/>
      </rPr>
      <t>)?</t>
    </r>
  </si>
  <si>
    <t xml:space="preserve">.   .   .   .   .   .   .   .   .   .   .   .   .   .   .   .   .   .   .   .   .   .   .   .   .   .   </t>
  </si>
  <si>
    <r>
      <t xml:space="preserve">   year, you may be able to reduce the taxable amount. See </t>
    </r>
    <r>
      <rPr>
        <sz val="10"/>
        <rFont val="Arial"/>
        <family val="2"/>
      </rPr>
      <t>Lump-Sum Election</t>
    </r>
    <r>
      <rPr>
        <i/>
        <sz val="10"/>
        <rFont val="Arial"/>
        <family val="2"/>
      </rPr>
      <t xml:space="preserve"> in Pub. 915 for details.</t>
    </r>
  </si>
  <si>
    <t>Line 20</t>
  </si>
  <si>
    <t>Figure the amount of any credits you are claiming on Form 5695, Part II, line 30;</t>
  </si>
  <si>
    <t xml:space="preserve">  You cannot take the child tax credit on Form 1040, line 52,</t>
  </si>
  <si>
    <t xml:space="preserve">  Form 1040A, line 35, or Form 1040NR, line 49. You also cannot take</t>
  </si>
  <si>
    <t xml:space="preserve">  the additional child tax credit on Form 1040, line 67, Form 1040A,</t>
  </si>
  <si>
    <t xml:space="preserve">  line 43, or Form 1040NR, line 64. Complete the rest of your</t>
  </si>
  <si>
    <t>Enter the amount from Form 1040, line 47, Form 1040A, line 30, or</t>
  </si>
  <si>
    <t>Form 1040NR, line 45.</t>
  </si>
  <si>
    <t>Line 51</t>
  </si>
  <si>
    <t>Line 33</t>
  </si>
  <si>
    <t>Line 34</t>
  </si>
  <si>
    <t xml:space="preserve">  Form 1040, line 67, Form 1040A, line 43, or Form 1040NR,</t>
  </si>
  <si>
    <t xml:space="preserve">  line 64 only if you answered “Yes” on line 13.</t>
  </si>
  <si>
    <t>First, complete your Form 1040 through line 66a (also</t>
  </si>
  <si>
    <t>complete line 71), Form 1040A through line 42a, or Form</t>
  </si>
  <si>
    <t>1040NR through line 63 (also complete line 67).</t>
  </si>
  <si>
    <t>ü</t>
  </si>
  <si>
    <r>
      <rPr>
        <b/>
        <sz val="10"/>
        <rFont val="Arial"/>
        <family val="2"/>
      </rPr>
      <t>1040  filers.</t>
    </r>
    <r>
      <rPr>
        <sz val="10"/>
        <rFont val="Arial"/>
        <family val="2"/>
      </rPr>
      <t xml:space="preserve"> Complete lines 58, 66a, and 71 of your return if they apply to you.</t>
    </r>
  </si>
  <si>
    <t>If line 4 above is zero, enter the amount from line 1 above on line 12 of this worksheet.</t>
  </si>
  <si>
    <t>the Child Tax Credit Worksheet and do the following. Enter the amount</t>
  </si>
  <si>
    <t>Do not complete the rest of this worksheet. Instead, go back to</t>
  </si>
  <si>
    <t>from line 10 on line 11, and complete lines 12 and 13.</t>
  </si>
  <si>
    <t>If line 4 above is more than zero, leave lines 6 through 9 blank, enter -0-</t>
  </si>
  <si>
    <t>on line 10, and go to line 11.</t>
  </si>
  <si>
    <t>Amounts from Form 1040, lines 27 and 58, and</t>
  </si>
  <si>
    <t>Form 1040, lines 66a and 71.</t>
  </si>
  <si>
    <r>
      <rPr>
        <b/>
        <sz val="10"/>
        <rFont val="Arial"/>
        <family val="2"/>
      </rPr>
      <t xml:space="preserve">1040  filers. </t>
    </r>
    <r>
      <rPr>
        <sz val="10"/>
        <rFont val="Arial"/>
        <family val="2"/>
      </rPr>
      <t xml:space="preserve"> Enter the total of the amounts from</t>
    </r>
  </si>
  <si>
    <t>© Glenn Reeves, 2015</t>
  </si>
  <si>
    <t>Enter as a positive number the total of:</t>
  </si>
  <si>
    <t>Any section 1202 exclusion you reported in column (g) of Form 8949,</t>
  </si>
  <si>
    <t>Part II, with code “Q” in column (f), for which you excluded 50% of the gain;</t>
  </si>
  <si>
    <t>2/3 of any section 1202 exclusion you reported in column (g) of Form</t>
  </si>
  <si>
    <t>8949, Part II, with code “Q” in column (f), for which you excluded 60% of the gain; and</t>
  </si>
  <si>
    <t>1/3 of any section 1202 exclusion you reported in column (g) of Form</t>
  </si>
  <si>
    <t>8949, Part II, with code “Q” in column (f), for which you excluded 75% of the gain.</t>
  </si>
  <si>
    <r>
      <t>than zero); Form 6252; Form 6781, Part II; and Form 8824</t>
    </r>
    <r>
      <rPr>
        <b/>
        <sz val="9"/>
        <rFont val="Arial"/>
        <family val="2"/>
      </rPr>
      <t xml:space="preserve">.   .   .   .   .   .   .   .   .   .   .   .   .   .   .   .   .   .   .   .   .   .   .   .   .   </t>
    </r>
  </si>
  <si>
    <t>Enter the total of all collectibles gain or (loss) from Form 4684, line 4 (but only if Form 4684, line 15, is more</t>
  </si>
  <si>
    <t>Sch. D</t>
  </si>
  <si>
    <t>Sch. D WS</t>
  </si>
  <si>
    <r>
      <t xml:space="preserve">Enter the home mortgage interest adjustment, if any, from line 6 of the worksheet in the instructions for this line   </t>
    </r>
    <r>
      <rPr>
        <b/>
        <sz val="10"/>
        <rFont val="Arial"/>
        <family val="2"/>
      </rPr>
      <t>.   .   .   .</t>
    </r>
  </si>
  <si>
    <t>Add line 50 and line 51</t>
  </si>
  <si>
    <t>Subtract line 52 from line 49. If zero or less, enter -0-</t>
  </si>
  <si>
    <t>Enter the smaller of line 48 or line 53</t>
  </si>
  <si>
    <t>Add lines 47 and 54</t>
  </si>
  <si>
    <t>If lines 56 and 36 are the same, skip lines 57 through 61 and go to line 62. Otherwise, go to line 57.</t>
  </si>
  <si>
    <t>Subtract line 56 from line 46</t>
  </si>
  <si>
    <t>If line 38 is zero or blank, skip lines 59 through 61 and go to line 62. Otherwise, go to line 59.</t>
  </si>
  <si>
    <t>Add lines 41, 56, and 57</t>
  </si>
  <si>
    <t>Subtract line 59 from line 36</t>
  </si>
  <si>
    <t>Add lines 42, 55, 58, and 61</t>
  </si>
  <si>
    <r>
      <t xml:space="preserve">Enter the </t>
    </r>
    <r>
      <rPr>
        <b/>
        <sz val="9"/>
        <rFont val="Arial"/>
        <family val="2"/>
      </rPr>
      <t>smaller</t>
    </r>
    <r>
      <rPr>
        <sz val="9"/>
        <rFont val="Arial"/>
        <family val="2"/>
      </rPr>
      <t xml:space="preserve"> of line 62 or line 63 here and on line 31. If you are filing Form 2555 or 2555-EZ, do not</t>
    </r>
  </si>
  <si>
    <r>
      <t xml:space="preserve">Enter the </t>
    </r>
    <r>
      <rPr>
        <b/>
        <sz val="9"/>
        <rFont val="Arial"/>
        <family val="2"/>
      </rPr>
      <t>smaller</t>
    </r>
    <r>
      <rPr>
        <sz val="9"/>
        <rFont val="Arial"/>
        <family val="2"/>
      </rPr>
      <t xml:space="preserve"> of line 45 or line 46. This amount is taxed at 0%</t>
    </r>
  </si>
  <si>
    <t xml:space="preserve">  .   .   .   .   .   .   .   .   .   .   .   .   .   .   .   .   .   .   .   .   .   .</t>
  </si>
  <si>
    <t xml:space="preserve">  .   .   .   .   .   .   .   .   .   .   .   .   .   .   .   .   .   .   .   .   .   .   .   .   .</t>
  </si>
  <si>
    <t>Worksheet To See if You Should Fill in Form 6251—Line 45</t>
  </si>
  <si>
    <t>Are you filing Schedule A?</t>
  </si>
  <si>
    <t>Skip lines 1 through 3; enter on line 4 the amount from Form 1040, line 38, and go to line 5</t>
  </si>
  <si>
    <t>Enter the amount from Form 1040, line 41</t>
  </si>
  <si>
    <t>Enter the total of the amounts from Schedule A, lines 9 and 27</t>
  </si>
  <si>
    <t>Enter any tax refund from Form 1040, lines 10 and 21</t>
  </si>
  <si>
    <t>If you completed the Itemized Deductions Worksheet in the Instructions for Schedule A, enter the amount from</t>
  </si>
  <si>
    <t>line 9 of that worksheet</t>
  </si>
  <si>
    <t>Add lines 5 and 6</t>
  </si>
  <si>
    <t>Subtract line 7 from line 4</t>
  </si>
  <si>
    <t>Enter the amount shown below for your filing status</t>
  </si>
  <si>
    <t>Is the amount on line 8 more than the amount on line 9?</t>
  </si>
  <si>
    <t>You do not need to fill in Form 6251. Do not complete the rest of this worksheet.</t>
  </si>
  <si>
    <t>Subtract line 9 from line 8</t>
  </si>
  <si>
    <t>Is the amount on line 8 more than the amount on line 11?</t>
  </si>
  <si>
    <t>Enter -0-. Skip line 13. Enter on line 14 the amount from line 10, and go to line 15.</t>
  </si>
  <si>
    <t>Subtract line 11 from line 8</t>
  </si>
  <si>
    <t>Add lines 10 and 13</t>
  </si>
  <si>
    <t>Fill in Form 6251 to see if you owe the alternative minimum tax.</t>
  </si>
  <si>
    <t>Add Form 1040, line 44 (minus any tax from Form 4972), and Form 1040, line 46. (If you used Schedule J to figure</t>
  </si>
  <si>
    <t>your tax on Form 1040, line 44, refigure that tax without using Schedule J before including it in this</t>
  </si>
  <si>
    <t>calculation)</t>
  </si>
  <si>
    <t>Next. Is the amount on line 15 more than the amount on line 16?</t>
  </si>
  <si>
    <t>You do not owe alternative minimum tax and do not need to fill out Form 6251. Leave line 45 blank.</t>
  </si>
  <si>
    <t>Be sure you have read the Exception in the instructions for this line to see if you must fill in</t>
  </si>
  <si>
    <t>Form 6251 instead of using this worksheet.</t>
  </si>
  <si>
    <t xml:space="preserve">If you or your spouse was age 65 or older, enter the smaller of the amount on Schedule A, line 4, or </t>
  </si>
  <si>
    <r>
      <t xml:space="preserve">Portion of Line 21 attributed to tax refund  </t>
    </r>
    <r>
      <rPr>
        <b/>
        <sz val="10"/>
        <rFont val="Arial"/>
        <family val="2"/>
      </rPr>
      <t>↑</t>
    </r>
  </si>
  <si>
    <r>
      <t xml:space="preserve">Tax from Form 4972  </t>
    </r>
    <r>
      <rPr>
        <b/>
        <sz val="10"/>
        <rFont val="Arial"/>
        <family val="2"/>
      </rPr>
      <t>↑</t>
    </r>
  </si>
  <si>
    <t xml:space="preserve">Does Form 6251 need to be completed?    →  </t>
  </si>
  <si>
    <r>
      <rPr>
        <sz val="8"/>
        <rFont val="Arial"/>
        <family val="2"/>
      </rPr>
      <t xml:space="preserve">3800       </t>
    </r>
    <r>
      <rPr>
        <b/>
        <sz val="8"/>
        <rFont val="Arial"/>
        <family val="2"/>
      </rPr>
      <t>b</t>
    </r>
  </si>
  <si>
    <r>
      <t xml:space="preserve">  </t>
    </r>
    <r>
      <rPr>
        <b/>
        <sz val="9"/>
        <rFont val="Marlett"/>
        <charset val="2"/>
      </rPr>
      <t>4</t>
    </r>
    <r>
      <rPr>
        <b/>
        <sz val="9"/>
        <rFont val="Arial"/>
        <family val="2"/>
      </rPr>
      <t xml:space="preserve">  Information about Form 8959 and its instructions is at </t>
    </r>
    <r>
      <rPr>
        <b/>
        <i/>
        <sz val="9"/>
        <rFont val="Arial"/>
        <family val="2"/>
      </rPr>
      <t>www.irs.gov/form8959</t>
    </r>
    <r>
      <rPr>
        <b/>
        <sz val="9"/>
        <rFont val="Arial"/>
        <family val="2"/>
      </rPr>
      <t>.</t>
    </r>
  </si>
  <si>
    <t>Add lines 7, 13, and 17. Also include this amount on Form 1040, line 62, (Form 1040NR,</t>
  </si>
  <si>
    <t>amount with federal income tax withholding on Form 1040, line 64 (Form 1040NR, 1040-PR,</t>
  </si>
  <si>
    <t>Section 6013(h) election (see instructions)</t>
  </si>
  <si>
    <t>Name(s) shown on your tax return</t>
  </si>
  <si>
    <t>Taxable interest (see instructions)</t>
  </si>
  <si>
    <t>Ordinary dividends (see instructions)</t>
  </si>
  <si>
    <t>Annuities (see instructions)</t>
  </si>
  <si>
    <t xml:space="preserve">.   .   .   .   .   .   .   .   .   .   .   .   .   .   .   .   .   .   .   .   .   .   .   .   .   .   .   . </t>
  </si>
  <si>
    <t>etc. (see instructions)</t>
  </si>
  <si>
    <t>Net gain or loss from disposition of property (see instructions)</t>
  </si>
  <si>
    <t>stock (see instructions)</t>
  </si>
  <si>
    <r>
      <rPr>
        <b/>
        <sz val="9"/>
        <rFont val="Arial"/>
        <family val="2"/>
      </rPr>
      <t>Enter here and include on your tax return</t>
    </r>
    <r>
      <rPr>
        <sz val="9"/>
        <rFont val="Arial"/>
        <family val="2"/>
      </rPr>
      <t xml:space="preserve"> (see instructions)</t>
    </r>
  </si>
  <si>
    <t>Entire spreadsheet</t>
  </si>
  <si>
    <t>Initial publication.</t>
  </si>
  <si>
    <t>Removed checkmark from cell AK28 that affected Line 6b.  Thank you, Anthony W.</t>
  </si>
  <si>
    <r>
      <t xml:space="preserve">  *</t>
    </r>
    <r>
      <rPr>
        <b/>
        <i/>
        <sz val="9"/>
        <rFont val="Arial"/>
        <family val="2"/>
      </rPr>
      <t>Earned income</t>
    </r>
    <r>
      <rPr>
        <i/>
        <sz val="9"/>
        <rFont val="Arial"/>
        <family val="2"/>
      </rPr>
      <t xml:space="preserve"> includes wages, salaries, tips, professional fees, and other compensation received for personal services you performed. It</t>
    </r>
  </si>
  <si>
    <t xml:space="preserve">    also includes any taxable scholarship or fellowship grant. Generally, your earned income is the total of the amount(s) you reported on Form</t>
  </si>
  <si>
    <t xml:space="preserve">   1040, lines 7, 12, and 18, minus the amount, if any, on line 27.</t>
  </si>
  <si>
    <t>Form 1040, line 52,</t>
  </si>
  <si>
    <t>Corrected logic for Line 3 to show when 2013 filing status is checked. 
Thank you, Jehan K.</t>
  </si>
  <si>
    <t>Updated Part III, Line 49, for 2014.  Thank you, David B.</t>
  </si>
  <si>
    <t>Corrected Part III, Line 49, to reflect correct amounts for specified filing status.  
Thank you, David C.</t>
  </si>
  <si>
    <t>Corrected logic for Line 7 when 2013 filing status was "Married Filing Separately".</t>
  </si>
  <si>
    <t>Corrected calculation for Line 4.  Thank you, David C.</t>
  </si>
  <si>
    <t>Adjusted Gross Income</t>
  </si>
  <si>
    <t>Total Tax</t>
  </si>
  <si>
    <t>Form 1040, Line 37</t>
  </si>
  <si>
    <t>Form 1040, Line 43</t>
  </si>
  <si>
    <t>Total Payments/Credits</t>
  </si>
  <si>
    <t>Form 1040, Line 63</t>
  </si>
  <si>
    <t>Form 1040, Line 74</t>
  </si>
  <si>
    <t>SUMMARY</t>
  </si>
  <si>
    <t>Effective Tax Rate</t>
  </si>
  <si>
    <t>Total Tax / Taxable Income x 100</t>
  </si>
  <si>
    <t>Disclaimer</t>
  </si>
  <si>
    <t>Added summary information.  Thanks for the suggestion, Sanny E.</t>
  </si>
  <si>
    <r>
      <t xml:space="preserve">(4)       </t>
    </r>
    <r>
      <rPr>
        <sz val="8"/>
        <rFont val="Arial"/>
        <family val="2"/>
      </rPr>
      <t xml:space="preserve"> </t>
    </r>
    <r>
      <rPr>
        <sz val="7"/>
        <rFont val="Arial"/>
        <family val="2"/>
      </rPr>
      <t>if child under age 17</t>
    </r>
  </si>
  <si>
    <t>Fixed conditional formatting to Lines 7 through 22.  Thank you, Jim B.</t>
  </si>
  <si>
    <t>Single Family Residence</t>
  </si>
  <si>
    <t>Multi-Family Residence</t>
  </si>
  <si>
    <t>Vacation/Short-Term Rental</t>
  </si>
  <si>
    <t>Commercial</t>
  </si>
  <si>
    <t>Land</t>
  </si>
  <si>
    <t>Royalties</t>
  </si>
  <si>
    <t>Self-Rental</t>
  </si>
  <si>
    <t>Reworked to more-accurately reflect rental income vice royalties.  
Thank you, Joe H.</t>
  </si>
  <si>
    <t>Reworked error messages associated with birthdate entry to ensure it does not interfere with subsequent data entry.  Thank you, Cal S.</t>
  </si>
  <si>
    <t>8962</t>
  </si>
  <si>
    <t>Attach to Form 1040, 1040A, or 1040NR.</t>
  </si>
  <si>
    <t>Premium Tax Credit (PTC)</t>
  </si>
  <si>
    <t>Name shown on your return</t>
  </si>
  <si>
    <r>
      <t xml:space="preserve">Information about Form 8962 and its separate instructions is at </t>
    </r>
    <r>
      <rPr>
        <i/>
        <sz val="10"/>
        <rFont val="Arial"/>
        <family val="2"/>
      </rPr>
      <t>www.irs.gov/form8962</t>
    </r>
    <r>
      <rPr>
        <sz val="10"/>
        <rFont val="Arial"/>
        <family val="2"/>
      </rPr>
      <t>.</t>
    </r>
  </si>
  <si>
    <t>Part 1: Annual and Monthly Contribution Amount</t>
  </si>
  <si>
    <t>Family Size: Enter the number of exemptions from Form 1040 or Form 1040A, line 6d, or Form 1040NR, line 7d</t>
  </si>
  <si>
    <t>Modified AGI: Enter your modified</t>
  </si>
  <si>
    <t>AGI (see instructions)</t>
  </si>
  <si>
    <t>Enter total of your dependents' modified</t>
  </si>
  <si>
    <t>Household Income: Add the amounts on lines 2a and 2b</t>
  </si>
  <si>
    <t>Federal Poverty Line: Enter the federal poverty amount as determined by the family size on line 1 and the federal</t>
  </si>
  <si>
    <t>poverty table for your state of residence during the tax year (see instructions). Check the appropriate box for the</t>
  </si>
  <si>
    <t>federal poverty table used.</t>
  </si>
  <si>
    <t>Alaska</t>
  </si>
  <si>
    <t>Hawaii</t>
  </si>
  <si>
    <t>Other 48 states and DC</t>
  </si>
  <si>
    <t>Household Income as a Percentage of Federal Poverty Line: Divide line 3 by line 4. Enter the result rounded to a whole</t>
  </si>
  <si>
    <t>percentage. (For example, for 1.542 enter the result as 154, for 1.549 enter as 155.) (See instructions for special rules.)</t>
  </si>
  <si>
    <t>Yes. Continue to line 7.</t>
  </si>
  <si>
    <t>to report your Excess Advance PTC Repayment amount.</t>
  </si>
  <si>
    <r>
      <rPr>
        <b/>
        <sz val="10"/>
        <rFont val="Arial"/>
        <family val="2"/>
      </rPr>
      <t>No.</t>
    </r>
    <r>
      <rPr>
        <sz val="10"/>
        <rFont val="Arial"/>
        <family val="2"/>
      </rPr>
      <t xml:space="preserve"> You are not eligible to receive PTC. If you received advance payment of PTC, see the instructions for how</t>
    </r>
  </si>
  <si>
    <t>Applicable Figure: Using your line 5 percentage, locate your “applicable figure” on the table in the instructions</t>
  </si>
  <si>
    <t>Annual Contribution for Health Care:</t>
  </si>
  <si>
    <t>Multiply line 3 by line 7</t>
  </si>
  <si>
    <t>Monthly Contribution for Health Care: Divide</t>
  </si>
  <si>
    <t>line 8a by 12. Round to whole dollar amount</t>
  </si>
  <si>
    <t>Part 2: Premium Tax Credit Claim and Reconciliation of Advance Payment of Premium Tax Credit</t>
  </si>
  <si>
    <t>Did you share a policy with another taxpayer or get married during the year and want to use the alternative calculation? (see instructions)</t>
  </si>
  <si>
    <r>
      <rPr>
        <b/>
        <sz val="10"/>
        <rFont val="Arial"/>
        <family val="2"/>
      </rPr>
      <t>Yes.</t>
    </r>
    <r>
      <rPr>
        <sz val="10"/>
        <rFont val="Arial"/>
        <family val="2"/>
      </rPr>
      <t xml:space="preserve"> </t>
    </r>
    <r>
      <rPr>
        <sz val="9"/>
        <rFont val="Arial"/>
        <family val="2"/>
      </rPr>
      <t>Skip to Part 4, Shared Policy Allocation, or Part 5, Alternative Calculation for Year of Marriage.</t>
    </r>
  </si>
  <si>
    <t>No. Continue to line 10.</t>
  </si>
  <si>
    <t>Do all Forms 1095-A for your tax household include coverage for January through December with no changes in monthly amounts shown on lines 21–32, columns A and B?</t>
  </si>
  <si>
    <r>
      <rPr>
        <b/>
        <sz val="10"/>
        <rFont val="Arial"/>
        <family val="2"/>
      </rPr>
      <t>Yes.</t>
    </r>
    <r>
      <rPr>
        <sz val="10"/>
        <rFont val="Arial"/>
        <family val="2"/>
      </rPr>
      <t xml:space="preserve"> </t>
    </r>
    <r>
      <rPr>
        <b/>
        <sz val="10"/>
        <rFont val="Arial"/>
        <family val="2"/>
      </rPr>
      <t>Continue to line 11.</t>
    </r>
    <r>
      <rPr>
        <sz val="10"/>
        <rFont val="Arial"/>
        <family val="2"/>
      </rPr>
      <t xml:space="preserve"> Compute your annual PTC. Skip lines 12–23</t>
    </r>
  </si>
  <si>
    <t>and continue to line 24.</t>
  </si>
  <si>
    <r>
      <rPr>
        <b/>
        <sz val="10"/>
        <rFont val="Arial"/>
        <family val="2"/>
      </rPr>
      <t>No. Continue to lines 12–23.</t>
    </r>
    <r>
      <rPr>
        <sz val="10"/>
        <rFont val="Arial"/>
        <family val="2"/>
      </rPr>
      <t xml:space="preserve"> Compute</t>
    </r>
  </si>
  <si>
    <t>your monthly PTC and continue to line 24.</t>
  </si>
  <si>
    <t>Annual
Calculation</t>
  </si>
  <si>
    <r>
      <rPr>
        <b/>
        <sz val="10"/>
        <rFont val="Arial"/>
        <family val="2"/>
      </rPr>
      <t xml:space="preserve">A. </t>
    </r>
    <r>
      <rPr>
        <sz val="10"/>
        <rFont val="Arial"/>
        <family val="2"/>
      </rPr>
      <t>Premium
Amount (Form(s) 
1095-A, line 33A)</t>
    </r>
  </si>
  <si>
    <r>
      <rPr>
        <b/>
        <sz val="10"/>
        <rFont val="Arial"/>
        <family val="2"/>
      </rPr>
      <t xml:space="preserve">B. </t>
    </r>
    <r>
      <rPr>
        <sz val="10"/>
        <rFont val="Arial"/>
        <family val="2"/>
      </rPr>
      <t>Annual Premium
Amount of SLCSP 
(Form(s) 1095-A, line 
33B)</t>
    </r>
  </si>
  <si>
    <r>
      <rPr>
        <b/>
        <sz val="10"/>
        <rFont val="Arial"/>
        <family val="2"/>
      </rPr>
      <t>C.</t>
    </r>
    <r>
      <rPr>
        <sz val="10"/>
        <rFont val="Arial"/>
        <family val="2"/>
      </rPr>
      <t xml:space="preserve"> Annual 
Contribution Amount 
(Line 8a)</t>
    </r>
  </si>
  <si>
    <r>
      <rPr>
        <b/>
        <sz val="10"/>
        <rFont val="Arial"/>
        <family val="2"/>
      </rPr>
      <t>D.</t>
    </r>
    <r>
      <rPr>
        <sz val="10"/>
        <rFont val="Arial"/>
        <family val="2"/>
      </rPr>
      <t xml:space="preserve"> Annual Maximum 
Premium Assistance 
(Subtract C from B)</t>
    </r>
  </si>
  <si>
    <r>
      <rPr>
        <b/>
        <sz val="10"/>
        <rFont val="Arial"/>
        <family val="2"/>
      </rPr>
      <t>E.</t>
    </r>
    <r>
      <rPr>
        <sz val="10"/>
        <rFont val="Arial"/>
        <family val="2"/>
      </rPr>
      <t xml:space="preserve"> Annual Premium 
Tax Credit Allowed 
(Smaller of A or D)</t>
    </r>
  </si>
  <si>
    <r>
      <rPr>
        <b/>
        <sz val="10"/>
        <rFont val="Arial"/>
        <family val="2"/>
      </rPr>
      <t>F.</t>
    </r>
    <r>
      <rPr>
        <sz val="10"/>
        <rFont val="Arial"/>
        <family val="2"/>
      </rPr>
      <t xml:space="preserve"> Annual Advance 
Payment of PTC 
(Form(s) 1095-A, line 
33C)</t>
    </r>
  </si>
  <si>
    <t>Monthly
Calculation</t>
  </si>
  <si>
    <t>Annual totals</t>
  </si>
  <si>
    <t>January</t>
  </si>
  <si>
    <t>February</t>
  </si>
  <si>
    <t>March</t>
  </si>
  <si>
    <t>April</t>
  </si>
  <si>
    <t>16</t>
  </si>
  <si>
    <t>May</t>
  </si>
  <si>
    <t>17</t>
  </si>
  <si>
    <t>June</t>
  </si>
  <si>
    <t>18</t>
  </si>
  <si>
    <t>July</t>
  </si>
  <si>
    <t>19</t>
  </si>
  <si>
    <t>August</t>
  </si>
  <si>
    <t>20</t>
  </si>
  <si>
    <t>September</t>
  </si>
  <si>
    <t>21</t>
  </si>
  <si>
    <t>October</t>
  </si>
  <si>
    <t>22</t>
  </si>
  <si>
    <t>November</t>
  </si>
  <si>
    <t>23</t>
  </si>
  <si>
    <t>December</t>
  </si>
  <si>
    <t>24</t>
  </si>
  <si>
    <t>25</t>
  </si>
  <si>
    <t>26</t>
  </si>
  <si>
    <t>28</t>
  </si>
  <si>
    <t>29</t>
  </si>
  <si>
    <t>Total Premium Tax Credit: Enter the amount from line 11E or add lines 12E through 23E and enter the total here</t>
  </si>
  <si>
    <r>
      <rPr>
        <b/>
        <sz val="10"/>
        <rFont val="Arial"/>
        <family val="2"/>
      </rPr>
      <t xml:space="preserve">B. </t>
    </r>
    <r>
      <rPr>
        <sz val="10"/>
        <rFont val="Arial"/>
        <family val="2"/>
      </rPr>
      <t>Monthly Premium Amount of SLCSP (Form(s) 1095-A, lines 21–32, 
column B)</t>
    </r>
  </si>
  <si>
    <r>
      <rPr>
        <b/>
        <sz val="9"/>
        <rFont val="Arial"/>
        <family val="2"/>
      </rPr>
      <t>C.</t>
    </r>
    <r>
      <rPr>
        <sz val="9"/>
        <rFont val="Arial"/>
        <family val="2"/>
      </rPr>
      <t xml:space="preserve"> Monthly
Contribution Amount 
(Amount from line 8b 
or alternative marriage 
monthly contribution)</t>
    </r>
  </si>
  <si>
    <r>
      <rPr>
        <b/>
        <sz val="10"/>
        <rFont val="Arial"/>
        <family val="2"/>
      </rPr>
      <t>D.</t>
    </r>
    <r>
      <rPr>
        <sz val="10"/>
        <rFont val="Arial"/>
        <family val="2"/>
      </rPr>
      <t xml:space="preserve"> Monthly Maximum 
Premium Assistance
(Subtract C from B)</t>
    </r>
  </si>
  <si>
    <r>
      <rPr>
        <b/>
        <sz val="10"/>
        <rFont val="Arial"/>
        <family val="2"/>
      </rPr>
      <t>E.</t>
    </r>
    <r>
      <rPr>
        <sz val="10"/>
        <rFont val="Arial"/>
        <family val="2"/>
      </rPr>
      <t xml:space="preserve"> Monthly Premium 
Tax Credit Allowed 
(Smaller of A or D)</t>
    </r>
  </si>
  <si>
    <r>
      <rPr>
        <b/>
        <sz val="10"/>
        <rFont val="Arial"/>
        <family val="2"/>
      </rPr>
      <t>F.</t>
    </r>
    <r>
      <rPr>
        <sz val="10"/>
        <rFont val="Arial"/>
        <family val="2"/>
      </rPr>
      <t xml:space="preserve"> Monthly Advance 
Payment of PTC 
(Form(s) 1095-A,
lines 21–32, 
column C)</t>
    </r>
  </si>
  <si>
    <r>
      <rPr>
        <b/>
        <sz val="10"/>
        <rFont val="Arial"/>
        <family val="2"/>
      </rPr>
      <t xml:space="preserve">A. </t>
    </r>
    <r>
      <rPr>
        <sz val="10"/>
        <rFont val="Arial"/>
        <family val="2"/>
      </rPr>
      <t>Monthly 
Premium Amount 
(Form(s) 1095-A, 
lines 21–32, 
column A)</t>
    </r>
  </si>
  <si>
    <t>Advance Payment of PTC: Enter the amount from line 11F or add lines 12F through 23F and enter the total here</t>
  </si>
  <si>
    <t>Part 3: Repayment of Excess Advance Payment of the Premium Tax Credit</t>
  </si>
  <si>
    <t>Repayment Limitation: Using the percentage on line 5 and your filing status, locate the repayment limitation</t>
  </si>
  <si>
    <t>amount in the instructions. Enter the amount here</t>
  </si>
  <si>
    <t>Excess Advance Premium Tax Credit Repayment: Enter the smaller of line 27 or line 28 here and on Form 1040,</t>
  </si>
  <si>
    <t>line 46; Form 1040A, line 29; or Form 1040NR, line 44</t>
  </si>
  <si>
    <t>Cat. No. 37784Z</t>
  </si>
  <si>
    <r>
      <rPr>
        <sz val="8"/>
        <rFont val="Arial"/>
        <family val="2"/>
      </rPr>
      <t xml:space="preserve">Form </t>
    </r>
    <r>
      <rPr>
        <b/>
        <sz val="12"/>
        <rFont val="Arial"/>
        <family val="2"/>
      </rPr>
      <t>8962</t>
    </r>
  </si>
  <si>
    <t>Relief
(see instructions)</t>
  </si>
  <si>
    <t xml:space="preserve">Sequence No.  </t>
  </si>
  <si>
    <t xml:space="preserve">If line 24 equals line 25, enter zero. Stop here. If line 25 is greater than line 24, leave this line blank and continue to line 27.    </t>
  </si>
  <si>
    <t xml:space="preserve">1040, line 69; Form 1040A, line 45; or Form 1040NR, line 65. If you elected the alternative calculation for marriage, enter zero. </t>
  </si>
  <si>
    <t xml:space="preserve">Net Premium Tax Credit: If line 24 is greater than line 25, subtract line 25 from line 24. Enter the difference here and on Form </t>
  </si>
  <si>
    <t>Form 8962 (2014)</t>
  </si>
  <si>
    <t>Part 4: Shared Policy Allocation</t>
  </si>
  <si>
    <t>Complete the following information for up to four shared policy allocations. See instructions for allocation details.</t>
  </si>
  <si>
    <t>Shared Policy Allocation 1</t>
  </si>
  <si>
    <t>30</t>
  </si>
  <si>
    <t>Policy Number (Form 1095-A, line 2)</t>
  </si>
  <si>
    <t>SSN of taxpayer sharing allocation</t>
  </si>
  <si>
    <t>Allocation start month</t>
  </si>
  <si>
    <t>Allocation stop month</t>
  </si>
  <si>
    <t>Allocation percentage 
applied to monthly 
amounts</t>
  </si>
  <si>
    <t>e. Premium Percentage</t>
  </si>
  <si>
    <t>f. SLCSP Percentage</t>
  </si>
  <si>
    <t>g. Advance Payment of the PTC
Percentage</t>
  </si>
  <si>
    <t>31</t>
  </si>
  <si>
    <t>32</t>
  </si>
  <si>
    <t>33</t>
  </si>
  <si>
    <t>Shared Policy Allocation 2</t>
  </si>
  <si>
    <t>Shared Policy Allocation 3</t>
  </si>
  <si>
    <t>Shared Policy Allocation 4</t>
  </si>
  <si>
    <t>34</t>
  </si>
  <si>
    <t>Have you completed shared policy allocation information for all allocated Forms 1095-A?</t>
  </si>
  <si>
    <t>policies with amounts for non-allocated policies from Forms 1095-A, if any, to compute a combined total for each month. Enter the combined</t>
  </si>
  <si>
    <t>total for each month on lines 12–23, columns A, B, and F. Compute the amounts for lines 12–23, columns C–E, and continue to line 24.</t>
  </si>
  <si>
    <r>
      <t xml:space="preserve">No. </t>
    </r>
    <r>
      <rPr>
        <sz val="10"/>
        <rFont val="Arial"/>
        <family val="2"/>
      </rPr>
      <t xml:space="preserve">  See the instructions to report additional shared policy allocations.</t>
    </r>
  </si>
  <si>
    <r>
      <t xml:space="preserve">Yes.  </t>
    </r>
    <r>
      <rPr>
        <sz val="10"/>
        <rFont val="Arial"/>
        <family val="2"/>
      </rPr>
      <t>Multiply the amounts on Form 1095-A by the allocation percentages entered by policy. Add allocated amounts across all allocated</t>
    </r>
  </si>
  <si>
    <t>Part 5: Alternative Calculation for Year of Marriage</t>
  </si>
  <si>
    <t>Complete line(s) 35 and/or 36 to elect the alternative calculation for year of marriage. For eligibility to make the election, see the instructions for line 9.</t>
  </si>
  <si>
    <t>To complete line(s) 35 and/or 36 and compute the amounts for lines 12–23, see the instructions for this Part 5.</t>
  </si>
  <si>
    <t>Alternative family size</t>
  </si>
  <si>
    <t>Monthly contribution</t>
  </si>
  <si>
    <t>Alternative start month</t>
  </si>
  <si>
    <t>Alternative stop month</t>
  </si>
  <si>
    <t>Alternative entries 
for your SSN</t>
  </si>
  <si>
    <t>Alternative entries
for your spouse's 
SSN</t>
  </si>
  <si>
    <t>35</t>
  </si>
  <si>
    <t>36</t>
  </si>
  <si>
    <r>
      <rPr>
        <b/>
        <sz val="10"/>
        <rFont val="Arial"/>
        <family val="2"/>
      </rPr>
      <t>Relief.</t>
    </r>
    <r>
      <rPr>
        <sz val="10"/>
        <rFont val="Arial"/>
        <family val="2"/>
      </rPr>
      <t xml:space="preserve"> Check this box if you are filing as married filing separately and you are a victim of domestic abuse or spousal abandonment (see Situation 2 under Married taxpayers). By checking this box, you are certifying that you qualify for relief from filing a joint return with your spouse.</t>
    </r>
  </si>
  <si>
    <r>
      <rPr>
        <b/>
        <sz val="10"/>
        <color theme="0"/>
        <rFont val="Arial"/>
        <family val="2"/>
      </rPr>
      <t>Married filing separately.</t>
    </r>
    <r>
      <rPr>
        <sz val="10"/>
        <color theme="0"/>
        <rFont val="Arial"/>
        <family val="2"/>
      </rPr>
      <t xml:space="preserve"> If you do not qualify for relief from filing a joint return, you cannot take the PTC on a married filing separately return. You are not an applicable taxpayer and must repay some or all APTC. Complete lines 1 through 5 to figure your separate household income as a percentage of the Federal poverty line. Skip lines 6 through 8b and complete lines 9 and 10 (and Part 4, if applicable). When completing line 11 or lines 12 through 23, complete only column F. Then complete the rest of the form to determine how much you must repay.</t>
    </r>
  </si>
  <si>
    <t>Enter your adjusted gross income (AGI)* from Form 1040,</t>
  </si>
  <si>
    <r>
      <t xml:space="preserve">Worksheet 1-1. </t>
    </r>
    <r>
      <rPr>
        <b/>
        <sz val="10"/>
        <rFont val="Arial"/>
        <family val="2"/>
      </rPr>
      <t>Taxpayer's Modified AGI—Line 2a</t>
    </r>
  </si>
  <si>
    <t>Enter any tax-exempt interest from Form</t>
  </si>
  <si>
    <t>1040, line 8b; Form 1040A, line 8b; or</t>
  </si>
  <si>
    <t>Form 1040NR, line 9b</t>
  </si>
  <si>
    <t>line 38; Form 1040A, line 22; or Form 1040NR, line 37</t>
  </si>
  <si>
    <t>Enter any amounts from Form 2555, lines</t>
  </si>
  <si>
    <t>45 and 50, and Form 2555-EZ, line 18</t>
  </si>
  <si>
    <t>Enter the excess, if any, of Form 1040,</t>
  </si>
  <si>
    <t>lines 20a over 20b; or Form 1040A, lines</t>
  </si>
  <si>
    <t>14a over 14b</t>
  </si>
  <si>
    <t>Add lines 2 through 4</t>
  </si>
  <si>
    <t>Add lines 1 and 5. Enter here and on Form 8962, line 2a</t>
  </si>
  <si>
    <t>*If you are filing Form 8814 and the amount on Form 8814, line 4, is more than $1,000, you must also include on line 1 of this worksheet the tax-exempt interest from Form 8814, line 1b; the lesser of Form 8814, line 4 or line 5; and any nontaxable social security benefits your child received.</t>
  </si>
  <si>
    <r>
      <t xml:space="preserve">Worksheet 1-2. </t>
    </r>
    <r>
      <rPr>
        <b/>
        <sz val="10"/>
        <rFont val="Arial"/>
        <family val="2"/>
      </rPr>
      <t>Dependents' Combined Modified AGI—Line 2b</t>
    </r>
  </si>
  <si>
    <t>Enter the AGI for your dependents from Form 1040, line 38;</t>
  </si>
  <si>
    <t xml:space="preserve">Form 1040A, line 22; Form 1040EZ, line 3; and </t>
  </si>
  <si>
    <t>Form 1040NR, line 37</t>
  </si>
  <si>
    <t>Enter any tax-exempt interest for your dependents</t>
  </si>
  <si>
    <t xml:space="preserve">from Form 1040, line 8b; Form 1040A, line 8b; </t>
  </si>
  <si>
    <t>Form 1040EZ, the amount written to the left of</t>
  </si>
  <si>
    <t>the line 2 entry space; and Form 1040NR, line 9b</t>
  </si>
  <si>
    <t>Enter any amounts for your dependents from</t>
  </si>
  <si>
    <t>Form 2555-EZ, line 18</t>
  </si>
  <si>
    <t xml:space="preserve">Form 2555, lines 45 and 50, and </t>
  </si>
  <si>
    <t>Enter for each of your dependents the excess,</t>
  </si>
  <si>
    <t>if any, of Form 1040, lines 20a over 20b;</t>
  </si>
  <si>
    <t>and Form 1040A, lines 14a over 14b.</t>
  </si>
  <si>
    <t>Add lines 1 and 5. Enter here and on Form 8962, line 2b</t>
  </si>
  <si>
    <t>Please check one box to indicate where you live:</t>
  </si>
  <si>
    <t>Contiguous States or D.C.</t>
  </si>
  <si>
    <t>Table 5. Repayment Limitation</t>
  </si>
  <si>
    <t>All others</t>
  </si>
  <si>
    <t>Excess Advance Payment of PTC: If line 25 is greater than line 24, subtract line 24 from line 25. Enter the difference here</t>
  </si>
  <si>
    <t>27</t>
  </si>
  <si>
    <t>Line 5 &gt;=</t>
  </si>
  <si>
    <t>Line 5 &lt;</t>
  </si>
  <si>
    <t>Added new Form 8962, Premium Tax Credit (PTC)</t>
  </si>
  <si>
    <t>Upgraded Line 4 to automatically answer "Yes" or "No" based on the status of cell R44.</t>
  </si>
  <si>
    <t>OMB No. 1545-0068</t>
  </si>
  <si>
    <t>Child and Dependent Care Expenses</t>
  </si>
  <si>
    <t xml:space="preserve">Department of the Treasury  </t>
  </si>
  <si>
    <t xml:space="preserve">        Attachment</t>
  </si>
  <si>
    <t>Internal Revenue Service    (99)</t>
  </si>
  <si>
    <r>
      <t xml:space="preserve">Sequence No. </t>
    </r>
    <r>
      <rPr>
        <b/>
        <sz val="8"/>
        <rFont val="Arial"/>
        <family val="2"/>
      </rPr>
      <t>21</t>
    </r>
  </si>
  <si>
    <r>
      <t xml:space="preserve">   Persons or Organizations Who Provided the Care–</t>
    </r>
    <r>
      <rPr>
        <sz val="12"/>
        <rFont val="Arial"/>
        <family val="2"/>
      </rPr>
      <t xml:space="preserve">You </t>
    </r>
    <r>
      <rPr>
        <b/>
        <sz val="12"/>
        <rFont val="Arial"/>
        <family val="2"/>
      </rPr>
      <t>must</t>
    </r>
    <r>
      <rPr>
        <sz val="12"/>
        <rFont val="Arial"/>
        <family val="2"/>
      </rPr>
      <t xml:space="preserve"> complete this part.</t>
    </r>
  </si>
  <si>
    <t xml:space="preserve">          (a)</t>
  </si>
  <si>
    <t xml:space="preserve"> Care provider's</t>
  </si>
  <si>
    <r>
      <t>(b)</t>
    </r>
    <r>
      <rPr>
        <sz val="8"/>
        <rFont val="Arial"/>
        <family val="2"/>
      </rPr>
      <t xml:space="preserve"> Address</t>
    </r>
  </si>
  <si>
    <r>
      <t>(c)</t>
    </r>
    <r>
      <rPr>
        <sz val="8"/>
        <rFont val="Arial"/>
        <family val="2"/>
      </rPr>
      <t xml:space="preserve"> Identifying number</t>
    </r>
  </si>
  <si>
    <r>
      <t xml:space="preserve">        (d)</t>
    </r>
    <r>
      <rPr>
        <sz val="8"/>
        <rFont val="Arial"/>
        <family val="2"/>
      </rPr>
      <t xml:space="preserve"> Amount paid</t>
    </r>
  </si>
  <si>
    <t>name</t>
  </si>
  <si>
    <t xml:space="preserve">     (number, street, apt. no., city, state, and ZIP code)</t>
  </si>
  <si>
    <t xml:space="preserve">       (SSN or EIN)</t>
  </si>
  <si>
    <t xml:space="preserve">        (see instructions)</t>
  </si>
  <si>
    <t>Complete only Part II below.</t>
  </si>
  <si>
    <t>Did you receive</t>
  </si>
  <si>
    <t xml:space="preserve"> dependent care benefits?</t>
  </si>
  <si>
    <t>Complete Part III on the back next.</t>
  </si>
  <si>
    <t>Caution:</t>
  </si>
  <si>
    <t>Credit for Child and Dependent Care Expenses</t>
  </si>
  <si>
    <r>
      <t xml:space="preserve">Information about your </t>
    </r>
    <r>
      <rPr>
        <b/>
        <sz val="10"/>
        <rFont val="Arial"/>
        <family val="2"/>
      </rPr>
      <t>qualifying person(s).</t>
    </r>
    <r>
      <rPr>
        <sz val="10"/>
        <rFont val="Arial"/>
        <family val="2"/>
      </rPr>
      <t xml:space="preserve">  If you have more than two qualifying persons, see the instructions.</t>
    </r>
  </si>
  <si>
    <r>
      <t>(a)</t>
    </r>
    <r>
      <rPr>
        <sz val="8"/>
        <rFont val="Arial"/>
        <family val="2"/>
      </rPr>
      <t xml:space="preserve"> Qualifying person's name</t>
    </r>
  </si>
  <si>
    <r>
      <t>(c)</t>
    </r>
    <r>
      <rPr>
        <sz val="7"/>
        <rFont val="Arial"/>
        <family val="2"/>
      </rPr>
      <t xml:space="preserve"> </t>
    </r>
    <r>
      <rPr>
        <b/>
        <sz val="7"/>
        <rFont val="Arial"/>
        <family val="2"/>
      </rPr>
      <t>Qualified expenses</t>
    </r>
    <r>
      <rPr>
        <sz val="7"/>
        <rFont val="Arial"/>
        <family val="2"/>
      </rPr>
      <t xml:space="preserve"> you</t>
    </r>
  </si>
  <si>
    <r>
      <t xml:space="preserve">   </t>
    </r>
    <r>
      <rPr>
        <b/>
        <sz val="8"/>
        <rFont val="Arial"/>
        <family val="2"/>
      </rPr>
      <t>(b)</t>
    </r>
    <r>
      <rPr>
        <sz val="8"/>
        <rFont val="Arial"/>
        <family val="2"/>
      </rPr>
      <t xml:space="preserve"> Qualifying person's social</t>
    </r>
  </si>
  <si>
    <t>First</t>
  </si>
  <si>
    <t>Last</t>
  </si>
  <si>
    <t>the person listed in column (a)</t>
  </si>
  <si>
    <t>Do not</t>
  </si>
  <si>
    <r>
      <t xml:space="preserve">Enter your </t>
    </r>
    <r>
      <rPr>
        <b/>
        <sz val="10"/>
        <rFont val="Arial"/>
        <family val="2"/>
      </rPr>
      <t xml:space="preserve">earned income.   </t>
    </r>
    <r>
      <rPr>
        <sz val="10"/>
        <rFont val="Arial"/>
        <family val="2"/>
      </rPr>
      <t>See instructions</t>
    </r>
    <r>
      <rPr>
        <b/>
        <sz val="10"/>
        <rFont val="Arial"/>
        <family val="2"/>
      </rPr>
      <t xml:space="preserve">   .   .   .   .   .   .   .   .   .   .   .   .   .   .   .   .   .   .   .   .   .   .   .   .   .   .   .   .   .   .   .   .   .   .   .   .   .</t>
    </r>
  </si>
  <si>
    <r>
      <t xml:space="preserve">Enter the </t>
    </r>
    <r>
      <rPr>
        <b/>
        <sz val="9"/>
        <rFont val="Arial"/>
        <family val="2"/>
      </rPr>
      <t>smallest</t>
    </r>
    <r>
      <rPr>
        <sz val="9"/>
        <rFont val="Arial"/>
        <family val="2"/>
      </rPr>
      <t xml:space="preserve"> of line 3, 4, or 5</t>
    </r>
    <r>
      <rPr>
        <b/>
        <sz val="10"/>
        <rFont val="Arial"/>
        <family val="2"/>
      </rPr>
      <t>.   .   .   .   .   .   .   .   .   .   .   .   .   .   .   .   .   .   .   .   .   .   .   .   .   .   .   .   .   .   .   .   .   .   .   .   .   .   .</t>
    </r>
  </si>
  <si>
    <t xml:space="preserve"> .     .     .     .     .     .     .     . </t>
  </si>
  <si>
    <t>Enter on line 8 the decimal amount shown below that applies to the amount on line 7</t>
  </si>
  <si>
    <t>If line 7 is:</t>
  </si>
  <si>
    <t>But not</t>
  </si>
  <si>
    <t>Decimal</t>
  </si>
  <si>
    <t>over</t>
  </si>
  <si>
    <t>amount is</t>
  </si>
  <si>
    <t>the instructions</t>
  </si>
  <si>
    <r>
      <t>Credit for child and dependent care expenses.</t>
    </r>
    <r>
      <rPr>
        <sz val="10"/>
        <rFont val="Arial"/>
        <family val="2"/>
      </rPr>
      <t xml:space="preserve">  Enter the </t>
    </r>
    <r>
      <rPr>
        <b/>
        <sz val="10"/>
        <rFont val="Arial"/>
        <family val="2"/>
      </rPr>
      <t>smaller</t>
    </r>
    <r>
      <rPr>
        <sz val="10"/>
        <rFont val="Arial"/>
        <family val="2"/>
      </rPr>
      <t xml:space="preserve"> of line 9 or line 10</t>
    </r>
  </si>
  <si>
    <t xml:space="preserve">    .    .    .    .    .    .    .    .    .    .    .    .    .    .    .    .    .    .    .  </t>
  </si>
  <si>
    <t>For Paperwork Reductions Act Notice, see page 4 of the instructions.</t>
  </si>
  <si>
    <t>Cat. No. 11862M</t>
  </si>
  <si>
    <r>
      <t xml:space="preserve">Page </t>
    </r>
    <r>
      <rPr>
        <b/>
        <sz val="10"/>
        <rFont val="Arial"/>
        <family val="2"/>
      </rPr>
      <t>2</t>
    </r>
  </si>
  <si>
    <t xml:space="preserve">  Dependent Care Benefits</t>
  </si>
  <si>
    <r>
      <t xml:space="preserve">Enter total  amount of </t>
    </r>
    <r>
      <rPr>
        <b/>
        <sz val="10"/>
        <rFont val="Arial"/>
        <family val="2"/>
      </rPr>
      <t>dependent care benefits</t>
    </r>
    <r>
      <rPr>
        <sz val="10"/>
        <rFont val="Arial"/>
        <family val="2"/>
      </rPr>
      <t xml:space="preserve"> you</t>
    </r>
  </si>
  <si>
    <r>
      <t xml:space="preserve">received as an employee should be shown in box 10 of your Form(s) W-2. </t>
    </r>
    <r>
      <rPr>
        <b/>
        <sz val="10"/>
        <rFont val="Arial"/>
        <family val="2"/>
      </rPr>
      <t>Do not</t>
    </r>
    <r>
      <rPr>
        <sz val="10"/>
        <rFont val="Arial"/>
        <family val="2"/>
      </rPr>
      <t xml:space="preserve"> include</t>
    </r>
  </si>
  <si>
    <t>amounts reported as wages in box 1 of Form(s) W-2. If you were self-employed or a partner,</t>
  </si>
  <si>
    <t>include amounts you received under a dependent care assistance program from your sole</t>
  </si>
  <si>
    <r>
      <t>proprietorship or partnership</t>
    </r>
    <r>
      <rPr>
        <b/>
        <sz val="10"/>
        <rFont val="Arial"/>
        <family val="2"/>
      </rPr>
      <t>.   .   .   .   .   .   .   .   .   .   .   .   .   .   .   .   .   .   .   .   .   .   .   .   .   .   .   .   .   .   .   .   .   .   .   .   .   .   .   .</t>
    </r>
  </si>
  <si>
    <r>
      <t xml:space="preserve">Enter the total amount of </t>
    </r>
    <r>
      <rPr>
        <b/>
        <sz val="10"/>
        <rFont val="Arial"/>
        <family val="2"/>
      </rPr>
      <t>qualified expenses</t>
    </r>
    <r>
      <rPr>
        <sz val="10"/>
        <rFont val="Arial"/>
        <family val="2"/>
      </rPr>
      <t xml:space="preserve"> incurred</t>
    </r>
  </si>
  <si>
    <t>qualifying person(s).</t>
  </si>
  <si>
    <r>
      <t xml:space="preserve">Enter your </t>
    </r>
    <r>
      <rPr>
        <b/>
        <sz val="10"/>
        <rFont val="Arial"/>
        <family val="2"/>
      </rPr>
      <t>earned income</t>
    </r>
    <r>
      <rPr>
        <b/>
        <sz val="10"/>
        <rFont val="Arial"/>
        <family val="2"/>
      </rPr>
      <t>.</t>
    </r>
    <r>
      <rPr>
        <sz val="10"/>
        <rFont val="Arial"/>
        <family val="2"/>
      </rPr>
      <t xml:space="preserve">  See instructions. </t>
    </r>
    <r>
      <rPr>
        <b/>
        <sz val="10"/>
        <rFont val="Arial"/>
        <family val="2"/>
      </rPr>
      <t xml:space="preserve"> .   .   .   .   .   .   .   .   .   .   .   .   .   .   .   .   .   .   .   .   .   .   .   .   .   .   .   .   .   .   .   .   .   .   .   .   .   .   .</t>
    </r>
  </si>
  <si>
    <t>Enter the amount shown below that applies</t>
  </si>
  <si>
    <t>to you.</t>
  </si>
  <si>
    <r>
      <t>h</t>
    </r>
    <r>
      <rPr>
        <sz val="10"/>
        <rFont val="Arial"/>
        <family val="2"/>
      </rPr>
      <t xml:space="preserve"> If married filing a joint return, enter your</t>
    </r>
  </si>
  <si>
    <t xml:space="preserve">     spouse's earned income (if your spouse</t>
  </si>
  <si>
    <t xml:space="preserve">     was a student or was disabled, see the</t>
  </si>
  <si>
    <t xml:space="preserve">     instructions for line 5).</t>
  </si>
  <si>
    <r>
      <t>h</t>
    </r>
    <r>
      <rPr>
        <sz val="10"/>
        <rFont val="Arial"/>
        <family val="2"/>
      </rPr>
      <t xml:space="preserve"> If married filing separately, see the</t>
    </r>
  </si>
  <si>
    <t xml:space="preserve">     the instructions for the amount to enter.</t>
  </si>
  <si>
    <r>
      <t>Deductible benefits.</t>
    </r>
    <r>
      <rPr>
        <sz val="10"/>
        <rFont val="Arial"/>
        <family val="2"/>
      </rPr>
      <t xml:space="preserve">      Enter the </t>
    </r>
    <r>
      <rPr>
        <b/>
        <sz val="10"/>
        <rFont val="Arial"/>
        <family val="2"/>
      </rPr>
      <t>smallest</t>
    </r>
  </si>
  <si>
    <t>To claim the child and dependent care</t>
  </si>
  <si>
    <r>
      <t xml:space="preserve">less, </t>
    </r>
    <r>
      <rPr>
        <b/>
        <sz val="10"/>
        <rFont val="Arial"/>
        <family val="2"/>
      </rPr>
      <t>stop</t>
    </r>
    <r>
      <rPr>
        <sz val="10"/>
        <rFont val="Arial"/>
        <family val="2"/>
      </rPr>
      <t>. You cannot take the credit.</t>
    </r>
  </si>
  <si>
    <r>
      <t xml:space="preserve">Exception. </t>
    </r>
    <r>
      <rPr>
        <sz val="10"/>
        <rFont val="Arial"/>
        <family val="2"/>
      </rPr>
      <t xml:space="preserve"> If you</t>
    </r>
  </si>
  <si>
    <r>
      <t xml:space="preserve">Enter the </t>
    </r>
    <r>
      <rPr>
        <b/>
        <sz val="10"/>
        <rFont val="Arial"/>
        <family val="2"/>
      </rPr>
      <t>smaller</t>
    </r>
  </si>
  <si>
    <t>Attachment to:</t>
  </si>
  <si>
    <r>
      <t xml:space="preserve">Persons or Organizations Who Provided the Care -- </t>
    </r>
    <r>
      <rPr>
        <sz val="10"/>
        <rFont val="Arial"/>
        <family val="2"/>
      </rPr>
      <t>(Continued)</t>
    </r>
  </si>
  <si>
    <r>
      <t>Credit for Child and Dependent Care Expenses</t>
    </r>
    <r>
      <rPr>
        <sz val="10"/>
        <rFont val="Arial"/>
        <family val="2"/>
      </rPr>
      <t xml:space="preserve"> -- (Continued)</t>
    </r>
  </si>
  <si>
    <t>Download Form 2441</t>
  </si>
  <si>
    <t>Download Form 2441 Instructions</t>
  </si>
  <si>
    <t>Tax liability limit. Enter the amount from the Credit</t>
  </si>
  <si>
    <t>Limit Worksheet in the instructions</t>
  </si>
  <si>
    <t>Employer #1</t>
  </si>
  <si>
    <t>period. See instructions.</t>
  </si>
  <si>
    <t>Combine lines 12 through 14. See instructions</t>
  </si>
  <si>
    <r>
      <t xml:space="preserve">Enter the </t>
    </r>
    <r>
      <rPr>
        <b/>
        <sz val="10"/>
        <rFont val="Arial"/>
        <family val="2"/>
      </rPr>
      <t>smaller</t>
    </r>
    <r>
      <rPr>
        <sz val="10"/>
        <rFont val="Arial"/>
        <family val="2"/>
      </rPr>
      <t xml:space="preserve"> of line 15 or 16 </t>
    </r>
    <r>
      <rPr>
        <b/>
        <sz val="10"/>
        <rFont val="Arial"/>
        <family val="2"/>
      </rPr>
      <t xml:space="preserve"> .   .   .   .   .   .   .   .   .   .   .   .   .   .   .   .   .   .   .   .   .   .   .   .   .   .   .   .   .   .   .   .   .   .   .   .   .   .   .   .</t>
    </r>
  </si>
  <si>
    <r>
      <t>h</t>
    </r>
    <r>
      <rPr>
        <sz val="10"/>
        <rFont val="Arial"/>
        <family val="2"/>
      </rPr>
      <t xml:space="preserve"> All others, </t>
    </r>
    <r>
      <rPr>
        <sz val="10"/>
        <rFont val="Arial"/>
        <family val="2"/>
      </rPr>
      <t>enter the amount from line 18.</t>
    </r>
  </si>
  <si>
    <r>
      <t xml:space="preserve">Enter the </t>
    </r>
    <r>
      <rPr>
        <b/>
        <sz val="10"/>
        <rFont val="Arial"/>
        <family val="2"/>
      </rPr>
      <t>smallest</t>
    </r>
    <r>
      <rPr>
        <sz val="10"/>
        <rFont val="Arial"/>
        <family val="2"/>
      </rPr>
      <t xml:space="preserve"> of line 17, 18, or 19</t>
    </r>
    <r>
      <rPr>
        <b/>
        <sz val="10"/>
        <rFont val="Arial"/>
        <family val="2"/>
      </rPr>
      <t xml:space="preserve">   .   .   .   .   .   .   .   .   .   .   .   .   .   .   .   .   .   .   .   .   .   .   .   .   .   .   .   .   .   .   .   .   .   .   .   .   .   .   .   .</t>
    </r>
  </si>
  <si>
    <t>Enter $5,000 ($2,500 if married filing separately and</t>
  </si>
  <si>
    <t>you were required to enter your spouse’s earned income on line 19)</t>
  </si>
  <si>
    <t xml:space="preserve">  .   .   .   .   . </t>
  </si>
  <si>
    <t>Subtract line 22 from line 15</t>
  </si>
  <si>
    <t>Is any amount on line 12 from your sole proprietorship or partnership?</t>
  </si>
  <si>
    <r>
      <rPr>
        <b/>
        <sz val="10"/>
        <rFont val="Arial"/>
        <family val="2"/>
      </rPr>
      <t>No.</t>
    </r>
    <r>
      <rPr>
        <sz val="10"/>
        <rFont val="Arial"/>
        <family val="2"/>
      </rPr>
      <t xml:space="preserve"> Enter -0-. </t>
    </r>
  </si>
  <si>
    <r>
      <rPr>
        <b/>
        <sz val="10"/>
        <rFont val="Arial"/>
        <family val="2"/>
      </rPr>
      <t>Yes.</t>
    </r>
    <r>
      <rPr>
        <sz val="10"/>
        <rFont val="Arial"/>
        <family val="2"/>
      </rPr>
      <t xml:space="preserve"> Enter the amount here</t>
    </r>
  </si>
  <si>
    <t>Corrected calculation for Line 28.  The previous calculation was yielding an error for "Single" filing status.  Thank you, Scott S.</t>
  </si>
  <si>
    <t>the appropriate line(s) of your return. See instructions.</t>
  </si>
  <si>
    <t>the smaller of line 20 or 21. Otherwise, subtract line 24 from the smaller of line 20 or line 21.</t>
  </si>
  <si>
    <r>
      <t>If zero or less, enter -0-.</t>
    </r>
    <r>
      <rPr>
        <b/>
        <sz val="10"/>
        <rFont val="Arial"/>
        <family val="2"/>
      </rPr>
      <t xml:space="preserve"> Form 1040A filers:</t>
    </r>
    <r>
      <rPr>
        <sz val="10"/>
        <rFont val="Arial"/>
        <family val="2"/>
      </rPr>
      <t xml:space="preserve"> Enter the </t>
    </r>
    <r>
      <rPr>
        <b/>
        <sz val="10"/>
        <rFont val="Arial"/>
        <family val="2"/>
      </rPr>
      <t>smaller</t>
    </r>
    <r>
      <rPr>
        <sz val="10"/>
        <rFont val="Arial"/>
        <family val="2"/>
      </rPr>
      <t xml:space="preserve"> of line 20 or line 21</t>
    </r>
    <r>
      <rPr>
        <b/>
        <sz val="10"/>
        <rFont val="Arial"/>
        <family val="2"/>
      </rPr>
      <t>.   .   .   .   .   .   .   .</t>
    </r>
  </si>
  <si>
    <r>
      <rPr>
        <b/>
        <sz val="10"/>
        <rFont val="Arial"/>
        <family val="2"/>
      </rPr>
      <t>Excluded benefits.</t>
    </r>
    <r>
      <rPr>
        <sz val="10"/>
        <rFont val="Arial"/>
        <family val="2"/>
      </rPr>
      <t xml:space="preserve"> </t>
    </r>
    <r>
      <rPr>
        <b/>
        <sz val="10"/>
        <rFont val="Arial"/>
        <family val="2"/>
      </rPr>
      <t xml:space="preserve">Form 1040 and 1040NR filers: </t>
    </r>
    <r>
      <rPr>
        <sz val="10"/>
        <rFont val="Arial"/>
        <family val="2"/>
      </rPr>
      <t>If you checked "No" on line 22, enter</t>
    </r>
  </si>
  <si>
    <r>
      <rPr>
        <b/>
        <sz val="10"/>
        <rFont val="Arial"/>
        <family val="2"/>
      </rPr>
      <t>Taxable benefits.</t>
    </r>
    <r>
      <rPr>
        <sz val="10"/>
        <rFont val="Arial"/>
        <family val="2"/>
      </rPr>
      <t xml:space="preserve"> Form 1040 and 1040NR filers: Subtract line 25 from line 23. If zero or </t>
    </r>
  </si>
  <si>
    <t xml:space="preserve">less, enter -0-. Also, include this amount on Form 1040, line 7, or Form 1040NR, line 8. On </t>
  </si>
  <si>
    <t xml:space="preserve">the dotted line next to Form 1040, line 7, or Form 1040NR, line 8, enter “DCB.” </t>
  </si>
  <si>
    <t>line 7. In the space to the left of line 7, enter “DCB”</t>
  </si>
  <si>
    <t>credit, complete lines 27–31 below.</t>
  </si>
  <si>
    <r>
      <rPr>
        <b/>
        <sz val="10"/>
        <rFont val="Arial"/>
        <family val="2"/>
      </rPr>
      <t>Form 1040A filers:</t>
    </r>
    <r>
      <rPr>
        <sz val="10"/>
        <rFont val="Arial"/>
        <family val="2"/>
      </rPr>
      <t xml:space="preserve"> Subtract line 25 from line 15. Also, include this amount on Form 1040A, </t>
    </r>
  </si>
  <si>
    <r>
      <t xml:space="preserve">Complete line 2 on the front of this form. </t>
    </r>
    <r>
      <rPr>
        <b/>
        <sz val="10"/>
        <rFont val="Arial"/>
        <family val="2"/>
      </rPr>
      <t>Do not</t>
    </r>
    <r>
      <rPr>
        <sz val="10"/>
        <rFont val="Arial"/>
        <family val="2"/>
      </rPr>
      <t xml:space="preserve"> include in column (c) any benefits shown on</t>
    </r>
  </si>
  <si>
    <r>
      <rPr>
        <b/>
        <sz val="10"/>
        <rFont val="Arial"/>
        <family val="2"/>
      </rPr>
      <t>Form 1040 and 1040NR filers:</t>
    </r>
    <r>
      <rPr>
        <sz val="10"/>
        <rFont val="Arial"/>
        <family val="2"/>
      </rPr>
      <t xml:space="preserve"> </t>
    </r>
    <r>
      <rPr>
        <sz val="9"/>
        <rFont val="Arial"/>
        <family val="2"/>
      </rPr>
      <t xml:space="preserve">Add lines 24 and 25. </t>
    </r>
    <r>
      <rPr>
        <b/>
        <sz val="10"/>
        <rFont val="Arial"/>
        <family val="2"/>
      </rPr>
      <t>Form 1040A filers:</t>
    </r>
    <r>
      <rPr>
        <sz val="10"/>
        <rFont val="Arial"/>
        <family val="2"/>
      </rPr>
      <t xml:space="preserve"> </t>
    </r>
    <r>
      <rPr>
        <sz val="9"/>
        <rFont val="Arial"/>
        <family val="2"/>
      </rPr>
      <t>Enter amount from line 25.</t>
    </r>
  </si>
  <si>
    <t>.   .   .   .   .   .   .   .   .   .   .   .   .   .   .   .   .   .   .   .   .   .   .</t>
  </si>
  <si>
    <r>
      <t>4</t>
    </r>
    <r>
      <rPr>
        <b/>
        <sz val="10"/>
        <rFont val="Arial"/>
        <family val="2"/>
      </rPr>
      <t xml:space="preserve">  Attach to Form 1040, Form 1040A, or Form 1040NR.</t>
    </r>
  </si>
  <si>
    <t>www.irs.gov/form2441.</t>
  </si>
  <si>
    <r>
      <t>4</t>
    </r>
    <r>
      <rPr>
        <b/>
        <sz val="9"/>
        <rFont val="Arial"/>
        <family val="2"/>
      </rPr>
      <t xml:space="preserve">  Information about Form 2441 and its separate instructions is at</t>
    </r>
  </si>
  <si>
    <t xml:space="preserve">   (If you have more than two care providers, see the instructions.)</t>
  </si>
  <si>
    <t xml:space="preserve">    name</t>
  </si>
  <si>
    <t xml:space="preserve"> If the care was provided in your home, you may owe employment taxes. If you do, you cannot file Form 1040A. For details,</t>
  </si>
  <si>
    <t>see the instructions for Form 1040, line 60a, or Form 1040NR, line 59a.</t>
  </si>
  <si>
    <r>
      <t xml:space="preserve"> </t>
    </r>
    <r>
      <rPr>
        <b/>
        <sz val="8"/>
        <rFont val="Arial"/>
        <family val="2"/>
      </rPr>
      <t>(b)</t>
    </r>
    <r>
      <rPr>
        <sz val="8"/>
        <rFont val="Arial"/>
        <family val="2"/>
      </rPr>
      <t xml:space="preserve"> Qualifying person's social
security number</t>
    </r>
  </si>
  <si>
    <t>If married filing jointly, enter your spouse’s earned income (if you or your spouse was a</t>
  </si>
  <si>
    <r>
      <t xml:space="preserve">student or was disabled, see the instructions); </t>
    </r>
    <r>
      <rPr>
        <b/>
        <sz val="9"/>
        <rFont val="Arial"/>
        <family val="2"/>
      </rPr>
      <t>all others</t>
    </r>
    <r>
      <rPr>
        <sz val="9"/>
        <rFont val="Arial"/>
        <family val="2"/>
      </rPr>
      <t>, enter the amount from line 4</t>
    </r>
  </si>
  <si>
    <r>
      <rPr>
        <b/>
        <sz val="10"/>
        <color theme="0"/>
        <rFont val="Arial"/>
        <family val="2"/>
      </rPr>
      <t>Married Persons Filing Separately</t>
    </r>
    <r>
      <rPr>
        <sz val="10"/>
        <color theme="0"/>
        <rFont val="Arial"/>
        <family val="2"/>
      </rPr>
      <t xml:space="preserve">
Generally, married persons must file a joint return to claim the credit. If your filing status is married filing separately and all of the following apply, you are considered unmarried for purposes of claiming the credit on Form 2441.
o You lived apart from your spouse during the last 6 months of 2014.
o Your home was the qualifying person's main home for more than half of 2014.
o You paid more than half of the cost of keeping up that home for 2014.
If you meet all the requirements to be treated as unmarried and meet items 2 through 5 listed earlier, you can take the credit or the exclusion. If you do not meet all the requirements to be treated as unmarried, you cannot take the credit. However, you can take the exclusion if you meet items 2 through 5.
</t>
    </r>
    <r>
      <rPr>
        <b/>
        <sz val="10"/>
        <color theme="0"/>
        <rFont val="Arial"/>
        <family val="2"/>
      </rPr>
      <t>See Instructions for Form 2441.</t>
    </r>
  </si>
  <si>
    <t>Amount from</t>
  </si>
  <si>
    <t>sole proprietorship</t>
  </si>
  <si>
    <t>Yes.  I meet these requirements.</t>
  </si>
  <si>
    <t>No.  I do not meet these requirements.</t>
  </si>
  <si>
    <t>requirements to</t>
  </si>
  <si>
    <t xml:space="preserve">be considered </t>
  </si>
  <si>
    <t>purposes of claiming</t>
  </si>
  <si>
    <t>the credit on</t>
  </si>
  <si>
    <t>Form 2441.</t>
  </si>
  <si>
    <t>Indicate to the right</t>
  </si>
  <si>
    <t>as to whether or</t>
  </si>
  <si>
    <t>not you meet the</t>
  </si>
  <si>
    <r>
      <rPr>
        <b/>
        <sz val="10"/>
        <rFont val="Arial"/>
        <family val="2"/>
      </rPr>
      <t>Lines 27 through 31</t>
    </r>
    <r>
      <rPr>
        <sz val="10"/>
        <rFont val="Arial"/>
        <family val="2"/>
      </rPr>
      <t xml:space="preserve">
If you are reporting dependent care benefits in Part III of
the form, you will need to complete lines 27 through 31 if
you are also claiming the credit for child and dependent
care expenses in Part II of the form.</t>
    </r>
  </si>
  <si>
    <t>Added new Form 2441, Child and Dependant Care Expenses.</t>
  </si>
  <si>
    <r>
      <rPr>
        <b/>
        <sz val="10"/>
        <rFont val="Courier New"/>
        <family val="3"/>
      </rPr>
      <t>No password is needed.</t>
    </r>
    <r>
      <rPr>
        <sz val="10"/>
        <rFont val="Courier New"/>
        <family val="3"/>
      </rPr>
      <t xml:space="preserve"> 
If you find a data entry cell to be protected, it is because it is a calculated value using input from another location in the spreadsheet.  Read the instructions for that line to determine where the values are derived.  However, for most calculated cells, a manual override cell is provided if you need to override the calculated value.  After a while, you will figure out that the spreadsheet is completely functional without needing to unprotect it.</t>
    </r>
  </si>
  <si>
    <t>Enter "IRA" or "P/A" (for Pension/Annuity) &gt;&gt;&gt;</t>
  </si>
  <si>
    <t>Enter "IRA" or "P/A" for (Pension/Annuity) &gt;&gt;&gt;</t>
  </si>
  <si>
    <r>
      <rPr>
        <b/>
        <sz val="7"/>
        <rFont val="Arial"/>
        <family val="2"/>
      </rPr>
      <t>(e)</t>
    </r>
    <r>
      <rPr>
        <sz val="7"/>
        <rFont val="Arial"/>
        <family val="2"/>
      </rPr>
      <t xml:space="preserve"> Cost or other basis
from Form(s) 8949, Part
I, line 2, column €</t>
    </r>
  </si>
  <si>
    <r>
      <rPr>
        <b/>
        <sz val="7"/>
        <rFont val="Arial"/>
        <family val="2"/>
      </rPr>
      <t>(e)</t>
    </r>
    <r>
      <rPr>
        <sz val="7"/>
        <rFont val="Arial"/>
        <family val="2"/>
      </rPr>
      <t xml:space="preserve"> Cost or other basis
from Form(s) 8949, Part
II, line 4, column (e )</t>
    </r>
  </si>
  <si>
    <t>Corrected cells T10 and U10 (typo.).  Thank you, Kevin.</t>
  </si>
  <si>
    <t>Special</t>
  </si>
  <si>
    <t>rounding</t>
  </si>
  <si>
    <t>rules:</t>
  </si>
  <si>
    <t>ROUND DOWN</t>
  </si>
  <si>
    <t>ROUND UP</t>
  </si>
  <si>
    <t>ROUND</t>
  </si>
  <si>
    <t>Line 3 / Line 4</t>
  </si>
  <si>
    <t>Improved overall functionality of form.  Thanks for the suggestion, Dave N.</t>
  </si>
  <si>
    <t>x</t>
  </si>
  <si>
    <r>
      <rPr>
        <b/>
        <sz val="10"/>
        <rFont val="Arial"/>
        <family val="2"/>
      </rPr>
      <t xml:space="preserve">Line 2a </t>
    </r>
    <r>
      <rPr>
        <sz val="10"/>
        <rFont val="Arial"/>
        <family val="2"/>
      </rPr>
      <t xml:space="preserve">Enter your modified AGI on line 2a. Use the worksheet next to figure your modified AGI from your tax return. </t>
    </r>
  </si>
  <si>
    <r>
      <rPr>
        <b/>
        <sz val="10"/>
        <rFont val="Arial"/>
        <family val="2"/>
      </rPr>
      <t>Line 2b</t>
    </r>
    <r>
      <rPr>
        <sz val="10"/>
        <rFont val="Arial"/>
        <family val="2"/>
      </rPr>
      <t xml:space="preserve"> Enter the modified AGI for all of your dependents on line 2b. Use the worksheet next to figure the combined modified AGI for the dependents claimed as exemptions on your return. Only include the modified AGI of those dependents who are required to file a return. Do not include the modified AGI of dependents who are filing a tax return only to claim a refund of tax withheld or estimated tax. </t>
    </r>
  </si>
  <si>
    <t>Corrected Line 11 calculation.</t>
  </si>
  <si>
    <t>Removed "IFERROR" command from calculations for Lines 24 and 25.  
(Not all spreadsheets recognize this function.) Thank you, Vance.</t>
  </si>
  <si>
    <t>Corrected calculation for Line 15.  Removed the calculation for Line 16 (now manual entry). Corrected calculation for Line 17.</t>
  </si>
  <si>
    <t>Corrected calculations for Lines 3 and Line 24 through 31.  Thank you, Terri L.</t>
  </si>
  <si>
    <t>Check if</t>
  </si>
  <si>
    <t>for Line 61.</t>
  </si>
  <si>
    <t>Hide note</t>
  </si>
  <si>
    <t>Added notes to Line 61 to ensure checking box is not inadvertently overlooked.  
Thanks, Chris B.</t>
  </si>
  <si>
    <t>Corrected calculation for Line 30.  Thank you, Eva G.</t>
  </si>
  <si>
    <t>Enter the amount from line 45</t>
  </si>
  <si>
    <t xml:space="preserve">  .   .   .   .   .   .   .   .   .   .   .   .   .   .   .   .   .   .   .   .   .   .   .   .   .   .   .   .   . </t>
  </si>
  <si>
    <t>Updated Part III, Line 50, to include Line 45.  (Change from previous years.)  
Thank you, Merlin J., Bruce S., and Natalie F.</t>
  </si>
  <si>
    <t>Worksheet used?</t>
  </si>
  <si>
    <t>Corrected logic for Part III, Lines 36,  44, and 51.  Thank you, Michael B.</t>
  </si>
  <si>
    <r>
      <rPr>
        <b/>
        <sz val="9"/>
        <rFont val="Arial"/>
        <family val="2"/>
      </rPr>
      <t>Self-employment tax.</t>
    </r>
    <r>
      <rPr>
        <sz val="9"/>
        <rFont val="Arial"/>
        <family val="2"/>
      </rPr>
      <t xml:space="preserve"> Add lines 10 and 11. Enter here and on </t>
    </r>
    <r>
      <rPr>
        <b/>
        <sz val="9"/>
        <rFont val="Arial"/>
        <family val="2"/>
      </rPr>
      <t>Form 1040, line 57</t>
    </r>
    <r>
      <rPr>
        <sz val="9"/>
        <rFont val="Arial"/>
        <family val="2"/>
      </rPr>
      <t xml:space="preserve">, or </t>
    </r>
    <r>
      <rPr>
        <b/>
        <sz val="9"/>
        <rFont val="Arial"/>
        <family val="2"/>
      </rPr>
      <t>Form 1040NR, line 55</t>
    </r>
  </si>
  <si>
    <r>
      <t>Nonfarm Optional Method.</t>
    </r>
    <r>
      <rPr>
        <sz val="10"/>
        <rFont val="Arial"/>
        <family val="2"/>
      </rPr>
      <t xml:space="preserve">You may use this method </t>
    </r>
    <r>
      <rPr>
        <b/>
        <sz val="10"/>
        <rFont val="Arial"/>
        <family val="2"/>
      </rPr>
      <t>only</t>
    </r>
    <r>
      <rPr>
        <sz val="10"/>
        <rFont val="Arial"/>
        <family val="2"/>
      </rPr>
      <t xml:space="preserve"> if </t>
    </r>
    <r>
      <rPr>
        <b/>
        <sz val="10"/>
        <rFont val="Arial"/>
        <family val="2"/>
      </rPr>
      <t>(a)</t>
    </r>
    <r>
      <rPr>
        <sz val="10"/>
        <rFont val="Arial"/>
        <family val="2"/>
      </rPr>
      <t xml:space="preserve"> your net nonfarm profits</t>
    </r>
    <r>
      <rPr>
        <vertAlign val="superscript"/>
        <sz val="10"/>
        <rFont val="Arial"/>
        <family val="2"/>
      </rPr>
      <t>3</t>
    </r>
    <r>
      <rPr>
        <sz val="10"/>
        <rFont val="Arial"/>
        <family val="2"/>
      </rPr>
      <t xml:space="preserve"> were less than</t>
    </r>
  </si>
  <si>
    <r>
      <t>gross nonfarm income</t>
    </r>
    <r>
      <rPr>
        <vertAlign val="superscript"/>
        <sz val="10"/>
        <rFont val="Arial"/>
        <family val="2"/>
      </rPr>
      <t>4</t>
    </r>
    <r>
      <rPr>
        <sz val="10"/>
        <rFont val="Arial"/>
        <family val="2"/>
      </rPr>
      <t xml:space="preserve"> and (b) you had net earnings</t>
    </r>
  </si>
  <si>
    <r>
      <rPr>
        <b/>
        <sz val="10"/>
        <rFont val="Arial"/>
        <family val="2"/>
      </rPr>
      <t>Caution.</t>
    </r>
    <r>
      <rPr>
        <sz val="10"/>
        <rFont val="Arial"/>
        <family val="2"/>
      </rPr>
      <t xml:space="preserve"> You may use this method no more than five times.</t>
    </r>
  </si>
  <si>
    <r>
      <t xml:space="preserve">or </t>
    </r>
    <r>
      <rPr>
        <b/>
        <sz val="10"/>
        <rFont val="Arial"/>
        <family val="2"/>
      </rPr>
      <t>Form 1040NR, line 55</t>
    </r>
  </si>
  <si>
    <r>
      <t xml:space="preserve">Enter the total here and on </t>
    </r>
    <r>
      <rPr>
        <b/>
        <sz val="9"/>
        <rFont val="Arial"/>
        <family val="2"/>
      </rPr>
      <t>Form 1040, line 57</t>
    </r>
    <r>
      <rPr>
        <sz val="9"/>
        <rFont val="Arial"/>
        <family val="2"/>
      </rPr>
      <t xml:space="preserve">, or </t>
    </r>
    <r>
      <rPr>
        <b/>
        <sz val="9"/>
        <rFont val="Arial"/>
        <family val="2"/>
      </rPr>
      <t>Form 1040NR, line 55</t>
    </r>
    <r>
      <rPr>
        <sz val="9"/>
        <rFont val="Arial"/>
        <family val="2"/>
      </rPr>
      <t>.</t>
    </r>
  </si>
  <si>
    <t>Sch. SE</t>
  </si>
  <si>
    <t>Updated Section A, Line 5, and Section B,  Part II, for Tax Year 2014. 
Thank you, Narkis S.</t>
  </si>
  <si>
    <t xml:space="preserve">     for the AMT, if necessary), complete Part III on the back and enter the amount from line 64 here.</t>
  </si>
  <si>
    <t>Modified Line 21 for columns B &amp; C to correctly respond to the information entered into Line 1b, A, B or C.  Thank You, Ned K.</t>
  </si>
  <si>
    <r>
      <t>Enter the total of all collectibles gain or (loss) from items you reported on Form 8949, Part II</t>
    </r>
    <r>
      <rPr>
        <b/>
        <sz val="9"/>
        <rFont val="Arial"/>
        <family val="2"/>
      </rPr>
      <t>.   .   .   .   .   .   .   .   .</t>
    </r>
  </si>
  <si>
    <r>
      <t xml:space="preserve">Subtract line 20 from line 3 (rents) and/or 4 (royalties). 
If result is a (loss), see instructions to find out if you must file </t>
    </r>
    <r>
      <rPr>
        <b/>
        <sz val="9"/>
        <rFont val="Arial"/>
        <family val="2"/>
      </rPr>
      <t xml:space="preserve">Form 6198  .   .   .   .   .   .   .   .   .   .   .   .   .   .   .   .   .   . </t>
    </r>
  </si>
  <si>
    <t>Made minor change to the way in which Line 17 (Schedule E) is calculated.  Should not have affected the calculation results.</t>
  </si>
  <si>
    <t>Corrected Line 5 of 28% Rate Gain Worksheet to include Schedule D, Line 14.  
Thank you, Ron V.</t>
  </si>
  <si>
    <t>Added error message to identify when the correct number has not been entered into 
Line 1b (based upon Line 3 or 4 entry).  Thank you, Pastor Steve C.</t>
  </si>
  <si>
    <t>here and on Form 1040, line 49</t>
  </si>
  <si>
    <t>Cleared unnecessary formatting on Rows 114, 116, 117, and 121.  This was causing unwanted format problems for LibreOffice users.  Thank you, J.D.F.</t>
  </si>
  <si>
    <t>Removed carriage returns in expressions for Lines 7a and 7b.  This was causing error messages for LibreOffice users.  Thank you, J.D.F.</t>
  </si>
  <si>
    <t>Deductible meals and</t>
  </si>
  <si>
    <t>Earned income for figuring the credit includes the</t>
  </si>
  <si>
    <t>following amounts.</t>
  </si>
  <si>
    <t>1040A, line 7; or Form 1040NR, line 8; minus any amount:</t>
  </si>
  <si>
    <t>a. Included for a scholarship or fellowship grant that</t>
  </si>
  <si>
    <t>was not reported to you on a Form W-2,</t>
  </si>
  <si>
    <t>b. Also reported on Schedule SE (Form 1040)</t>
  </si>
  <si>
    <t>because you were a member of the clergy or you received</t>
  </si>
  <si>
    <t>$108.28 or more of church employee income,</t>
  </si>
  <si>
    <t>c. Received for work performed while an inmate in a</t>
  </si>
  <si>
    <t>penal institution, or</t>
  </si>
  <si>
    <t>d. Received as a pension or annuity from a</t>
  </si>
  <si>
    <t>nonqualified deferred compensation plan or a</t>
  </si>
  <si>
    <t>nongovernmental section 457(b) plan. This amount may</t>
  </si>
  <si>
    <t>be reported in box 11 of Form W-2. If you received such</t>
  </si>
  <si>
    <t>an amount but box 11 is blank, contact your employer for</t>
  </si>
  <si>
    <t>the amount received as a pension or annuity.</t>
  </si>
  <si>
    <t>any deduction you claim on Form 1040 or Form 1040NR,</t>
  </si>
  <si>
    <t>line 27.</t>
  </si>
  <si>
    <t>If you use either optional method to figure</t>
  </si>
  <si>
    <t>self-employment tax, subtract any deduction you claim on</t>
  </si>
  <si>
    <t>Form 1040 or Form 1040NR, line 27, from the total of the</t>
  </si>
  <si>
    <t>amounts shown on Schedule SE, Section B, lines 3 and</t>
  </si>
  <si>
    <t>4b.</t>
  </si>
  <si>
    <t>If you received church employee income of $108.28 or</t>
  </si>
  <si>
    <t>more, subtract any deduction you claim on Form 1040 or</t>
  </si>
  <si>
    <t>Form 1040NR, line 27, from the total of the amounts</t>
  </si>
  <si>
    <t>shown on Schedule SE, Section B, lines 3, 4b, and 5a.</t>
  </si>
  <si>
    <t>(Form 1040) as a statutory employee, the amount shown</t>
  </si>
  <si>
    <t>on line 1 of the schedule.</t>
  </si>
  <si>
    <t>4. Nontaxable combat pay, if you elect to include it in</t>
  </si>
  <si>
    <t>earned income. However, including this income will only</t>
  </si>
  <si>
    <t>give you a larger credit if your (or your spouse's) other</t>
  </si>
  <si>
    <t>earned income is less than the amount entered on line 3.</t>
  </si>
  <si>
    <t>To make the election, include all of your nontaxable</t>
  </si>
  <si>
    <t>combat pay in the amount you enter on line 4 (line 5 for</t>
  </si>
  <si>
    <t>your spouse if filing jointly).</t>
  </si>
  <si>
    <t>If you are filing jointly and both you and your spouse</t>
  </si>
  <si>
    <t>received nontaxable combat pay, you can each make</t>
  </si>
  <si>
    <t>your own election. (In other words, if one of you makes the</t>
  </si>
  <si>
    <t>election, the other one can also make it but does not have</t>
  </si>
  <si>
    <t>to.) The amount of your nontaxable combat pay should be</t>
  </si>
  <si>
    <t>shown in box 12 of your Form(s) W-2 with code Q.</t>
  </si>
  <si>
    <t>Lines 4 and 5</t>
  </si>
  <si>
    <r>
      <t xml:space="preserve">1. The amount shown on </t>
    </r>
    <r>
      <rPr>
        <b/>
        <sz val="10"/>
        <rFont val="Arial"/>
        <family val="2"/>
      </rPr>
      <t>Form 1040, line 7</t>
    </r>
    <r>
      <rPr>
        <sz val="10"/>
        <rFont val="Arial"/>
        <family val="2"/>
      </rPr>
      <t>; Form</t>
    </r>
  </si>
  <si>
    <r>
      <t xml:space="preserve">2. The amount shown on </t>
    </r>
    <r>
      <rPr>
        <b/>
        <sz val="10"/>
        <rFont val="Arial"/>
        <family val="2"/>
      </rPr>
      <t>Schedule SE, line 3</t>
    </r>
    <r>
      <rPr>
        <sz val="10"/>
        <rFont val="Arial"/>
        <family val="2"/>
      </rPr>
      <t>, minus</t>
    </r>
  </si>
  <si>
    <r>
      <t xml:space="preserve">3. If you are filing </t>
    </r>
    <r>
      <rPr>
        <b/>
        <sz val="10"/>
        <rFont val="Arial"/>
        <family val="2"/>
      </rPr>
      <t>Schedule C</t>
    </r>
    <r>
      <rPr>
        <sz val="10"/>
        <rFont val="Arial"/>
        <family val="2"/>
      </rPr>
      <t xml:space="preserve"> (Form 1040) or C-EZ</t>
    </r>
  </si>
  <si>
    <t>Corrected Line 2c to subtract Line 1b from Line 1a (versus add them together). Thank you, Kevin G.</t>
  </si>
  <si>
    <t>Corrected Line 25 to include the total of all losses.  Thank you, Courtenay L.</t>
  </si>
  <si>
    <t>https://www.paypal.com/us/webapps/mpp/send-money-online</t>
  </si>
  <si>
    <r>
      <t xml:space="preserve">This spreadsheet is free.  
</t>
    </r>
    <r>
      <rPr>
        <sz val="11"/>
        <color rgb="FF800000"/>
        <rFont val="Comic Sans MS"/>
        <family val="4"/>
      </rPr>
      <t xml:space="preserve">However, if you would like to show your appreciation, 
you may make a contribution by clicking the following link to PayPal and 
sending money to 'incometaxspreadsheet@gmail.com'.
</t>
    </r>
  </si>
  <si>
    <t>Thank you!</t>
  </si>
  <si>
    <r>
      <rPr>
        <b/>
        <sz val="10"/>
        <rFont val="Arial"/>
        <family val="2"/>
      </rPr>
      <t>Note.</t>
    </r>
    <r>
      <rPr>
        <sz val="10"/>
        <rFont val="Arial"/>
        <family val="2"/>
      </rPr>
      <t xml:space="preserve"> You may aggregate all long-term transactions reported on Form(s) 1099-B showing basis was reported</t>
    </r>
  </si>
  <si>
    <t>Corrected "Worksheet" Line 4 to include amount from Form 1040, Line 38, when Schedule A is not filed.  Thank you, Mariano O.</t>
  </si>
  <si>
    <t>on line 28 is $262,450, enter $267,450</t>
  </si>
  <si>
    <t>of $20,000 ($262,450 minus $242,450).</t>
  </si>
  <si>
    <t>Updated calculation of Line 28 for "Married Filing Separately" to use 2014 values.  
Thank you, Janice S!</t>
  </si>
  <si>
    <t>Jan</t>
  </si>
  <si>
    <t>Feb</t>
  </si>
  <si>
    <t>Mar</t>
  </si>
  <si>
    <t>Apr</t>
  </si>
  <si>
    <t>Jun</t>
  </si>
  <si>
    <t>Jul</t>
  </si>
  <si>
    <t>Aug</t>
  </si>
  <si>
    <t>Sep</t>
  </si>
  <si>
    <t>Oct</t>
  </si>
  <si>
    <t>Nov</t>
  </si>
  <si>
    <t>Dec</t>
  </si>
  <si>
    <t>Corrected age calculation.  For most, the date was being calculated correctly.  However, for some people born on (or near) January 1, the age was not always correct.</t>
  </si>
  <si>
    <t>Corrected poverty level input to line 4 for those claiming 8 or more dependents.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</si>
</sst>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6" formatCode="&quot;$&quot;#,##0_);[Red]\(&quot;$&quot;#,##0\)"/>
    <numFmt numFmtId="7" formatCode="&quot;$&quot;#,##0.00_);\(&quot;$&quot;#,##0.00\)"/>
    <numFmt numFmtId="44" formatCode="_(&quot;$&quot;* #,##0.00_);_(&quot;$&quot;* \(#,##0.00\);_(&quot;$&quot;* &quot;-&quot;??_);_(@_)"/>
    <numFmt numFmtId="164" formatCode="0."/>
    <numFmt numFmtId="165" formatCode="[&lt;=9999999]###\-####;\(###\)\ ###\-####"/>
    <numFmt numFmtId="166" formatCode="000\-00\-0000"/>
    <numFmt numFmtId="167" formatCode="[&gt;9]&quot;X&quot;;#"/>
    <numFmt numFmtId="168" formatCode="&quot;$&quot;#,##0"/>
    <numFmt numFmtId="169" formatCode="mmmm\ d\,\ yyyy"/>
    <numFmt numFmtId="170" formatCode="0_);[Red]\(0\)"/>
    <numFmt numFmtId="171" formatCode="0.0%"/>
    <numFmt numFmtId="172" formatCode="#,##0.0_);\(#,##0.0\)"/>
    <numFmt numFmtId="173" formatCode="#,##0.000_);\(#,##0.000\)"/>
    <numFmt numFmtId="174" formatCode="m/d/yyyy;@"/>
    <numFmt numFmtId="175" formatCode="m/d/yyyy\ h:mm\ AM/PM"/>
    <numFmt numFmtId="176" formatCode="mmm\.\ d\,\ yyyy"/>
    <numFmt numFmtId="177" formatCode="#,##0.000"/>
    <numFmt numFmtId="178" formatCode="0_);\(0\)"/>
    <numFmt numFmtId="179" formatCode="0.000"/>
    <numFmt numFmtId="180" formatCode="#,##0.000_);[Red]\(#,##0.000\)"/>
    <numFmt numFmtId="181" formatCode="[$-409]h:mm\ AM/PM;@"/>
    <numFmt numFmtId="182" formatCode="0.0000"/>
    <numFmt numFmtId="183" formatCode=".00"/>
    <numFmt numFmtId="184" formatCode="0.0"/>
  </numFmts>
  <fonts count="238">
    <font>
      <sz val="10"/>
      <name val="Arial"/>
    </font>
    <font>
      <b/>
      <sz val="10"/>
      <name val="Arial"/>
      <family val="2"/>
    </font>
    <font>
      <i/>
      <sz val="10"/>
      <name val="Arial"/>
      <family val="2"/>
    </font>
    <font>
      <sz val="10"/>
      <name val="Arial"/>
      <family val="2"/>
    </font>
    <font>
      <b/>
      <sz val="10"/>
      <name val="Arial"/>
      <family val="2"/>
    </font>
    <font>
      <sz val="9"/>
      <name val="Arial"/>
      <family val="2"/>
    </font>
    <font>
      <b/>
      <sz val="9"/>
      <name val="Arial"/>
      <family val="2"/>
    </font>
    <font>
      <b/>
      <sz val="9"/>
      <name val="Arial"/>
      <family val="2"/>
    </font>
    <font>
      <sz val="8"/>
      <name val="Arial"/>
      <family val="2"/>
    </font>
    <font>
      <sz val="9"/>
      <name val="Arial"/>
      <family val="2"/>
    </font>
    <font>
      <b/>
      <sz val="12"/>
      <name val="Arial"/>
      <family val="2"/>
    </font>
    <font>
      <b/>
      <sz val="8"/>
      <name val="Arial"/>
      <family val="2"/>
    </font>
    <font>
      <sz val="8"/>
      <name val="Arial"/>
      <family val="2"/>
    </font>
    <font>
      <b/>
      <sz val="12"/>
      <name val="Arial"/>
      <family val="2"/>
    </font>
    <font>
      <sz val="12"/>
      <name val="Arial"/>
      <family val="2"/>
    </font>
    <font>
      <b/>
      <sz val="8"/>
      <name val="Arial"/>
      <family val="2"/>
    </font>
    <font>
      <b/>
      <sz val="11"/>
      <name val="Arial"/>
      <family val="2"/>
    </font>
    <font>
      <sz val="7"/>
      <name val="Arial"/>
      <family val="2"/>
    </font>
    <font>
      <sz val="10"/>
      <name val="Wingdings"/>
      <charset val="2"/>
    </font>
    <font>
      <sz val="10"/>
      <name val="Arial"/>
      <family val="2"/>
    </font>
    <font>
      <b/>
      <sz val="7"/>
      <name val="Arial"/>
      <family val="2"/>
    </font>
    <font>
      <b/>
      <sz val="14"/>
      <name val="Arial"/>
      <family val="2"/>
    </font>
    <font>
      <b/>
      <sz val="20"/>
      <name val="Arial"/>
      <family val="2"/>
    </font>
    <font>
      <sz val="10"/>
      <color indexed="9"/>
      <name val="Arial"/>
      <family val="2"/>
    </font>
    <font>
      <i/>
      <sz val="12"/>
      <name val="Arial"/>
      <family val="2"/>
    </font>
    <font>
      <i/>
      <sz val="11"/>
      <name val="Arial"/>
      <family val="2"/>
    </font>
    <font>
      <u/>
      <sz val="10"/>
      <name val="Arial"/>
      <family val="2"/>
    </font>
    <font>
      <b/>
      <u/>
      <sz val="10"/>
      <name val="Arial"/>
      <family val="2"/>
    </font>
    <font>
      <sz val="9"/>
      <name val="Wingdings"/>
      <charset val="2"/>
    </font>
    <font>
      <b/>
      <i/>
      <sz val="11"/>
      <name val="Arial"/>
      <family val="2"/>
    </font>
    <font>
      <b/>
      <i/>
      <sz val="11"/>
      <name val="Arial"/>
      <family val="2"/>
    </font>
    <font>
      <sz val="8"/>
      <color indexed="9"/>
      <name val="Arial"/>
      <family val="2"/>
    </font>
    <font>
      <i/>
      <sz val="10"/>
      <name val="Arial"/>
      <family val="2"/>
    </font>
    <font>
      <b/>
      <sz val="9"/>
      <color indexed="9"/>
      <name val="Arial"/>
      <family val="2"/>
    </font>
    <font>
      <sz val="9"/>
      <color indexed="8"/>
      <name val="Arial"/>
      <family val="2"/>
    </font>
    <font>
      <sz val="8"/>
      <name val="Marlett"/>
      <charset val="2"/>
    </font>
    <font>
      <b/>
      <u/>
      <sz val="12"/>
      <color indexed="18"/>
      <name val="Arial"/>
      <family val="2"/>
    </font>
    <font>
      <sz val="7"/>
      <name val="Arial"/>
      <family val="2"/>
    </font>
    <font>
      <u/>
      <sz val="8"/>
      <name val="Arial"/>
      <family val="2"/>
    </font>
    <font>
      <b/>
      <u/>
      <sz val="12"/>
      <name val="Arial"/>
      <family val="2"/>
    </font>
    <font>
      <sz val="8"/>
      <name val="Wingdings"/>
      <charset val="2"/>
    </font>
    <font>
      <sz val="10"/>
      <name val="Marlett"/>
      <charset val="2"/>
    </font>
    <font>
      <i/>
      <sz val="9"/>
      <name val="Arial"/>
      <family val="2"/>
    </font>
    <font>
      <b/>
      <sz val="12"/>
      <name val="Marlett"/>
      <charset val="2"/>
    </font>
    <font>
      <sz val="12"/>
      <name val="Marlett"/>
      <charset val="2"/>
    </font>
    <font>
      <b/>
      <sz val="8"/>
      <name val="Marlett"/>
      <charset val="2"/>
    </font>
    <font>
      <sz val="12"/>
      <name val="Arial"/>
      <family val="2"/>
    </font>
    <font>
      <b/>
      <i/>
      <sz val="12"/>
      <name val="Arial"/>
      <family val="2"/>
    </font>
    <font>
      <b/>
      <sz val="9"/>
      <name val="Marlett"/>
      <charset val="2"/>
    </font>
    <font>
      <sz val="11"/>
      <name val="Marlett"/>
      <charset val="2"/>
    </font>
    <font>
      <sz val="9"/>
      <color indexed="9"/>
      <name val="Arial"/>
      <family val="2"/>
    </font>
    <font>
      <b/>
      <sz val="16"/>
      <name val="Arial"/>
      <family val="2"/>
    </font>
    <font>
      <b/>
      <sz val="10"/>
      <name val="Wingdings"/>
      <charset val="2"/>
    </font>
    <font>
      <sz val="6"/>
      <name val="Arial"/>
      <family val="2"/>
    </font>
    <font>
      <sz val="6"/>
      <name val="Arial"/>
      <family val="2"/>
    </font>
    <font>
      <sz val="11"/>
      <name val="Arial"/>
      <family val="2"/>
    </font>
    <font>
      <b/>
      <sz val="9"/>
      <name val="Wingdings"/>
      <charset val="2"/>
    </font>
    <font>
      <b/>
      <sz val="11"/>
      <color indexed="9"/>
      <name val="Arial"/>
      <family val="2"/>
    </font>
    <font>
      <b/>
      <sz val="6"/>
      <name val="Arial"/>
      <family val="2"/>
    </font>
    <font>
      <b/>
      <sz val="10"/>
      <color indexed="9"/>
      <name val="Arial"/>
      <family val="2"/>
    </font>
    <font>
      <sz val="9"/>
      <name val="Marlett"/>
      <charset val="2"/>
    </font>
    <font>
      <b/>
      <sz val="14"/>
      <name val="Marlett"/>
      <charset val="2"/>
    </font>
    <font>
      <sz val="16"/>
      <name val="Marlett"/>
      <charset val="2"/>
    </font>
    <font>
      <b/>
      <sz val="10"/>
      <color indexed="9"/>
      <name val="Arial"/>
      <family val="2"/>
    </font>
    <font>
      <sz val="11"/>
      <color indexed="9"/>
      <name val="Arial"/>
      <family val="2"/>
    </font>
    <font>
      <b/>
      <i/>
      <sz val="9"/>
      <name val="Arial"/>
      <family val="2"/>
    </font>
    <font>
      <b/>
      <i/>
      <sz val="10"/>
      <name val="Arial"/>
      <family val="2"/>
    </font>
    <font>
      <b/>
      <sz val="10"/>
      <color indexed="10"/>
      <name val="Arial"/>
      <family val="2"/>
    </font>
    <font>
      <b/>
      <sz val="22"/>
      <name val="Arial"/>
      <family val="2"/>
    </font>
    <font>
      <sz val="10"/>
      <name val="Symbol"/>
      <family val="1"/>
      <charset val="2"/>
    </font>
    <font>
      <i/>
      <sz val="12"/>
      <name val="Century Schoolbook"/>
      <family val="1"/>
    </font>
    <font>
      <b/>
      <i/>
      <sz val="14"/>
      <name val="Times New Roman"/>
      <family val="1"/>
    </font>
    <font>
      <b/>
      <sz val="12"/>
      <color indexed="10"/>
      <name val="Arial"/>
      <family val="2"/>
    </font>
    <font>
      <b/>
      <i/>
      <sz val="12"/>
      <name val="Arial"/>
      <family val="2"/>
    </font>
    <font>
      <b/>
      <sz val="8"/>
      <color indexed="9"/>
      <name val="Arial"/>
      <family val="2"/>
    </font>
    <font>
      <sz val="8"/>
      <color indexed="8"/>
      <name val="Arial"/>
      <family val="2"/>
    </font>
    <font>
      <b/>
      <sz val="9"/>
      <color indexed="10"/>
      <name val="Arial"/>
      <family val="2"/>
    </font>
    <font>
      <b/>
      <sz val="11"/>
      <color indexed="10"/>
      <name val="Arial"/>
      <family val="2"/>
    </font>
    <font>
      <u/>
      <sz val="10"/>
      <color indexed="12"/>
      <name val="Arial"/>
      <family val="2"/>
    </font>
    <font>
      <i/>
      <sz val="12"/>
      <name val="Times New Roman"/>
      <family val="1"/>
    </font>
    <font>
      <sz val="10"/>
      <color indexed="10"/>
      <name val="Arial"/>
      <family val="2"/>
    </font>
    <font>
      <b/>
      <sz val="10"/>
      <color indexed="9"/>
      <name val="Monotype Sorts"/>
    </font>
    <font>
      <b/>
      <sz val="12"/>
      <color indexed="10"/>
      <name val="Symbol"/>
      <family val="1"/>
      <charset val="2"/>
    </font>
    <font>
      <b/>
      <sz val="10"/>
      <color indexed="10"/>
      <name val="Arial"/>
      <family val="2"/>
    </font>
    <font>
      <b/>
      <i/>
      <sz val="12"/>
      <name val="Times New Roman"/>
      <family val="1"/>
    </font>
    <font>
      <b/>
      <i/>
      <sz val="9"/>
      <color indexed="10"/>
      <name val="Arial"/>
      <family val="2"/>
    </font>
    <font>
      <b/>
      <sz val="26"/>
      <name val="Arial"/>
      <family val="2"/>
    </font>
    <font>
      <b/>
      <sz val="13"/>
      <name val="Arial"/>
      <family val="2"/>
    </font>
    <font>
      <sz val="14"/>
      <name val="Arial"/>
      <family val="2"/>
    </font>
    <font>
      <b/>
      <sz val="12"/>
      <color indexed="9"/>
      <name val="Arial"/>
      <family val="2"/>
    </font>
    <font>
      <b/>
      <sz val="8"/>
      <color indexed="10"/>
      <name val="Arial"/>
      <family val="2"/>
    </font>
    <font>
      <vertAlign val="superscript"/>
      <sz val="10"/>
      <name val="Arial"/>
      <family val="2"/>
    </font>
    <font>
      <sz val="7"/>
      <color indexed="16"/>
      <name val="Arial"/>
      <family val="2"/>
    </font>
    <font>
      <b/>
      <sz val="10"/>
      <color indexed="16"/>
      <name val="Arial"/>
      <family val="2"/>
    </font>
    <font>
      <sz val="10"/>
      <color indexed="16"/>
      <name val="Arial"/>
      <family val="2"/>
    </font>
    <font>
      <b/>
      <i/>
      <sz val="10"/>
      <color indexed="10"/>
      <name val="Arial"/>
      <family val="2"/>
    </font>
    <font>
      <b/>
      <sz val="10"/>
      <color indexed="17"/>
      <name val="Arial"/>
      <family val="2"/>
    </font>
    <font>
      <sz val="10"/>
      <color indexed="22"/>
      <name val="Arial"/>
      <family val="2"/>
    </font>
    <font>
      <b/>
      <sz val="16"/>
      <name val="Wingdings 2"/>
      <family val="1"/>
      <charset val="2"/>
    </font>
    <font>
      <sz val="10"/>
      <color indexed="8"/>
      <name val="Arial"/>
      <family val="2"/>
    </font>
    <font>
      <b/>
      <sz val="7"/>
      <name val="Arial"/>
      <family val="2"/>
    </font>
    <font>
      <b/>
      <sz val="10"/>
      <name val="Marlett"/>
      <charset val="2"/>
    </font>
    <font>
      <b/>
      <sz val="18"/>
      <name val="Arial"/>
      <family val="2"/>
    </font>
    <font>
      <sz val="9"/>
      <color indexed="9"/>
      <name val="Arial"/>
      <family val="2"/>
    </font>
    <font>
      <sz val="12"/>
      <color indexed="9"/>
      <name val="Arial"/>
      <family val="2"/>
    </font>
    <font>
      <sz val="9"/>
      <color indexed="10"/>
      <name val="Arial"/>
      <family val="2"/>
    </font>
    <font>
      <b/>
      <u/>
      <sz val="10"/>
      <color indexed="12"/>
      <name val="Arial"/>
      <family val="2"/>
    </font>
    <font>
      <sz val="8"/>
      <color indexed="10"/>
      <name val="Arial"/>
      <family val="2"/>
    </font>
    <font>
      <sz val="9"/>
      <color indexed="10"/>
      <name val="Arial"/>
      <family val="2"/>
    </font>
    <font>
      <sz val="8"/>
      <name val="Symbol"/>
      <family val="1"/>
      <charset val="2"/>
    </font>
    <font>
      <b/>
      <sz val="28"/>
      <name val="Arial"/>
      <family val="2"/>
    </font>
    <font>
      <sz val="28"/>
      <name val="Arial"/>
      <family val="2"/>
    </font>
    <font>
      <sz val="22"/>
      <name val="Arial"/>
      <family val="2"/>
    </font>
    <font>
      <i/>
      <sz val="11"/>
      <name val="Courier New"/>
      <family val="3"/>
    </font>
    <font>
      <i/>
      <sz val="11"/>
      <name val="Arial"/>
      <family val="2"/>
    </font>
    <font>
      <b/>
      <sz val="10"/>
      <name val="Symbol"/>
      <family val="1"/>
      <charset val="2"/>
    </font>
    <font>
      <b/>
      <sz val="10"/>
      <color indexed="8"/>
      <name val="Arial"/>
      <family val="2"/>
    </font>
    <font>
      <u/>
      <sz val="8"/>
      <name val="Arial"/>
      <family val="2"/>
    </font>
    <font>
      <u/>
      <sz val="9"/>
      <name val="Arial"/>
      <family val="2"/>
    </font>
    <font>
      <b/>
      <sz val="10"/>
      <color indexed="9"/>
      <name val="Marlett"/>
      <charset val="2"/>
    </font>
    <font>
      <b/>
      <sz val="7"/>
      <color indexed="10"/>
      <name val="Arial"/>
      <family val="2"/>
    </font>
    <font>
      <sz val="7"/>
      <color indexed="10"/>
      <name val="Arial"/>
      <family val="2"/>
    </font>
    <font>
      <sz val="10"/>
      <color indexed="17"/>
      <name val="Arial"/>
      <family val="2"/>
    </font>
    <font>
      <sz val="10"/>
      <name val="Arial"/>
      <family val="2"/>
    </font>
    <font>
      <sz val="7.5"/>
      <name val="Arial"/>
      <family val="2"/>
    </font>
    <font>
      <sz val="9"/>
      <color indexed="12"/>
      <name val="Arial"/>
      <family val="2"/>
    </font>
    <font>
      <b/>
      <sz val="10"/>
      <color indexed="12"/>
      <name val="Arial"/>
      <family val="2"/>
    </font>
    <font>
      <sz val="9"/>
      <color indexed="9"/>
      <name val="Arial"/>
      <family val="2"/>
    </font>
    <font>
      <sz val="8"/>
      <color indexed="9"/>
      <name val="Arial"/>
      <family val="2"/>
    </font>
    <font>
      <sz val="10"/>
      <color indexed="9"/>
      <name val="Arial"/>
      <family val="2"/>
    </font>
    <font>
      <sz val="10"/>
      <color indexed="10"/>
      <name val="Arial"/>
      <family val="2"/>
    </font>
    <font>
      <sz val="9"/>
      <color indexed="10"/>
      <name val="Arial"/>
      <family val="2"/>
    </font>
    <font>
      <b/>
      <sz val="10"/>
      <color indexed="18"/>
      <name val="Arial"/>
      <family val="2"/>
    </font>
    <font>
      <b/>
      <sz val="9"/>
      <color indexed="18"/>
      <name val="Arial"/>
      <family val="2"/>
    </font>
    <font>
      <b/>
      <sz val="12"/>
      <name val="Courier New"/>
      <family val="3"/>
    </font>
    <font>
      <sz val="12"/>
      <name val="Courier New"/>
      <family val="3"/>
    </font>
    <font>
      <b/>
      <sz val="11"/>
      <name val="Courier"/>
      <family val="3"/>
    </font>
    <font>
      <sz val="11"/>
      <name val="Courier"/>
      <family val="3"/>
    </font>
    <font>
      <sz val="12"/>
      <name val="Courier"/>
      <family val="3"/>
    </font>
    <font>
      <b/>
      <sz val="10"/>
      <name val="Courier New"/>
      <family val="3"/>
    </font>
    <font>
      <sz val="8"/>
      <color indexed="22"/>
      <name val="Arial"/>
      <family val="2"/>
    </font>
    <font>
      <b/>
      <sz val="10"/>
      <color indexed="9"/>
      <name val="Arial"/>
      <family val="2"/>
    </font>
    <font>
      <b/>
      <sz val="12"/>
      <name val="Calibri"/>
      <family val="2"/>
    </font>
    <font>
      <sz val="10"/>
      <color indexed="9"/>
      <name val="Arial"/>
      <family val="2"/>
    </font>
    <font>
      <sz val="10"/>
      <color indexed="22"/>
      <name val="Arial"/>
      <family val="2"/>
    </font>
    <font>
      <sz val="9"/>
      <color indexed="9"/>
      <name val="Arial"/>
      <family val="2"/>
    </font>
    <font>
      <b/>
      <sz val="10"/>
      <color indexed="10"/>
      <name val="Arial"/>
      <family val="2"/>
    </font>
    <font>
      <sz val="10"/>
      <name val="Monotype Sorts"/>
      <charset val="2"/>
    </font>
    <font>
      <sz val="12"/>
      <name val="Wingdings"/>
      <charset val="2"/>
    </font>
    <font>
      <b/>
      <i/>
      <sz val="12"/>
      <name val="Marlett"/>
      <charset val="2"/>
    </font>
    <font>
      <b/>
      <sz val="12"/>
      <color indexed="10"/>
      <name val="Symbol"/>
      <family val="1"/>
      <charset val="2"/>
    </font>
    <font>
      <b/>
      <sz val="8"/>
      <color indexed="9"/>
      <name val="Arial"/>
      <family val="2"/>
    </font>
    <font>
      <b/>
      <sz val="8"/>
      <color indexed="10"/>
      <name val="Arial"/>
      <family val="2"/>
    </font>
    <font>
      <sz val="10"/>
      <color indexed="22"/>
      <name val="Arial"/>
      <family val="2"/>
    </font>
    <font>
      <sz val="10"/>
      <color indexed="9"/>
      <name val="Arial"/>
      <family val="2"/>
    </font>
    <font>
      <b/>
      <sz val="10"/>
      <color indexed="9"/>
      <name val="Arial"/>
      <family val="2"/>
    </font>
    <font>
      <b/>
      <sz val="24"/>
      <name val="Arial"/>
      <family val="2"/>
    </font>
    <font>
      <sz val="8"/>
      <name val="Arial"/>
      <family val="2"/>
    </font>
    <font>
      <b/>
      <sz val="9"/>
      <name val="Arial"/>
      <family val="2"/>
    </font>
    <font>
      <b/>
      <sz val="9"/>
      <color indexed="8"/>
      <name val="Arial"/>
      <family val="2"/>
    </font>
    <font>
      <u/>
      <sz val="10"/>
      <color indexed="12"/>
      <name val="Arial"/>
      <family val="2"/>
    </font>
    <font>
      <sz val="7"/>
      <name val="Marlett"/>
      <charset val="2"/>
    </font>
    <font>
      <b/>
      <u/>
      <sz val="9"/>
      <name val="Arial"/>
      <family val="2"/>
    </font>
    <font>
      <b/>
      <sz val="8"/>
      <color rgb="FFFF0000"/>
      <name val="Arial"/>
      <family val="2"/>
    </font>
    <font>
      <b/>
      <sz val="10"/>
      <color theme="0" tint="-0.499984740745262"/>
      <name val="Arial"/>
      <family val="2"/>
    </font>
    <font>
      <sz val="10"/>
      <color theme="0" tint="-0.499984740745262"/>
      <name val="Arial"/>
      <family val="2"/>
    </font>
    <font>
      <sz val="10"/>
      <color rgb="FFFF0000"/>
      <name val="Arial"/>
      <family val="2"/>
    </font>
    <font>
      <sz val="10"/>
      <color theme="0"/>
      <name val="Arial"/>
      <family val="2"/>
    </font>
    <font>
      <sz val="10"/>
      <color theme="0" tint="-0.24994659260841701"/>
      <name val="Arial"/>
      <family val="2"/>
    </font>
    <font>
      <sz val="8"/>
      <color theme="0"/>
      <name val="Arial"/>
      <family val="2"/>
    </font>
    <font>
      <sz val="10"/>
      <color theme="0" tint="-0.249977111117893"/>
      <name val="Arial"/>
      <family val="2"/>
    </font>
    <font>
      <sz val="8"/>
      <color theme="6" tint="0.79998168889431442"/>
      <name val="Arial"/>
      <family val="2"/>
    </font>
    <font>
      <b/>
      <sz val="8"/>
      <color theme="6" tint="0.79998168889431442"/>
      <name val="Arial"/>
      <family val="2"/>
    </font>
    <font>
      <b/>
      <sz val="10"/>
      <color theme="6" tint="0.79998168889431442"/>
      <name val="Arial"/>
      <family val="2"/>
    </font>
    <font>
      <sz val="10"/>
      <color theme="6" tint="0.79998168889431442"/>
      <name val="Arial"/>
      <family val="2"/>
    </font>
    <font>
      <sz val="7"/>
      <color theme="6" tint="0.79998168889431442"/>
      <name val="Arial"/>
      <family val="2"/>
    </font>
    <font>
      <b/>
      <i/>
      <sz val="8"/>
      <name val="Arial"/>
      <family val="2"/>
    </font>
    <font>
      <sz val="9"/>
      <color rgb="FFFF0000"/>
      <name val="Arial"/>
      <family val="2"/>
    </font>
    <font>
      <b/>
      <sz val="7"/>
      <name val="Marlett"/>
      <charset val="2"/>
    </font>
    <font>
      <b/>
      <i/>
      <sz val="7"/>
      <name val="Arial"/>
      <family val="2"/>
    </font>
    <font>
      <sz val="9"/>
      <color theme="0"/>
      <name val="Arial"/>
      <family val="2"/>
    </font>
    <font>
      <sz val="8"/>
      <color rgb="FFFF0000"/>
      <name val="Arial"/>
      <family val="2"/>
    </font>
    <font>
      <i/>
      <sz val="10"/>
      <name val="Calibri"/>
      <family val="2"/>
      <scheme val="minor"/>
    </font>
    <font>
      <i/>
      <sz val="7"/>
      <name val="Arial"/>
      <family val="2"/>
    </font>
    <font>
      <i/>
      <sz val="9"/>
      <color rgb="FFFF0000"/>
      <name val="Arial"/>
      <family val="2"/>
    </font>
    <font>
      <b/>
      <sz val="9"/>
      <color rgb="FFFF0000"/>
      <name val="Arial"/>
      <family val="2"/>
    </font>
    <font>
      <sz val="16"/>
      <name val="Arial"/>
      <family val="2"/>
    </font>
    <font>
      <b/>
      <sz val="10"/>
      <color rgb="FFFF0000"/>
      <name val="Arial"/>
      <family val="2"/>
    </font>
    <font>
      <b/>
      <sz val="9"/>
      <color theme="0"/>
      <name val="Arial"/>
      <family val="2"/>
    </font>
    <font>
      <b/>
      <sz val="12"/>
      <color theme="0"/>
      <name val="Arial"/>
      <family val="2"/>
    </font>
    <font>
      <sz val="8"/>
      <name val="Calibri"/>
      <family val="2"/>
    </font>
    <font>
      <sz val="26"/>
      <name val="Arial"/>
      <family val="2"/>
    </font>
    <font>
      <b/>
      <sz val="10"/>
      <color theme="0"/>
      <name val="Arial"/>
      <family val="2"/>
    </font>
    <font>
      <sz val="10"/>
      <color theme="4" tint="0.39997558519241921"/>
      <name val="Arial"/>
      <family val="2"/>
    </font>
    <font>
      <sz val="10"/>
      <color theme="0" tint="-4.9989318521683403E-2"/>
      <name val="Arial"/>
      <family val="2"/>
    </font>
    <font>
      <b/>
      <sz val="9"/>
      <color theme="0" tint="-4.9989318521683403E-2"/>
      <name val="Arial"/>
      <family val="2"/>
    </font>
    <font>
      <b/>
      <sz val="10"/>
      <color theme="0" tint="-4.9989318521683403E-2"/>
      <name val="Arial"/>
      <family val="2"/>
    </font>
    <font>
      <sz val="8"/>
      <color theme="0" tint="-0.24994659260841701"/>
      <name val="Arial"/>
      <family val="2"/>
    </font>
    <font>
      <b/>
      <u/>
      <sz val="9"/>
      <color indexed="8"/>
      <name val="Arial"/>
      <family val="2"/>
    </font>
    <font>
      <b/>
      <sz val="9"/>
      <color theme="0" tint="-0.249977111117893"/>
      <name val="Arial"/>
      <family val="2"/>
    </font>
    <font>
      <sz val="8"/>
      <color theme="0" tint="-0.249977111117893"/>
      <name val="Arial"/>
      <family val="2"/>
    </font>
    <font>
      <sz val="10"/>
      <name val="Courier New"/>
      <family val="3"/>
    </font>
    <font>
      <sz val="12"/>
      <color rgb="FFFF0000"/>
      <name val="Arial"/>
      <family val="2"/>
    </font>
    <font>
      <b/>
      <i/>
      <sz val="14"/>
      <name val="Arial"/>
      <family val="2"/>
    </font>
    <font>
      <sz val="10"/>
      <color theme="0" tint="-0.34998626667073579"/>
      <name val="Arial"/>
      <family val="2"/>
    </font>
    <font>
      <i/>
      <sz val="8"/>
      <name val="Arial"/>
      <family val="2"/>
    </font>
    <font>
      <sz val="7"/>
      <color theme="0"/>
      <name val="Arial"/>
      <family val="2"/>
    </font>
    <font>
      <sz val="24"/>
      <name val="Arial"/>
      <family val="2"/>
    </font>
    <font>
      <sz val="11"/>
      <color theme="0"/>
      <name val="Arial"/>
      <family val="2"/>
    </font>
    <font>
      <sz val="9"/>
      <name val="Arial Narrow"/>
      <family val="2"/>
    </font>
    <font>
      <sz val="10"/>
      <name val="Arial Narrow"/>
      <family val="2"/>
    </font>
    <font>
      <b/>
      <sz val="11"/>
      <name val="Courier New"/>
      <family val="3"/>
    </font>
    <font>
      <sz val="11"/>
      <name val="Courier New"/>
      <family val="3"/>
    </font>
    <font>
      <i/>
      <sz val="10"/>
      <color indexed="8"/>
      <name val="Arial"/>
      <family val="2"/>
    </font>
    <font>
      <b/>
      <sz val="8"/>
      <color theme="0"/>
      <name val="Arial"/>
      <family val="2"/>
    </font>
    <font>
      <sz val="8"/>
      <color theme="0" tint="-4.9989318521683403E-2"/>
      <name val="Arial"/>
      <family val="2"/>
    </font>
    <font>
      <b/>
      <sz val="12"/>
      <color indexed="12"/>
      <name val="Arial"/>
      <family val="2"/>
    </font>
    <font>
      <sz val="7.05"/>
      <name val="Arial"/>
      <family val="2"/>
    </font>
    <font>
      <sz val="11"/>
      <name val="Calibri"/>
      <family val="2"/>
    </font>
    <font>
      <b/>
      <sz val="10"/>
      <color rgb="FFD1FFFF"/>
      <name val="Arial"/>
      <family val="2"/>
    </font>
    <font>
      <sz val="8.5"/>
      <color rgb="FF000000"/>
      <name val="Arial"/>
      <family val="2"/>
    </font>
    <font>
      <sz val="8.5"/>
      <color theme="0"/>
      <name val="Arial"/>
      <family val="2"/>
    </font>
    <font>
      <sz val="8.5"/>
      <name val="Arial"/>
      <family val="2"/>
    </font>
    <font>
      <b/>
      <sz val="8.5"/>
      <name val="Arial"/>
      <family val="2"/>
    </font>
    <font>
      <sz val="10"/>
      <name val="Arial"/>
      <family val="2"/>
    </font>
    <font>
      <sz val="8"/>
      <name val="Arial"/>
      <family val="2"/>
    </font>
    <font>
      <b/>
      <sz val="8"/>
      <name val="Arial"/>
      <family val="2"/>
    </font>
    <font>
      <b/>
      <sz val="9"/>
      <name val="Arial"/>
      <family val="2"/>
    </font>
    <font>
      <b/>
      <sz val="10"/>
      <name val="Arial"/>
      <family val="2"/>
    </font>
    <font>
      <i/>
      <sz val="10"/>
      <name val="Arial"/>
      <family val="2"/>
    </font>
    <font>
      <b/>
      <sz val="20"/>
      <name val="Arial"/>
      <family val="2"/>
    </font>
    <font>
      <u/>
      <sz val="10"/>
      <color indexed="12"/>
      <name val="Arial"/>
      <family val="2"/>
    </font>
    <font>
      <sz val="10"/>
      <color rgb="FF00B050"/>
      <name val="Arial"/>
      <family val="2"/>
    </font>
    <font>
      <b/>
      <sz val="10"/>
      <color rgb="FFC00000"/>
      <name val="Arial"/>
      <family val="2"/>
    </font>
    <font>
      <sz val="18"/>
      <color rgb="FF800000"/>
      <name val="Comic Sans MS"/>
      <family val="4"/>
    </font>
    <font>
      <sz val="11"/>
      <color rgb="FF800000"/>
      <name val="Comic Sans MS"/>
      <family val="4"/>
    </font>
    <font>
      <b/>
      <sz val="10"/>
      <color theme="9" tint="-0.499984740745262"/>
      <name val="Comic Sans MS"/>
      <family val="4"/>
    </font>
    <font>
      <sz val="10"/>
      <color rgb="FFC00000"/>
      <name val="Arial"/>
      <family val="2"/>
    </font>
  </fonts>
  <fills count="38">
    <fill>
      <patternFill patternType="none"/>
    </fill>
    <fill>
      <patternFill patternType="gray125"/>
    </fill>
    <fill>
      <patternFill patternType="solid">
        <fgColor indexed="9"/>
        <bgColor indexed="64"/>
      </patternFill>
    </fill>
    <fill>
      <patternFill patternType="solid">
        <fgColor indexed="9"/>
        <bgColor indexed="9"/>
      </patternFill>
    </fill>
    <fill>
      <patternFill patternType="solid">
        <fgColor indexed="9"/>
        <bgColor indexed="26"/>
      </patternFill>
    </fill>
    <fill>
      <patternFill patternType="solid">
        <fgColor indexed="22"/>
        <bgColor indexed="64"/>
      </patternFill>
    </fill>
    <fill>
      <patternFill patternType="solid">
        <fgColor indexed="29"/>
        <bgColor indexed="64"/>
      </patternFill>
    </fill>
    <fill>
      <patternFill patternType="solid">
        <fgColor indexed="22"/>
        <bgColor indexed="9"/>
      </patternFill>
    </fill>
    <fill>
      <patternFill patternType="darkUp">
        <bgColor indexed="9"/>
      </patternFill>
    </fill>
    <fill>
      <patternFill patternType="darkUp">
        <fgColor indexed="8"/>
        <bgColor indexed="9"/>
      </patternFill>
    </fill>
    <fill>
      <patternFill patternType="lightUp">
        <bgColor indexed="9"/>
      </patternFill>
    </fill>
    <fill>
      <patternFill patternType="solid">
        <fgColor indexed="8"/>
        <bgColor indexed="9"/>
      </patternFill>
    </fill>
    <fill>
      <patternFill patternType="lightUp"/>
    </fill>
    <fill>
      <patternFill patternType="solid">
        <fgColor indexed="65"/>
        <bgColor indexed="64"/>
      </patternFill>
    </fill>
    <fill>
      <patternFill patternType="solid">
        <fgColor indexed="47"/>
        <bgColor indexed="64"/>
      </patternFill>
    </fill>
    <fill>
      <patternFill patternType="solid">
        <fgColor indexed="44"/>
        <bgColor indexed="9"/>
      </patternFill>
    </fill>
    <fill>
      <patternFill patternType="solid">
        <fgColor indexed="22"/>
        <bgColor indexed="26"/>
      </patternFill>
    </fill>
    <fill>
      <patternFill patternType="solid">
        <fgColor indexed="8"/>
        <bgColor indexed="64"/>
      </patternFill>
    </fill>
    <fill>
      <patternFill patternType="darkUp">
        <fgColor indexed="9"/>
        <bgColor indexed="8"/>
      </patternFill>
    </fill>
    <fill>
      <patternFill patternType="darkUp">
        <fgColor indexed="9"/>
        <bgColor indexed="9"/>
      </patternFill>
    </fill>
    <fill>
      <patternFill patternType="solid">
        <fgColor theme="0"/>
        <bgColor indexed="9"/>
      </patternFill>
    </fill>
    <fill>
      <patternFill patternType="solid">
        <fgColor theme="0"/>
        <bgColor indexed="64"/>
      </patternFill>
    </fill>
    <fill>
      <patternFill patternType="solid">
        <fgColor theme="4" tint="0.79998168889431442"/>
        <bgColor indexed="64"/>
      </patternFill>
    </fill>
    <fill>
      <patternFill patternType="lightUp">
        <bgColor theme="0"/>
      </patternFill>
    </fill>
    <fill>
      <patternFill patternType="solid">
        <fgColor rgb="FFD1FFFF"/>
        <bgColor indexed="64"/>
      </patternFill>
    </fill>
    <fill>
      <patternFill patternType="solid">
        <fgColor theme="0" tint="-0.14996795556505021"/>
        <bgColor indexed="64"/>
      </patternFill>
    </fill>
    <fill>
      <patternFill patternType="solid">
        <fgColor theme="4" tint="0.79998168889431442"/>
        <bgColor indexed="9"/>
      </patternFill>
    </fill>
    <fill>
      <patternFill patternType="solid">
        <fgColor theme="0" tint="-0.24994659260841701"/>
        <bgColor indexed="64"/>
      </patternFill>
    </fill>
    <fill>
      <patternFill patternType="solid">
        <fgColor theme="0" tint="-0.14996795556505021"/>
        <bgColor indexe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59996337778862885"/>
        <bgColor indexed="9"/>
      </patternFill>
    </fill>
    <fill>
      <patternFill patternType="solid">
        <fgColor theme="4" tint="0.59996337778862885"/>
        <bgColor indexed="64"/>
      </patternFill>
    </fill>
    <fill>
      <patternFill patternType="solid">
        <fgColor theme="4" tint="0.59999389629810485"/>
        <bgColor indexed="9"/>
      </patternFill>
    </fill>
    <fill>
      <patternFill patternType="solid">
        <fgColor theme="0" tint="-4.9989318521683403E-2"/>
        <bgColor indexed="9"/>
      </patternFill>
    </fill>
    <fill>
      <patternFill patternType="solid">
        <fgColor theme="8" tint="0.79998168889431442"/>
        <bgColor indexed="9"/>
      </patternFill>
    </fill>
    <fill>
      <patternFill patternType="solid">
        <fgColor theme="3" tint="0.59999389629810485"/>
        <bgColor indexed="64"/>
      </patternFill>
    </fill>
  </fills>
  <borders count="13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top/>
      <bottom style="dotted">
        <color indexed="64"/>
      </bottom>
      <diagonal/>
    </border>
    <border>
      <left/>
      <right/>
      <top/>
      <bottom style="medium">
        <color indexed="64"/>
      </bottom>
      <diagonal/>
    </border>
    <border>
      <left style="medium">
        <color indexed="64"/>
      </left>
      <right/>
      <top/>
      <bottom/>
      <diagonal/>
    </border>
    <border>
      <left style="thin">
        <color indexed="64"/>
      </left>
      <right style="thin">
        <color indexed="64"/>
      </right>
      <top/>
      <bottom/>
      <diagonal/>
    </border>
    <border>
      <left/>
      <right/>
      <top style="medium">
        <color indexed="64"/>
      </top>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ck">
        <color indexed="64"/>
      </top>
      <bottom/>
      <diagonal/>
    </border>
    <border>
      <left/>
      <right style="thin">
        <color indexed="64"/>
      </right>
      <top/>
      <bottom style="thick">
        <color indexed="64"/>
      </bottom>
      <diagonal/>
    </border>
    <border>
      <left style="thin">
        <color indexed="64"/>
      </left>
      <right style="dotted">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indexed="64"/>
      </right>
      <top/>
      <bottom/>
      <diagonal/>
    </border>
    <border>
      <left/>
      <right/>
      <top style="thin">
        <color indexed="64"/>
      </top>
      <bottom style="thin">
        <color indexed="64"/>
      </bottom>
      <diagonal/>
    </border>
    <border>
      <left style="medium">
        <color indexed="64"/>
      </left>
      <right/>
      <top/>
      <bottom style="thin">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ck">
        <color indexed="64"/>
      </right>
      <top style="thick">
        <color indexed="64"/>
      </top>
      <bottom/>
      <diagonal/>
    </border>
    <border>
      <left/>
      <right style="thick">
        <color indexed="64"/>
      </right>
      <top/>
      <bottom style="thick">
        <color indexed="64"/>
      </bottom>
      <diagonal/>
    </border>
    <border>
      <left/>
      <right/>
      <top style="thick">
        <color indexed="64"/>
      </top>
      <bottom style="thin">
        <color indexed="64"/>
      </bottom>
      <diagonal/>
    </border>
    <border>
      <left style="thin">
        <color indexed="64"/>
      </left>
      <right/>
      <top/>
      <bottom style="thick">
        <color indexed="64"/>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style="dashed">
        <color indexed="64"/>
      </bottom>
      <diagonal/>
    </border>
    <border>
      <left/>
      <right style="medium">
        <color indexed="64"/>
      </right>
      <top style="dashed">
        <color indexed="64"/>
      </top>
      <bottom style="dashed">
        <color indexed="64"/>
      </bottom>
      <diagonal/>
    </border>
    <border>
      <left/>
      <right style="medium">
        <color indexed="64"/>
      </right>
      <top style="dashed">
        <color indexed="64"/>
      </top>
      <bottom style="medium">
        <color indexed="64"/>
      </bottom>
      <diagonal/>
    </border>
    <border>
      <left style="thin">
        <color indexed="64"/>
      </left>
      <right style="thin">
        <color indexed="64"/>
      </right>
      <top style="medium">
        <color indexed="64"/>
      </top>
      <bottom style="thin">
        <color indexed="64"/>
      </bottom>
      <diagonal/>
    </border>
    <border>
      <left/>
      <right/>
      <top/>
      <bottom style="double">
        <color indexed="64"/>
      </bottom>
      <diagonal/>
    </border>
    <border>
      <left/>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style="dotted">
        <color indexed="64"/>
      </top>
      <bottom/>
      <diagonal/>
    </border>
    <border>
      <left/>
      <right/>
      <top/>
      <bottom style="dotted">
        <color indexed="22"/>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
      <left/>
      <right style="thick">
        <color indexed="64"/>
      </right>
      <top/>
      <bottom style="medium">
        <color indexed="64"/>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thick">
        <color indexed="64"/>
      </right>
      <top/>
      <bottom/>
      <diagonal/>
    </border>
    <border>
      <left/>
      <right/>
      <top/>
      <bottom style="mediumDashDot">
        <color indexed="64"/>
      </bottom>
      <diagonal/>
    </border>
    <border>
      <left/>
      <right/>
      <top style="mediumDashDot">
        <color indexed="64"/>
      </top>
      <bottom/>
      <diagonal/>
    </border>
    <border>
      <left/>
      <right/>
      <top style="mediumDashDot">
        <color indexed="64"/>
      </top>
      <bottom style="thick">
        <color indexed="64"/>
      </bottom>
      <diagonal/>
    </border>
    <border>
      <left/>
      <right/>
      <top/>
      <bottom style="mediumDashDotDot">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ck">
        <color indexed="64"/>
      </bottom>
      <diagonal/>
    </border>
    <border>
      <left/>
      <right/>
      <top style="medium">
        <color indexed="64"/>
      </top>
      <bottom style="dotted">
        <color indexed="64"/>
      </bottom>
      <diagonal/>
    </border>
    <border>
      <left/>
      <right style="dashed">
        <color indexed="64"/>
      </right>
      <top style="thin">
        <color indexed="64"/>
      </top>
      <bottom style="thin">
        <color indexed="64"/>
      </bottom>
      <diagonal/>
    </border>
    <border>
      <left/>
      <right style="thin">
        <color indexed="64"/>
      </right>
      <top/>
      <bottom style="dott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right/>
      <top/>
      <bottom style="dashed">
        <color indexed="64"/>
      </bottom>
      <diagonal/>
    </border>
    <border>
      <left/>
      <right style="medium">
        <color indexed="64"/>
      </right>
      <top style="thin">
        <color indexed="64"/>
      </top>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right style="thin">
        <color indexed="64"/>
      </right>
      <top/>
      <bottom style="dash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style="thick">
        <color indexed="64"/>
      </right>
      <top/>
      <bottom style="thin">
        <color indexed="64"/>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style="thin">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bottom/>
      <diagonal/>
    </border>
    <border>
      <left style="thick">
        <color indexed="64"/>
      </left>
      <right/>
      <top/>
      <bottom style="thin">
        <color indexed="64"/>
      </bottom>
      <diagonal/>
    </border>
    <border>
      <left style="thin">
        <color indexed="64"/>
      </left>
      <right style="thin">
        <color indexed="64"/>
      </right>
      <top/>
      <bottom style="thick">
        <color indexed="64"/>
      </bottom>
      <diagonal/>
    </border>
    <border>
      <left/>
      <right/>
      <top style="thick">
        <color indexed="64"/>
      </top>
      <bottom style="medium">
        <color indexed="64"/>
      </bottom>
      <diagonal/>
    </border>
    <border>
      <left/>
      <right style="thick">
        <color indexed="64"/>
      </right>
      <top style="thin">
        <color indexed="64"/>
      </top>
      <bottom/>
      <diagonal/>
    </border>
    <border>
      <left/>
      <right style="thick">
        <color indexed="64"/>
      </right>
      <top style="thin">
        <color indexed="64"/>
      </top>
      <bottom style="thin">
        <color indexed="64"/>
      </bottom>
      <diagonal/>
    </border>
    <border>
      <left style="thin">
        <color indexed="64"/>
      </left>
      <right/>
      <top style="thin">
        <color indexed="64"/>
      </top>
      <bottom style="dashed">
        <color indexed="64"/>
      </bottom>
      <diagonal/>
    </border>
    <border>
      <left style="thick">
        <color indexed="64"/>
      </left>
      <right/>
      <top style="thin">
        <color indexed="64"/>
      </top>
      <bottom style="thin">
        <color indexed="64"/>
      </bottom>
      <diagonal/>
    </border>
    <border>
      <left style="medium">
        <color indexed="64"/>
      </left>
      <right style="medium">
        <color indexed="64"/>
      </right>
      <top/>
      <bottom/>
      <diagonal/>
    </border>
    <border>
      <left style="thin">
        <color indexed="64"/>
      </left>
      <right style="dotted">
        <color indexed="64"/>
      </right>
      <top/>
      <bottom/>
      <diagonal/>
    </border>
    <border>
      <left style="dotted">
        <color indexed="64"/>
      </left>
      <right style="thin">
        <color indexed="64"/>
      </right>
      <top/>
      <bottom/>
      <diagonal/>
    </border>
    <border>
      <left style="dotted">
        <color indexed="64"/>
      </left>
      <right style="thin">
        <color indexed="64"/>
      </right>
      <top/>
      <bottom style="thin">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thick">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ck">
        <color indexed="64"/>
      </bottom>
      <diagonal/>
    </border>
    <border>
      <left style="medium">
        <color indexed="64"/>
      </left>
      <right style="thin">
        <color indexed="64"/>
      </right>
      <top/>
      <bottom style="medium">
        <color indexed="64"/>
      </bottom>
      <diagonal/>
    </border>
  </borders>
  <cellStyleXfs count="6">
    <xf numFmtId="0" fontId="0" fillId="0" borderId="0"/>
    <xf numFmtId="44" fontId="3" fillId="0" borderId="0" applyFont="0" applyFill="0" applyBorder="0" applyAlignment="0" applyProtection="0"/>
    <xf numFmtId="0" fontId="78"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3" fillId="0" borderId="0"/>
    <xf numFmtId="0" fontId="231" fillId="0" borderId="0" applyNumberFormat="0" applyFill="0" applyBorder="0" applyAlignment="0" applyProtection="0">
      <alignment vertical="top"/>
      <protection locked="0"/>
    </xf>
  </cellStyleXfs>
  <cellXfs count="5234">
    <xf numFmtId="0" fontId="0" fillId="0" borderId="0" xfId="0"/>
    <xf numFmtId="0" fontId="1" fillId="0" borderId="0" xfId="0" applyFont="1"/>
    <xf numFmtId="4" fontId="5" fillId="0" borderId="0" xfId="0" applyNumberFormat="1" applyFont="1"/>
    <xf numFmtId="0" fontId="0" fillId="0" borderId="0" xfId="0" applyBorder="1"/>
    <xf numFmtId="0" fontId="8" fillId="0" borderId="0" xfId="0" applyFont="1"/>
    <xf numFmtId="0" fontId="0" fillId="0" borderId="0" xfId="0" applyFill="1"/>
    <xf numFmtId="0" fontId="1" fillId="0" borderId="0" xfId="0" applyFont="1" applyProtection="1"/>
    <xf numFmtId="0" fontId="0" fillId="0" borderId="0" xfId="0" applyProtection="1"/>
    <xf numFmtId="4" fontId="0" fillId="0" borderId="0" xfId="0" applyNumberFormat="1" applyProtection="1"/>
    <xf numFmtId="0" fontId="8" fillId="0" borderId="0" xfId="0" applyFont="1" applyProtection="1"/>
    <xf numFmtId="0" fontId="23" fillId="0" borderId="0" xfId="0" applyFont="1" applyProtection="1">
      <protection hidden="1"/>
    </xf>
    <xf numFmtId="0" fontId="19" fillId="0" borderId="0" xfId="0" applyFont="1" applyProtection="1">
      <protection hidden="1"/>
    </xf>
    <xf numFmtId="0" fontId="19" fillId="0" borderId="0" xfId="0" applyFont="1" applyBorder="1" applyProtection="1">
      <protection hidden="1"/>
    </xf>
    <xf numFmtId="0" fontId="23" fillId="0" borderId="0" xfId="0" applyFont="1" applyBorder="1"/>
    <xf numFmtId="4" fontId="23" fillId="2" borderId="0" xfId="0" applyNumberFormat="1" applyFont="1" applyFill="1" applyBorder="1" applyProtection="1">
      <protection hidden="1"/>
    </xf>
    <xf numFmtId="39" fontId="5" fillId="0" borderId="0" xfId="0" applyNumberFormat="1" applyFont="1" applyFill="1" applyBorder="1" applyAlignment="1" applyProtection="1">
      <alignment horizontal="right"/>
      <protection hidden="1"/>
    </xf>
    <xf numFmtId="0" fontId="6" fillId="0" borderId="0" xfId="0" applyFont="1" applyFill="1" applyBorder="1" applyAlignment="1" applyProtection="1">
      <alignment horizontal="right"/>
      <protection hidden="1"/>
    </xf>
    <xf numFmtId="0" fontId="5" fillId="0" borderId="0" xfId="0" applyFont="1" applyFill="1" applyBorder="1" applyAlignment="1" applyProtection="1">
      <alignment horizontal="left"/>
      <protection hidden="1"/>
    </xf>
    <xf numFmtId="4" fontId="5" fillId="0" borderId="0" xfId="0" applyNumberFormat="1" applyFont="1" applyFill="1" applyBorder="1" applyAlignment="1" applyProtection="1">
      <alignment horizontal="left"/>
      <protection hidden="1"/>
    </xf>
    <xf numFmtId="4" fontId="5" fillId="0" borderId="0" xfId="0" applyNumberFormat="1" applyFont="1" applyFill="1" applyBorder="1" applyAlignment="1" applyProtection="1">
      <alignment horizontal="center"/>
      <protection hidden="1"/>
    </xf>
    <xf numFmtId="39" fontId="5" fillId="0" borderId="0" xfId="0" applyNumberFormat="1" applyFont="1" applyFill="1" applyBorder="1" applyAlignment="1" applyProtection="1">
      <alignment horizontal="center"/>
      <protection hidden="1"/>
    </xf>
    <xf numFmtId="0" fontId="23" fillId="2" borderId="0" xfId="0" applyFont="1" applyFill="1" applyProtection="1">
      <protection hidden="1"/>
    </xf>
    <xf numFmtId="0" fontId="23" fillId="2" borderId="0" xfId="0" applyFont="1" applyFill="1" applyBorder="1" applyProtection="1">
      <protection hidden="1"/>
    </xf>
    <xf numFmtId="0" fontId="5" fillId="0" borderId="0" xfId="0" applyFont="1" applyProtection="1"/>
    <xf numFmtId="0" fontId="1" fillId="0" borderId="0" xfId="0" applyFont="1" applyBorder="1"/>
    <xf numFmtId="4" fontId="5" fillId="0" borderId="0" xfId="0" applyNumberFormat="1" applyFont="1" applyBorder="1"/>
    <xf numFmtId="4" fontId="5" fillId="0" borderId="0" xfId="0" applyNumberFormat="1" applyFont="1" applyBorder="1" applyAlignment="1"/>
    <xf numFmtId="0" fontId="1" fillId="3" borderId="1" xfId="0" applyFont="1" applyFill="1" applyBorder="1" applyProtection="1">
      <protection hidden="1"/>
    </xf>
    <xf numFmtId="0" fontId="0" fillId="3" borderId="1" xfId="0" applyFill="1" applyBorder="1" applyProtection="1">
      <protection hidden="1"/>
    </xf>
    <xf numFmtId="4" fontId="0" fillId="3" borderId="1" xfId="0" applyNumberFormat="1" applyFill="1" applyBorder="1" applyProtection="1">
      <protection hidden="1"/>
    </xf>
    <xf numFmtId="0" fontId="5" fillId="3" borderId="3" xfId="0" applyFont="1" applyFill="1" applyBorder="1" applyProtection="1">
      <protection hidden="1"/>
    </xf>
    <xf numFmtId="4" fontId="5" fillId="3" borderId="0" xfId="0" applyNumberFormat="1" applyFont="1" applyFill="1" applyBorder="1" applyAlignment="1" applyProtection="1">
      <alignment horizontal="right"/>
      <protection hidden="1"/>
    </xf>
    <xf numFmtId="4" fontId="5" fillId="3" borderId="3" xfId="0" applyNumberFormat="1" applyFont="1" applyFill="1" applyBorder="1" applyProtection="1">
      <protection hidden="1"/>
    </xf>
    <xf numFmtId="4" fontId="6" fillId="3" borderId="3" xfId="0" applyNumberFormat="1" applyFont="1" applyFill="1" applyBorder="1" applyAlignment="1" applyProtection="1">
      <alignment horizontal="center"/>
      <protection hidden="1"/>
    </xf>
    <xf numFmtId="0" fontId="8" fillId="3" borderId="0" xfId="0" applyFont="1" applyFill="1" applyBorder="1" applyProtection="1">
      <protection hidden="1"/>
    </xf>
    <xf numFmtId="0" fontId="8" fillId="3" borderId="4" xfId="0" applyFont="1" applyFill="1" applyBorder="1" applyProtection="1">
      <protection hidden="1"/>
    </xf>
    <xf numFmtId="0" fontId="1" fillId="3" borderId="0" xfId="0" applyFont="1" applyFill="1" applyProtection="1">
      <protection hidden="1"/>
    </xf>
    <xf numFmtId="0" fontId="0" fillId="2" borderId="0" xfId="0" applyFill="1" applyProtection="1">
      <protection hidden="1"/>
    </xf>
    <xf numFmtId="0" fontId="1" fillId="2" borderId="0" xfId="0" applyFont="1" applyFill="1" applyProtection="1">
      <protection hidden="1"/>
    </xf>
    <xf numFmtId="0" fontId="0" fillId="4" borderId="0" xfId="0" applyFill="1" applyAlignment="1" applyProtection="1">
      <protection locked="0"/>
    </xf>
    <xf numFmtId="0" fontId="0" fillId="4" borderId="5" xfId="0" applyFill="1" applyBorder="1" applyProtection="1">
      <protection locked="0" hidden="1"/>
    </xf>
    <xf numFmtId="0" fontId="0" fillId="4" borderId="0" xfId="0" applyFill="1" applyBorder="1" applyProtection="1">
      <protection locked="0" hidden="1"/>
    </xf>
    <xf numFmtId="0" fontId="0" fillId="4" borderId="0" xfId="0" applyFill="1" applyProtection="1">
      <protection locked="0"/>
    </xf>
    <xf numFmtId="0" fontId="8" fillId="2" borderId="6" xfId="0" applyFont="1" applyFill="1" applyBorder="1" applyProtection="1">
      <protection hidden="1"/>
    </xf>
    <xf numFmtId="0" fontId="8" fillId="2" borderId="5" xfId="0" applyFont="1" applyFill="1" applyBorder="1" applyAlignment="1" applyProtection="1">
      <alignment horizontal="right"/>
      <protection hidden="1"/>
    </xf>
    <xf numFmtId="0" fontId="8" fillId="2" borderId="5" xfId="0" applyFont="1" applyFill="1" applyBorder="1" applyProtection="1">
      <protection hidden="1"/>
    </xf>
    <xf numFmtId="0" fontId="0" fillId="2" borderId="0" xfId="0" applyFill="1" applyBorder="1" applyProtection="1">
      <protection hidden="1"/>
    </xf>
    <xf numFmtId="0" fontId="8" fillId="2" borderId="0" xfId="0" applyFont="1" applyFill="1" applyBorder="1" applyProtection="1">
      <protection hidden="1"/>
    </xf>
    <xf numFmtId="0" fontId="0" fillId="2" borderId="8" xfId="0" applyFill="1" applyBorder="1" applyProtection="1">
      <protection hidden="1"/>
    </xf>
    <xf numFmtId="0" fontId="6" fillId="2" borderId="1" xfId="0" applyFont="1" applyFill="1" applyBorder="1" applyAlignment="1" applyProtection="1">
      <alignment horizontal="left"/>
      <protection hidden="1"/>
    </xf>
    <xf numFmtId="0" fontId="8" fillId="2" borderId="1" xfId="0" applyFont="1" applyFill="1" applyBorder="1" applyProtection="1">
      <protection hidden="1"/>
    </xf>
    <xf numFmtId="0" fontId="8" fillId="2" borderId="0" xfId="0" applyFont="1" applyFill="1" applyBorder="1" applyAlignment="1" applyProtection="1">
      <alignment horizontal="left"/>
      <protection hidden="1"/>
    </xf>
    <xf numFmtId="0" fontId="8" fillId="2" borderId="3" xfId="0" applyFont="1" applyFill="1" applyBorder="1" applyProtection="1">
      <protection hidden="1"/>
    </xf>
    <xf numFmtId="0" fontId="43" fillId="2" borderId="0" xfId="0" applyFont="1" applyFill="1" applyBorder="1" applyAlignment="1" applyProtection="1">
      <alignment horizontal="left"/>
      <protection hidden="1"/>
    </xf>
    <xf numFmtId="0" fontId="12" fillId="2" borderId="0" xfId="0" applyFont="1" applyFill="1" applyBorder="1" applyProtection="1">
      <protection hidden="1"/>
    </xf>
    <xf numFmtId="0" fontId="0" fillId="2" borderId="5" xfId="0" applyFill="1" applyBorder="1" applyProtection="1">
      <protection hidden="1"/>
    </xf>
    <xf numFmtId="0" fontId="17" fillId="2" borderId="0" xfId="0" applyFont="1" applyFill="1" applyBorder="1" applyAlignment="1" applyProtection="1">
      <alignment horizontal="right" wrapText="1"/>
      <protection hidden="1"/>
    </xf>
    <xf numFmtId="0" fontId="8" fillId="2" borderId="0" xfId="0" applyFont="1" applyFill="1" applyAlignment="1" applyProtection="1">
      <alignment horizontal="left"/>
      <protection hidden="1"/>
    </xf>
    <xf numFmtId="0" fontId="8" fillId="2" borderId="9" xfId="0" applyFont="1" applyFill="1" applyBorder="1" applyProtection="1">
      <protection hidden="1"/>
    </xf>
    <xf numFmtId="0" fontId="4" fillId="2" borderId="0" xfId="0" applyFont="1" applyFill="1" applyBorder="1" applyProtection="1">
      <protection hidden="1"/>
    </xf>
    <xf numFmtId="0" fontId="8" fillId="2" borderId="0" xfId="0" applyFont="1" applyFill="1" applyProtection="1">
      <protection hidden="1"/>
    </xf>
    <xf numFmtId="0" fontId="4" fillId="2" borderId="0" xfId="0" applyFont="1" applyFill="1" applyAlignment="1" applyProtection="1">
      <alignment horizontal="right"/>
      <protection hidden="1"/>
    </xf>
    <xf numFmtId="4" fontId="5" fillId="2" borderId="0" xfId="0" applyNumberFormat="1" applyFont="1" applyFill="1" applyBorder="1" applyProtection="1">
      <protection hidden="1"/>
    </xf>
    <xf numFmtId="0" fontId="8" fillId="2" borderId="1" xfId="0" applyFont="1" applyFill="1" applyBorder="1" applyAlignment="1" applyProtection="1">
      <alignment horizontal="right"/>
      <protection hidden="1"/>
    </xf>
    <xf numFmtId="0" fontId="1"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5" fillId="2" borderId="1" xfId="0" applyFont="1" applyFill="1" applyBorder="1" applyProtection="1">
      <protection hidden="1"/>
    </xf>
    <xf numFmtId="0" fontId="0" fillId="2" borderId="1" xfId="0" applyFill="1" applyBorder="1" applyProtection="1">
      <protection hidden="1"/>
    </xf>
    <xf numFmtId="0" fontId="0" fillId="0" borderId="0" xfId="0" applyProtection="1">
      <protection hidden="1"/>
    </xf>
    <xf numFmtId="4" fontId="23" fillId="2" borderId="0" xfId="0" applyNumberFormat="1" applyFont="1" applyFill="1" applyBorder="1" applyAlignment="1" applyProtection="1">
      <alignment horizontal="left" vertical="center" wrapText="1"/>
      <protection hidden="1"/>
    </xf>
    <xf numFmtId="0" fontId="0" fillId="2" borderId="10" xfId="0" applyFill="1" applyBorder="1" applyProtection="1">
      <protection hidden="1"/>
    </xf>
    <xf numFmtId="0" fontId="5" fillId="2" borderId="5" xfId="0" applyFont="1" applyFill="1" applyBorder="1" applyProtection="1">
      <protection hidden="1"/>
    </xf>
    <xf numFmtId="0" fontId="1" fillId="2" borderId="0" xfId="0" applyFont="1" applyFill="1" applyBorder="1" applyProtection="1">
      <protection hidden="1"/>
    </xf>
    <xf numFmtId="0" fontId="15" fillId="2" borderId="0" xfId="0" applyFont="1" applyFill="1" applyBorder="1" applyProtection="1">
      <protection hidden="1"/>
    </xf>
    <xf numFmtId="0" fontId="0" fillId="2" borderId="12" xfId="0" applyFill="1" applyBorder="1" applyProtection="1">
      <protection hidden="1"/>
    </xf>
    <xf numFmtId="0" fontId="4" fillId="2" borderId="0" xfId="0" applyFont="1" applyFill="1" applyBorder="1" applyAlignment="1" applyProtection="1">
      <alignment horizontal="right"/>
      <protection hidden="1"/>
    </xf>
    <xf numFmtId="0" fontId="8" fillId="5" borderId="0" xfId="0" applyFont="1" applyFill="1" applyBorder="1" applyProtection="1">
      <protection hidden="1"/>
    </xf>
    <xf numFmtId="0" fontId="4" fillId="2" borderId="0" xfId="0" applyFont="1" applyFill="1" applyBorder="1" applyAlignment="1" applyProtection="1">
      <alignment horizontal="center"/>
      <protection hidden="1"/>
    </xf>
    <xf numFmtId="0" fontId="3" fillId="2" borderId="0" xfId="0" applyFont="1" applyFill="1" applyBorder="1" applyAlignment="1" applyProtection="1">
      <alignment horizontal="left"/>
      <protection hidden="1"/>
    </xf>
    <xf numFmtId="0" fontId="17" fillId="2" borderId="0" xfId="0" applyFont="1" applyFill="1" applyBorder="1" applyAlignment="1" applyProtection="1">
      <alignment horizontal="left"/>
      <protection hidden="1"/>
    </xf>
    <xf numFmtId="0" fontId="0" fillId="2" borderId="0" xfId="0" applyFill="1" applyBorder="1" applyAlignment="1" applyProtection="1">
      <alignment horizontal="left"/>
      <protection hidden="1"/>
    </xf>
    <xf numFmtId="39" fontId="23" fillId="2" borderId="0" xfId="0" applyNumberFormat="1" applyFont="1" applyFill="1" applyBorder="1" applyAlignment="1" applyProtection="1">
      <alignment horizontal="right"/>
      <protection hidden="1"/>
    </xf>
    <xf numFmtId="0" fontId="23" fillId="2" borderId="0" xfId="0" applyFont="1" applyFill="1" applyBorder="1" applyAlignment="1" applyProtection="1">
      <alignment horizontal="right"/>
      <protection hidden="1"/>
    </xf>
    <xf numFmtId="0" fontId="15" fillId="2" borderId="0" xfId="0" applyFont="1" applyFill="1" applyProtection="1">
      <protection hidden="1"/>
    </xf>
    <xf numFmtId="4" fontId="23" fillId="2" borderId="0" xfId="0" applyNumberFormat="1" applyFont="1" applyFill="1" applyBorder="1" applyAlignment="1" applyProtection="1">
      <alignment horizontal="right"/>
      <protection hidden="1"/>
    </xf>
    <xf numFmtId="0" fontId="0" fillId="2" borderId="15" xfId="0" applyFill="1" applyBorder="1" applyProtection="1">
      <protection hidden="1"/>
    </xf>
    <xf numFmtId="0" fontId="0" fillId="2" borderId="16" xfId="0" applyFill="1" applyBorder="1" applyProtection="1">
      <protection hidden="1"/>
    </xf>
    <xf numFmtId="0" fontId="0" fillId="2" borderId="9" xfId="0" applyFill="1" applyBorder="1" applyProtection="1">
      <protection hidden="1"/>
    </xf>
    <xf numFmtId="0" fontId="0" fillId="2" borderId="6" xfId="0" applyFill="1" applyBorder="1" applyProtection="1">
      <protection hidden="1"/>
    </xf>
    <xf numFmtId="0" fontId="5" fillId="2" borderId="0" xfId="0" applyFont="1" applyFill="1" applyBorder="1" applyProtection="1">
      <protection hidden="1"/>
    </xf>
    <xf numFmtId="0" fontId="26" fillId="0" borderId="0" xfId="0" applyFont="1" applyAlignment="1" applyProtection="1">
      <alignment horizontal="right"/>
      <protection hidden="1"/>
    </xf>
    <xf numFmtId="4" fontId="0" fillId="3" borderId="17" xfId="0" applyNumberFormat="1" applyFill="1" applyBorder="1" applyProtection="1">
      <protection hidden="1"/>
    </xf>
    <xf numFmtId="0" fontId="0" fillId="3" borderId="17" xfId="0" applyFill="1" applyBorder="1" applyProtection="1">
      <protection hidden="1"/>
    </xf>
    <xf numFmtId="0" fontId="0" fillId="2" borderId="8" xfId="0" applyFill="1" applyBorder="1" applyAlignment="1" applyProtection="1">
      <protection hidden="1"/>
    </xf>
    <xf numFmtId="40" fontId="0" fillId="2" borderId="0" xfId="0" applyNumberFormat="1" applyFill="1" applyBorder="1" applyProtection="1">
      <protection hidden="1"/>
    </xf>
    <xf numFmtId="164" fontId="4" fillId="2" borderId="8" xfId="0" applyNumberFormat="1" applyFont="1" applyFill="1" applyBorder="1" applyProtection="1">
      <protection hidden="1"/>
    </xf>
    <xf numFmtId="40" fontId="0" fillId="2" borderId="8" xfId="0" applyNumberFormat="1" applyFill="1" applyBorder="1" applyProtection="1">
      <protection hidden="1"/>
    </xf>
    <xf numFmtId="40" fontId="0" fillId="2" borderId="20" xfId="0" applyNumberFormat="1" applyFill="1" applyBorder="1" applyProtection="1">
      <protection hidden="1"/>
    </xf>
    <xf numFmtId="164" fontId="4" fillId="2" borderId="6" xfId="0" applyNumberFormat="1" applyFont="1" applyFill="1" applyBorder="1" applyAlignment="1" applyProtection="1">
      <alignment vertical="top"/>
      <protection hidden="1"/>
    </xf>
    <xf numFmtId="0" fontId="0" fillId="2" borderId="0" xfId="0" applyFill="1" applyBorder="1" applyAlignment="1" applyProtection="1">
      <protection hidden="1"/>
    </xf>
    <xf numFmtId="164" fontId="4" fillId="2" borderId="0" xfId="0" applyNumberFormat="1" applyFont="1" applyFill="1" applyBorder="1" applyProtection="1">
      <protection hidden="1"/>
    </xf>
    <xf numFmtId="164" fontId="4" fillId="2" borderId="0" xfId="0" quotePrefix="1" applyNumberFormat="1" applyFont="1" applyFill="1" applyBorder="1" applyProtection="1">
      <protection hidden="1"/>
    </xf>
    <xf numFmtId="40" fontId="0" fillId="2" borderId="21" xfId="0" applyNumberFormat="1" applyFill="1" applyBorder="1" applyProtection="1">
      <protection hidden="1"/>
    </xf>
    <xf numFmtId="0" fontId="4" fillId="2" borderId="0" xfId="0" applyFont="1" applyFill="1" applyBorder="1" applyAlignment="1" applyProtection="1">
      <protection hidden="1"/>
    </xf>
    <xf numFmtId="0" fontId="18" fillId="2" borderId="0" xfId="0" applyFont="1" applyFill="1" applyBorder="1" applyAlignment="1" applyProtection="1">
      <protection hidden="1"/>
    </xf>
    <xf numFmtId="40" fontId="1" fillId="2" borderId="0" xfId="0" applyNumberFormat="1" applyFont="1" applyFill="1" applyBorder="1" applyProtection="1">
      <protection hidden="1"/>
    </xf>
    <xf numFmtId="40" fontId="1" fillId="2" borderId="0" xfId="0" applyNumberFormat="1" applyFont="1" applyFill="1" applyBorder="1" applyAlignment="1" applyProtection="1">
      <alignment horizontal="right"/>
      <protection hidden="1"/>
    </xf>
    <xf numFmtId="0" fontId="1" fillId="2" borderId="0" xfId="0" applyFont="1" applyFill="1" applyBorder="1" applyAlignment="1" applyProtection="1">
      <protection hidden="1"/>
    </xf>
    <xf numFmtId="0" fontId="3" fillId="2" borderId="0" xfId="0" applyFont="1" applyFill="1" applyBorder="1" applyAlignment="1" applyProtection="1">
      <protection hidden="1"/>
    </xf>
    <xf numFmtId="164" fontId="4" fillId="2" borderId="0" xfId="0" applyNumberFormat="1" applyFont="1" applyFill="1" applyBorder="1" applyAlignment="1" applyProtection="1">
      <alignment horizontal="right"/>
      <protection hidden="1"/>
    </xf>
    <xf numFmtId="40" fontId="0" fillId="2" borderId="0" xfId="0" applyNumberFormat="1" applyFill="1" applyBorder="1" applyAlignment="1" applyProtection="1">
      <alignment horizontal="right"/>
      <protection hidden="1"/>
    </xf>
    <xf numFmtId="164" fontId="4" fillId="2" borderId="22" xfId="0" applyNumberFormat="1" applyFont="1" applyFill="1" applyBorder="1" applyAlignment="1" applyProtection="1">
      <alignment vertical="top"/>
      <protection hidden="1"/>
    </xf>
    <xf numFmtId="0" fontId="0" fillId="2" borderId="5" xfId="0" applyFill="1" applyBorder="1" applyAlignment="1" applyProtection="1">
      <protection hidden="1"/>
    </xf>
    <xf numFmtId="40" fontId="0" fillId="2" borderId="5" xfId="0" applyNumberFormat="1" applyFill="1" applyBorder="1" applyProtection="1">
      <protection hidden="1"/>
    </xf>
    <xf numFmtId="164" fontId="4" fillId="2" borderId="5" xfId="0" applyNumberFormat="1" applyFont="1" applyFill="1" applyBorder="1" applyProtection="1">
      <protection hidden="1"/>
    </xf>
    <xf numFmtId="40" fontId="0" fillId="2" borderId="23" xfId="0" applyNumberFormat="1" applyFill="1" applyBorder="1" applyProtection="1">
      <protection hidden="1"/>
    </xf>
    <xf numFmtId="0" fontId="1" fillId="5" borderId="0" xfId="0" applyFont="1" applyFill="1" applyAlignment="1" applyProtection="1">
      <alignment horizontal="right"/>
      <protection hidden="1"/>
    </xf>
    <xf numFmtId="0" fontId="0" fillId="5" borderId="0" xfId="0" applyFill="1" applyProtection="1">
      <protection hidden="1"/>
    </xf>
    <xf numFmtId="0" fontId="0" fillId="6" borderId="0" xfId="0" applyFill="1" applyBorder="1" applyProtection="1">
      <protection hidden="1"/>
    </xf>
    <xf numFmtId="0" fontId="4" fillId="5" borderId="0" xfId="0" applyFont="1" applyFill="1" applyAlignment="1" applyProtection="1">
      <alignment horizontal="right"/>
      <protection hidden="1"/>
    </xf>
    <xf numFmtId="1" fontId="1" fillId="5" borderId="0" xfId="0" applyNumberFormat="1" applyFont="1" applyFill="1" applyBorder="1" applyProtection="1">
      <protection hidden="1"/>
    </xf>
    <xf numFmtId="1" fontId="3" fillId="5" borderId="0" xfId="0" applyNumberFormat="1" applyFont="1" applyFill="1" applyBorder="1" applyAlignment="1" applyProtection="1">
      <alignment horizontal="right"/>
      <protection hidden="1"/>
    </xf>
    <xf numFmtId="1" fontId="23" fillId="5" borderId="0" xfId="0" applyNumberFormat="1" applyFont="1" applyFill="1" applyBorder="1" applyProtection="1">
      <protection hidden="1"/>
    </xf>
    <xf numFmtId="0" fontId="0" fillId="5" borderId="5" xfId="0" applyFill="1" applyBorder="1" applyProtection="1">
      <protection hidden="1"/>
    </xf>
    <xf numFmtId="164" fontId="4" fillId="2" borderId="0" xfId="0" applyNumberFormat="1" applyFont="1" applyFill="1" applyAlignment="1" applyProtection="1">
      <protection hidden="1"/>
    </xf>
    <xf numFmtId="164" fontId="4" fillId="2" borderId="0" xfId="0" applyNumberFormat="1" applyFont="1" applyFill="1" applyBorder="1" applyAlignment="1" applyProtection="1">
      <protection hidden="1"/>
    </xf>
    <xf numFmtId="0" fontId="0" fillId="2" borderId="0" xfId="0" applyFill="1" applyBorder="1" applyAlignment="1" applyProtection="1">
      <alignment wrapText="1"/>
      <protection hidden="1"/>
    </xf>
    <xf numFmtId="40" fontId="13" fillId="2" borderId="0" xfId="0" applyNumberFormat="1" applyFont="1" applyFill="1" applyAlignment="1" applyProtection="1">
      <alignment horizontal="right"/>
      <protection hidden="1"/>
    </xf>
    <xf numFmtId="40" fontId="21" fillId="2" borderId="0" xfId="0" applyNumberFormat="1" applyFont="1" applyFill="1" applyAlignment="1" applyProtection="1">
      <alignment horizontal="right"/>
      <protection hidden="1"/>
    </xf>
    <xf numFmtId="0" fontId="0" fillId="0" borderId="0" xfId="0" applyAlignment="1" applyProtection="1">
      <protection hidden="1"/>
    </xf>
    <xf numFmtId="0" fontId="0" fillId="2" borderId="24" xfId="0" applyFill="1" applyBorder="1" applyProtection="1">
      <protection hidden="1"/>
    </xf>
    <xf numFmtId="0" fontId="0" fillId="2" borderId="22" xfId="0" applyFill="1" applyBorder="1" applyProtection="1">
      <protection hidden="1"/>
    </xf>
    <xf numFmtId="0" fontId="0" fillId="5" borderId="24" xfId="0" applyFill="1" applyBorder="1" applyProtection="1">
      <protection hidden="1"/>
    </xf>
    <xf numFmtId="0" fontId="0" fillId="5" borderId="8" xfId="0" applyFill="1" applyBorder="1" applyProtection="1">
      <protection hidden="1"/>
    </xf>
    <xf numFmtId="0" fontId="0" fillId="5" borderId="6" xfId="0" applyFill="1" applyBorder="1" applyProtection="1">
      <protection hidden="1"/>
    </xf>
    <xf numFmtId="0" fontId="0" fillId="5" borderId="0" xfId="0" applyFill="1" applyBorder="1" applyProtection="1">
      <protection hidden="1"/>
    </xf>
    <xf numFmtId="0" fontId="8" fillId="5" borderId="0" xfId="0" applyFont="1" applyFill="1" applyBorder="1" applyAlignment="1" applyProtection="1">
      <alignment horizontal="center"/>
      <protection hidden="1"/>
    </xf>
    <xf numFmtId="0" fontId="0" fillId="5" borderId="22" xfId="0" applyFill="1" applyBorder="1" applyProtection="1">
      <protection hidden="1"/>
    </xf>
    <xf numFmtId="0" fontId="8" fillId="5" borderId="5" xfId="0" applyFont="1" applyFill="1" applyBorder="1" applyAlignment="1" applyProtection="1">
      <alignment horizontal="center"/>
      <protection hidden="1"/>
    </xf>
    <xf numFmtId="0" fontId="0" fillId="2" borderId="20" xfId="0" applyFill="1" applyBorder="1" applyProtection="1">
      <protection hidden="1"/>
    </xf>
    <xf numFmtId="0" fontId="0" fillId="2" borderId="21" xfId="0" applyFill="1" applyBorder="1" applyProtection="1">
      <protection hidden="1"/>
    </xf>
    <xf numFmtId="0" fontId="0" fillId="2" borderId="23" xfId="0" applyFill="1" applyBorder="1" applyProtection="1">
      <protection hidden="1"/>
    </xf>
    <xf numFmtId="0" fontId="1" fillId="3" borderId="25" xfId="0" applyFont="1" applyFill="1" applyBorder="1" applyProtection="1">
      <protection hidden="1"/>
    </xf>
    <xf numFmtId="0" fontId="24" fillId="2" borderId="0" xfId="0" applyFont="1" applyFill="1" applyBorder="1" applyProtection="1">
      <protection hidden="1"/>
    </xf>
    <xf numFmtId="0" fontId="0" fillId="2" borderId="0" xfId="0" applyFill="1" applyBorder="1" applyAlignment="1" applyProtection="1">
      <alignment vertical="top"/>
      <protection hidden="1"/>
    </xf>
    <xf numFmtId="40" fontId="0" fillId="2" borderId="1" xfId="0" applyNumberFormat="1" applyFill="1" applyBorder="1" applyProtection="1">
      <protection hidden="1"/>
    </xf>
    <xf numFmtId="40" fontId="0" fillId="2" borderId="0" xfId="0" applyNumberFormat="1" applyFill="1" applyBorder="1" applyAlignment="1" applyProtection="1">
      <alignment horizontal="center"/>
      <protection hidden="1"/>
    </xf>
    <xf numFmtId="40" fontId="19" fillId="2" borderId="0" xfId="0" applyNumberFormat="1" applyFont="1" applyFill="1" applyBorder="1" applyAlignment="1" applyProtection="1">
      <alignment horizontal="center"/>
      <protection hidden="1"/>
    </xf>
    <xf numFmtId="164" fontId="4" fillId="2" borderId="21" xfId="0" applyNumberFormat="1" applyFont="1" applyFill="1" applyBorder="1" applyProtection="1">
      <protection hidden="1"/>
    </xf>
    <xf numFmtId="40" fontId="26" fillId="2" borderId="0" xfId="0" applyNumberFormat="1" applyFont="1" applyFill="1" applyBorder="1" applyAlignment="1" applyProtection="1">
      <alignment horizontal="center"/>
      <protection hidden="1"/>
    </xf>
    <xf numFmtId="38" fontId="0" fillId="2" borderId="0" xfId="0" applyNumberFormat="1" applyFill="1" applyBorder="1" applyAlignment="1" applyProtection="1">
      <alignment horizontal="center"/>
      <protection hidden="1"/>
    </xf>
    <xf numFmtId="38" fontId="0" fillId="2" borderId="21" xfId="0" applyNumberFormat="1" applyFill="1" applyBorder="1" applyAlignment="1" applyProtection="1">
      <alignment horizontal="center"/>
      <protection hidden="1"/>
    </xf>
    <xf numFmtId="40" fontId="0" fillId="2" borderId="0" xfId="0" applyNumberFormat="1" applyFill="1" applyBorder="1" applyAlignment="1" applyProtection="1">
      <alignment horizontal="left"/>
      <protection hidden="1"/>
    </xf>
    <xf numFmtId="164" fontId="27" fillId="2" borderId="0" xfId="0" applyNumberFormat="1" applyFont="1" applyFill="1" applyBorder="1" applyProtection="1">
      <protection hidden="1"/>
    </xf>
    <xf numFmtId="0" fontId="0" fillId="2" borderId="6" xfId="0" applyFill="1" applyBorder="1" applyAlignment="1" applyProtection="1">
      <protection hidden="1"/>
    </xf>
    <xf numFmtId="40" fontId="0" fillId="2" borderId="6" xfId="0" applyNumberFormat="1" applyFill="1" applyBorder="1" applyAlignment="1" applyProtection="1">
      <alignment horizontal="left"/>
      <protection hidden="1"/>
    </xf>
    <xf numFmtId="40" fontId="19" fillId="2" borderId="6" xfId="0" applyNumberFormat="1" applyFont="1" applyFill="1" applyBorder="1" applyAlignment="1" applyProtection="1">
      <alignment horizontal="left"/>
      <protection hidden="1"/>
    </xf>
    <xf numFmtId="0" fontId="0" fillId="2" borderId="5" xfId="0" applyFill="1" applyBorder="1" applyAlignment="1" applyProtection="1">
      <alignment wrapText="1"/>
      <protection hidden="1"/>
    </xf>
    <xf numFmtId="0" fontId="25" fillId="2" borderId="1" xfId="0" applyFont="1" applyFill="1" applyBorder="1" applyProtection="1">
      <protection hidden="1"/>
    </xf>
    <xf numFmtId="0" fontId="24" fillId="2" borderId="1" xfId="0" applyFont="1" applyFill="1" applyBorder="1" applyProtection="1">
      <protection hidden="1"/>
    </xf>
    <xf numFmtId="0" fontId="47" fillId="2" borderId="1" xfId="0" applyFont="1" applyFill="1" applyBorder="1" applyProtection="1">
      <protection hidden="1"/>
    </xf>
    <xf numFmtId="0" fontId="14" fillId="2" borderId="1" xfId="0" applyFont="1" applyFill="1" applyBorder="1" applyProtection="1">
      <protection hidden="1"/>
    </xf>
    <xf numFmtId="40" fontId="19" fillId="2" borderId="21" xfId="0" applyNumberFormat="1" applyFont="1" applyFill="1" applyBorder="1" applyAlignment="1" applyProtection="1">
      <alignment horizontal="right"/>
      <protection hidden="1"/>
    </xf>
    <xf numFmtId="40" fontId="19" fillId="2" borderId="21" xfId="0" applyNumberFormat="1" applyFont="1" applyFill="1" applyBorder="1" applyProtection="1">
      <protection hidden="1"/>
    </xf>
    <xf numFmtId="0" fontId="1" fillId="2" borderId="2" xfId="0" applyFont="1" applyFill="1" applyBorder="1" applyAlignment="1" applyProtection="1">
      <alignment horizontal="center"/>
      <protection hidden="1"/>
    </xf>
    <xf numFmtId="0" fontId="28" fillId="2" borderId="0" xfId="0" applyFont="1" applyFill="1" applyBorder="1" applyAlignment="1" applyProtection="1">
      <protection hidden="1"/>
    </xf>
    <xf numFmtId="40" fontId="2" fillId="2" borderId="0" xfId="0" applyNumberFormat="1" applyFont="1" applyFill="1" applyBorder="1" applyAlignment="1" applyProtection="1">
      <alignment horizontal="left"/>
      <protection hidden="1"/>
    </xf>
    <xf numFmtId="0" fontId="24" fillId="2" borderId="1" xfId="0" applyFont="1" applyFill="1" applyBorder="1" applyAlignment="1" applyProtection="1">
      <alignment vertical="center"/>
      <protection hidden="1"/>
    </xf>
    <xf numFmtId="0" fontId="14" fillId="2" borderId="1" xfId="0" applyFont="1" applyFill="1" applyBorder="1" applyAlignment="1" applyProtection="1">
      <alignment vertical="center"/>
      <protection hidden="1"/>
    </xf>
    <xf numFmtId="0" fontId="0" fillId="2" borderId="0" xfId="0" applyFill="1" applyAlignment="1" applyProtection="1">
      <alignment vertical="center"/>
      <protection hidden="1"/>
    </xf>
    <xf numFmtId="164" fontId="4" fillId="2" borderId="0" xfId="0" applyNumberFormat="1" applyFont="1" applyFill="1" applyBorder="1" applyAlignment="1" applyProtection="1">
      <alignment horizontal="center"/>
      <protection hidden="1"/>
    </xf>
    <xf numFmtId="40" fontId="1" fillId="2" borderId="0" xfId="0" applyNumberFormat="1" applyFont="1" applyFill="1" applyBorder="1" applyAlignment="1" applyProtection="1">
      <alignment horizontal="center"/>
      <protection hidden="1"/>
    </xf>
    <xf numFmtId="40" fontId="1" fillId="2" borderId="21" xfId="0" applyNumberFormat="1" applyFont="1" applyFill="1" applyBorder="1" applyProtection="1">
      <protection hidden="1"/>
    </xf>
    <xf numFmtId="40" fontId="3" fillId="2" borderId="0" xfId="0" applyNumberFormat="1" applyFont="1" applyFill="1" applyBorder="1" applyProtection="1">
      <protection hidden="1"/>
    </xf>
    <xf numFmtId="164" fontId="4" fillId="2" borderId="0" xfId="0" applyNumberFormat="1" applyFont="1" applyFill="1" applyBorder="1" applyAlignment="1" applyProtection="1">
      <alignment vertical="top"/>
      <protection hidden="1"/>
    </xf>
    <xf numFmtId="4" fontId="0" fillId="2" borderId="0" xfId="0" applyNumberFormat="1" applyFill="1" applyProtection="1">
      <protection hidden="1"/>
    </xf>
    <xf numFmtId="40" fontId="3" fillId="2" borderId="0" xfId="0" applyNumberFormat="1" applyFont="1" applyFill="1" applyBorder="1" applyAlignment="1" applyProtection="1">
      <alignment horizontal="left"/>
      <protection hidden="1"/>
    </xf>
    <xf numFmtId="164" fontId="15" fillId="2" borderId="0" xfId="0" applyNumberFormat="1" applyFont="1" applyFill="1" applyBorder="1" applyProtection="1">
      <protection hidden="1"/>
    </xf>
    <xf numFmtId="40" fontId="0" fillId="2" borderId="0" xfId="0" applyNumberFormat="1" applyFill="1" applyProtection="1">
      <protection hidden="1"/>
    </xf>
    <xf numFmtId="164" fontId="4" fillId="2" borderId="0" xfId="0" applyNumberFormat="1" applyFont="1" applyFill="1" applyAlignment="1" applyProtection="1">
      <alignment vertical="top"/>
      <protection hidden="1"/>
    </xf>
    <xf numFmtId="0" fontId="0" fillId="2" borderId="0" xfId="0" applyFill="1" applyAlignment="1" applyProtection="1">
      <alignment wrapText="1"/>
      <protection hidden="1"/>
    </xf>
    <xf numFmtId="164" fontId="4" fillId="2" borderId="0" xfId="0" applyNumberFormat="1" applyFont="1" applyFill="1" applyProtection="1">
      <protection hidden="1"/>
    </xf>
    <xf numFmtId="164" fontId="15" fillId="2" borderId="0" xfId="0" applyNumberFormat="1" applyFont="1" applyFill="1" applyAlignment="1" applyProtection="1">
      <alignment horizontal="right"/>
      <protection hidden="1"/>
    </xf>
    <xf numFmtId="0" fontId="3" fillId="2" borderId="0" xfId="0" applyFont="1" applyFill="1" applyBorder="1" applyProtection="1">
      <protection hidden="1"/>
    </xf>
    <xf numFmtId="164" fontId="4" fillId="2" borderId="5" xfId="0" applyNumberFormat="1" applyFont="1" applyFill="1" applyBorder="1" applyAlignment="1" applyProtection="1">
      <alignment vertical="top"/>
      <protection hidden="1"/>
    </xf>
    <xf numFmtId="0" fontId="0" fillId="2" borderId="0" xfId="0" applyFill="1" applyAlignment="1" applyProtection="1">
      <protection hidden="1"/>
    </xf>
    <xf numFmtId="0" fontId="14" fillId="2" borderId="0" xfId="0" applyFont="1" applyFill="1" applyBorder="1" applyProtection="1">
      <protection hidden="1"/>
    </xf>
    <xf numFmtId="49" fontId="7" fillId="2" borderId="5" xfId="0" applyNumberFormat="1" applyFont="1" applyFill="1" applyBorder="1" applyAlignment="1" applyProtection="1">
      <alignment horizontal="right"/>
      <protection hidden="1"/>
    </xf>
    <xf numFmtId="0" fontId="5" fillId="2" borderId="8" xfId="0" applyFont="1" applyFill="1" applyBorder="1" applyProtection="1">
      <protection hidden="1"/>
    </xf>
    <xf numFmtId="49" fontId="7" fillId="2" borderId="0" xfId="0" applyNumberFormat="1" applyFont="1" applyFill="1" applyBorder="1" applyAlignment="1" applyProtection="1">
      <alignment horizontal="right"/>
      <protection hidden="1"/>
    </xf>
    <xf numFmtId="0" fontId="11" fillId="2" borderId="6" xfId="0" applyFont="1" applyFill="1" applyBorder="1" applyProtection="1">
      <protection hidden="1"/>
    </xf>
    <xf numFmtId="0" fontId="0" fillId="2" borderId="0" xfId="0" applyFill="1" applyBorder="1" applyAlignment="1" applyProtection="1">
      <alignment horizontal="right"/>
      <protection hidden="1"/>
    </xf>
    <xf numFmtId="0" fontId="1" fillId="3" borderId="0" xfId="0" applyFont="1" applyFill="1" applyBorder="1" applyProtection="1">
      <protection hidden="1"/>
    </xf>
    <xf numFmtId="0" fontId="1" fillId="2" borderId="25" xfId="0" applyFont="1" applyFill="1" applyBorder="1" applyProtection="1">
      <protection hidden="1"/>
    </xf>
    <xf numFmtId="0" fontId="1" fillId="3" borderId="0" xfId="0" applyFont="1" applyFill="1" applyBorder="1" applyAlignment="1" applyProtection="1">
      <alignment vertical="center"/>
      <protection hidden="1"/>
    </xf>
    <xf numFmtId="0" fontId="10" fillId="3" borderId="0" xfId="0" applyFont="1" applyFill="1" applyAlignment="1" applyProtection="1">
      <alignment horizontal="left"/>
      <protection hidden="1"/>
    </xf>
    <xf numFmtId="0" fontId="0" fillId="3" borderId="0" xfId="0" applyFill="1" applyBorder="1" applyProtection="1">
      <protection hidden="1"/>
    </xf>
    <xf numFmtId="0" fontId="0" fillId="3" borderId="0" xfId="0" applyFill="1" applyProtection="1">
      <protection hidden="1"/>
    </xf>
    <xf numFmtId="4" fontId="0" fillId="3" borderId="0" xfId="0" applyNumberFormat="1" applyFill="1" applyBorder="1" applyProtection="1">
      <protection hidden="1"/>
    </xf>
    <xf numFmtId="0" fontId="17" fillId="3" borderId="0" xfId="0" applyFont="1" applyFill="1" applyBorder="1" applyAlignment="1" applyProtection="1">
      <alignment vertical="center"/>
      <protection hidden="1"/>
    </xf>
    <xf numFmtId="0" fontId="17" fillId="3" borderId="25" xfId="0" applyFont="1" applyFill="1" applyBorder="1" applyProtection="1">
      <protection hidden="1"/>
    </xf>
    <xf numFmtId="1" fontId="12" fillId="3" borderId="0" xfId="0" applyNumberFormat="1" applyFont="1" applyFill="1" applyBorder="1" applyAlignment="1" applyProtection="1">
      <alignment horizontal="left" vertical="center"/>
      <protection hidden="1"/>
    </xf>
    <xf numFmtId="0" fontId="0" fillId="3" borderId="1" xfId="0" applyFill="1" applyBorder="1" applyAlignment="1" applyProtection="1">
      <alignment vertical="center"/>
      <protection hidden="1"/>
    </xf>
    <xf numFmtId="4" fontId="0" fillId="3" borderId="1" xfId="0" applyNumberFormat="1" applyFill="1" applyBorder="1" applyAlignment="1" applyProtection="1">
      <alignment vertical="center"/>
      <protection hidden="1"/>
    </xf>
    <xf numFmtId="4" fontId="8" fillId="3" borderId="1" xfId="0" applyNumberFormat="1" applyFont="1" applyFill="1" applyBorder="1" applyProtection="1">
      <protection hidden="1"/>
    </xf>
    <xf numFmtId="0" fontId="7" fillId="3" borderId="0" xfId="0" applyFont="1" applyFill="1" applyBorder="1" applyAlignment="1" applyProtection="1">
      <alignment horizontal="left"/>
      <protection hidden="1"/>
    </xf>
    <xf numFmtId="0" fontId="11" fillId="3" borderId="0" xfId="0" applyFont="1" applyFill="1" applyProtection="1">
      <protection hidden="1"/>
    </xf>
    <xf numFmtId="4" fontId="7" fillId="3" borderId="0" xfId="0" applyNumberFormat="1" applyFont="1" applyFill="1" applyBorder="1" applyAlignment="1" applyProtection="1">
      <alignment horizontal="center"/>
      <protection hidden="1"/>
    </xf>
    <xf numFmtId="0" fontId="8" fillId="3" borderId="0" xfId="0" applyFont="1" applyFill="1" applyProtection="1">
      <protection hidden="1"/>
    </xf>
    <xf numFmtId="0" fontId="1" fillId="3" borderId="10" xfId="0" applyFont="1" applyFill="1" applyBorder="1" applyProtection="1">
      <protection hidden="1"/>
    </xf>
    <xf numFmtId="0" fontId="8" fillId="3" borderId="1" xfId="0" applyFont="1" applyFill="1" applyBorder="1" applyProtection="1">
      <protection hidden="1"/>
    </xf>
    <xf numFmtId="4" fontId="5" fillId="3" borderId="1" xfId="0" applyNumberFormat="1" applyFont="1" applyFill="1" applyBorder="1" applyProtection="1">
      <protection hidden="1"/>
    </xf>
    <xf numFmtId="0" fontId="12" fillId="3" borderId="0" xfId="0" applyFont="1" applyFill="1" applyBorder="1" applyProtection="1">
      <protection hidden="1"/>
    </xf>
    <xf numFmtId="4" fontId="5" fillId="3" borderId="0" xfId="0" applyNumberFormat="1" applyFont="1" applyFill="1" applyProtection="1">
      <protection hidden="1"/>
    </xf>
    <xf numFmtId="0" fontId="11" fillId="3" borderId="1" xfId="0" applyFont="1" applyFill="1" applyBorder="1" applyProtection="1">
      <protection hidden="1"/>
    </xf>
    <xf numFmtId="0" fontId="11" fillId="2" borderId="6" xfId="0" applyFont="1" applyFill="1" applyBorder="1" applyAlignment="1" applyProtection="1">
      <alignment horizontal="right"/>
      <protection hidden="1"/>
    </xf>
    <xf numFmtId="4" fontId="5" fillId="2" borderId="5" xfId="0" applyNumberFormat="1" applyFont="1" applyFill="1" applyBorder="1" applyProtection="1">
      <protection hidden="1"/>
    </xf>
    <xf numFmtId="0" fontId="1" fillId="0" borderId="0" xfId="0" applyFont="1" applyProtection="1">
      <protection hidden="1"/>
    </xf>
    <xf numFmtId="0" fontId="6" fillId="3" borderId="1" xfId="0" applyFont="1" applyFill="1" applyBorder="1" applyProtection="1">
      <protection hidden="1"/>
    </xf>
    <xf numFmtId="0" fontId="15" fillId="3" borderId="0" xfId="0" applyFont="1" applyFill="1" applyProtection="1">
      <protection hidden="1"/>
    </xf>
    <xf numFmtId="4" fontId="0" fillId="3" borderId="15" xfId="0" applyNumberFormat="1" applyFill="1" applyBorder="1" applyProtection="1">
      <protection hidden="1"/>
    </xf>
    <xf numFmtId="0" fontId="1" fillId="3" borderId="9" xfId="0" applyFont="1" applyFill="1" applyBorder="1" applyProtection="1">
      <protection hidden="1"/>
    </xf>
    <xf numFmtId="0" fontId="8" fillId="3" borderId="26" xfId="0" applyFont="1" applyFill="1" applyBorder="1" applyProtection="1">
      <protection hidden="1"/>
    </xf>
    <xf numFmtId="4" fontId="0" fillId="3" borderId="9" xfId="0" applyNumberFormat="1" applyFill="1" applyBorder="1" applyProtection="1">
      <protection hidden="1"/>
    </xf>
    <xf numFmtId="0" fontId="1" fillId="3" borderId="0" xfId="0" applyFont="1" applyFill="1" applyAlignment="1" applyProtection="1">
      <alignment horizontal="right"/>
      <protection hidden="1"/>
    </xf>
    <xf numFmtId="0" fontId="4" fillId="3" borderId="0" xfId="0" applyFont="1" applyFill="1" applyAlignment="1" applyProtection="1">
      <alignment horizontal="right"/>
      <protection hidden="1"/>
    </xf>
    <xf numFmtId="0" fontId="1" fillId="3" borderId="5" xfId="0" applyFont="1" applyFill="1" applyBorder="1" applyProtection="1">
      <protection hidden="1"/>
    </xf>
    <xf numFmtId="0" fontId="0" fillId="3" borderId="5" xfId="0" applyFill="1" applyBorder="1" applyProtection="1">
      <protection hidden="1"/>
    </xf>
    <xf numFmtId="0" fontId="8" fillId="3" borderId="5" xfId="0" applyFont="1" applyFill="1" applyBorder="1" applyProtection="1">
      <protection hidden="1"/>
    </xf>
    <xf numFmtId="0" fontId="6" fillId="3" borderId="8" xfId="0" applyFont="1" applyFill="1" applyBorder="1" applyProtection="1">
      <protection hidden="1"/>
    </xf>
    <xf numFmtId="0" fontId="1" fillId="3" borderId="8" xfId="0" applyFont="1" applyFill="1" applyBorder="1" applyProtection="1">
      <protection hidden="1"/>
    </xf>
    <xf numFmtId="0" fontId="6" fillId="3" borderId="0" xfId="0" applyFont="1" applyFill="1" applyBorder="1" applyProtection="1">
      <protection hidden="1"/>
    </xf>
    <xf numFmtId="0" fontId="6" fillId="3" borderId="0" xfId="0" applyFont="1" applyFill="1" applyBorder="1" applyAlignment="1" applyProtection="1">
      <alignment horizontal="center"/>
      <protection hidden="1"/>
    </xf>
    <xf numFmtId="0" fontId="6" fillId="3" borderId="0" xfId="0" applyFont="1" applyFill="1" applyBorder="1" applyAlignment="1" applyProtection="1">
      <alignment horizontal="left"/>
      <protection hidden="1"/>
    </xf>
    <xf numFmtId="0" fontId="5" fillId="3" borderId="0" xfId="0" applyFont="1" applyFill="1" applyBorder="1" applyProtection="1">
      <protection hidden="1"/>
    </xf>
    <xf numFmtId="1" fontId="21" fillId="3" borderId="0" xfId="0" applyNumberFormat="1" applyFont="1" applyFill="1" applyBorder="1" applyAlignment="1" applyProtection="1">
      <alignment horizontal="center"/>
      <protection hidden="1"/>
    </xf>
    <xf numFmtId="0" fontId="60" fillId="3" borderId="0" xfId="0" applyFont="1" applyFill="1" applyBorder="1" applyAlignment="1" applyProtection="1">
      <alignment vertical="center"/>
      <protection hidden="1"/>
    </xf>
    <xf numFmtId="0" fontId="8" fillId="3" borderId="6" xfId="0" applyFont="1" applyFill="1" applyBorder="1" applyProtection="1">
      <protection hidden="1"/>
    </xf>
    <xf numFmtId="0" fontId="6" fillId="3" borderId="21" xfId="0" applyFont="1" applyFill="1" applyBorder="1" applyProtection="1">
      <protection hidden="1"/>
    </xf>
    <xf numFmtId="0" fontId="15" fillId="3" borderId="1" xfId="0" applyFont="1" applyFill="1" applyBorder="1" applyAlignment="1" applyProtection="1">
      <alignment horizontal="left"/>
      <protection hidden="1"/>
    </xf>
    <xf numFmtId="0" fontId="12" fillId="3" borderId="27" xfId="0" applyFont="1" applyFill="1" applyBorder="1" applyAlignment="1" applyProtection="1">
      <alignment horizontal="left"/>
      <protection hidden="1"/>
    </xf>
    <xf numFmtId="4" fontId="0" fillId="3" borderId="25" xfId="0" applyNumberFormat="1" applyFill="1" applyBorder="1" applyProtection="1">
      <protection hidden="1"/>
    </xf>
    <xf numFmtId="0" fontId="0" fillId="3" borderId="21" xfId="0" applyFill="1" applyBorder="1" applyProtection="1">
      <protection hidden="1"/>
    </xf>
    <xf numFmtId="0" fontId="9" fillId="3" borderId="0" xfId="0" applyFont="1" applyFill="1" applyBorder="1" applyProtection="1">
      <protection hidden="1"/>
    </xf>
    <xf numFmtId="0" fontId="6" fillId="3" borderId="3" xfId="0" applyFont="1" applyFill="1" applyBorder="1" applyProtection="1">
      <protection hidden="1"/>
    </xf>
    <xf numFmtId="0" fontId="9" fillId="3" borderId="1" xfId="0" applyFont="1" applyFill="1" applyBorder="1" applyProtection="1">
      <protection hidden="1"/>
    </xf>
    <xf numFmtId="0" fontId="1" fillId="3" borderId="0" xfId="0" applyFont="1" applyFill="1" applyBorder="1" applyAlignment="1" applyProtection="1">
      <alignment horizontal="right"/>
      <protection hidden="1"/>
    </xf>
    <xf numFmtId="0" fontId="7" fillId="3" borderId="0" xfId="0" applyFont="1" applyFill="1" applyBorder="1" applyAlignment="1" applyProtection="1">
      <alignment horizontal="right"/>
      <protection hidden="1"/>
    </xf>
    <xf numFmtId="0" fontId="13" fillId="3" borderId="26" xfId="0" applyFont="1" applyFill="1" applyBorder="1" applyProtection="1">
      <protection hidden="1"/>
    </xf>
    <xf numFmtId="0" fontId="16" fillId="3" borderId="26" xfId="0" applyFont="1" applyFill="1" applyBorder="1" applyProtection="1">
      <protection hidden="1"/>
    </xf>
    <xf numFmtId="0" fontId="55" fillId="3" borderId="26" xfId="0" applyFont="1" applyFill="1" applyBorder="1" applyProtection="1">
      <protection hidden="1"/>
    </xf>
    <xf numFmtId="4" fontId="55" fillId="3" borderId="26" xfId="0" applyNumberFormat="1" applyFont="1" applyFill="1" applyBorder="1" applyProtection="1">
      <protection hidden="1"/>
    </xf>
    <xf numFmtId="39" fontId="55" fillId="3" borderId="26" xfId="0" applyNumberFormat="1" applyFont="1" applyFill="1" applyBorder="1" applyProtection="1">
      <protection hidden="1"/>
    </xf>
    <xf numFmtId="0" fontId="19" fillId="3" borderId="0" xfId="0" applyFont="1" applyFill="1" applyBorder="1" applyAlignment="1" applyProtection="1">
      <alignment horizontal="left"/>
      <protection hidden="1"/>
    </xf>
    <xf numFmtId="0" fontId="9" fillId="3" borderId="0" xfId="0" applyFont="1" applyFill="1" applyBorder="1" applyAlignment="1" applyProtection="1">
      <alignment horizontal="center"/>
      <protection hidden="1"/>
    </xf>
    <xf numFmtId="4" fontId="9" fillId="3" borderId="0" xfId="0" applyNumberFormat="1" applyFont="1" applyFill="1" applyBorder="1" applyAlignment="1" applyProtection="1">
      <alignment horizontal="center"/>
      <protection hidden="1"/>
    </xf>
    <xf numFmtId="39" fontId="9" fillId="3" borderId="0" xfId="0" applyNumberFormat="1" applyFont="1" applyFill="1" applyBorder="1" applyAlignment="1" applyProtection="1">
      <alignment horizontal="center"/>
      <protection hidden="1"/>
    </xf>
    <xf numFmtId="0" fontId="7" fillId="3" borderId="10" xfId="0" applyFont="1" applyFill="1" applyBorder="1" applyAlignment="1" applyProtection="1">
      <alignment horizontal="center"/>
      <protection hidden="1"/>
    </xf>
    <xf numFmtId="0" fontId="9" fillId="3" borderId="0" xfId="0" applyFont="1" applyFill="1" applyBorder="1" applyAlignment="1" applyProtection="1">
      <alignment horizontal="left"/>
      <protection hidden="1"/>
    </xf>
    <xf numFmtId="39" fontId="9" fillId="3" borderId="0" xfId="0" applyNumberFormat="1" applyFont="1" applyFill="1" applyBorder="1" applyProtection="1">
      <protection hidden="1"/>
    </xf>
    <xf numFmtId="0" fontId="7" fillId="3" borderId="3" xfId="0" applyFont="1" applyFill="1" applyBorder="1" applyAlignment="1" applyProtection="1">
      <alignment horizontal="center"/>
      <protection hidden="1"/>
    </xf>
    <xf numFmtId="39" fontId="7" fillId="3" borderId="0" xfId="0" applyNumberFormat="1" applyFont="1" applyFill="1" applyBorder="1" applyProtection="1">
      <protection hidden="1"/>
    </xf>
    <xf numFmtId="0" fontId="9" fillId="3" borderId="0" xfId="0" applyFont="1" applyFill="1" applyBorder="1" applyAlignment="1" applyProtection="1">
      <alignment horizontal="right"/>
      <protection hidden="1"/>
    </xf>
    <xf numFmtId="4" fontId="9" fillId="3" borderId="0" xfId="0" applyNumberFormat="1" applyFont="1" applyFill="1" applyBorder="1" applyProtection="1">
      <protection hidden="1"/>
    </xf>
    <xf numFmtId="0" fontId="9" fillId="3" borderId="3" xfId="0" applyFont="1" applyFill="1" applyBorder="1" applyAlignment="1" applyProtection="1">
      <alignment horizontal="center"/>
      <protection hidden="1"/>
    </xf>
    <xf numFmtId="0" fontId="7" fillId="3" borderId="0" xfId="0" applyFont="1" applyFill="1" applyBorder="1" applyProtection="1">
      <protection hidden="1"/>
    </xf>
    <xf numFmtId="0" fontId="19" fillId="3" borderId="0" xfId="0" applyFont="1" applyFill="1" applyBorder="1" applyProtection="1">
      <protection hidden="1"/>
    </xf>
    <xf numFmtId="4" fontId="19" fillId="3" borderId="0" xfId="0" applyNumberFormat="1" applyFont="1" applyFill="1" applyBorder="1" applyAlignment="1" applyProtection="1">
      <alignment horizontal="left"/>
      <protection hidden="1"/>
    </xf>
    <xf numFmtId="4" fontId="19" fillId="3" borderId="0" xfId="0" applyNumberFormat="1" applyFont="1" applyFill="1" applyBorder="1" applyProtection="1">
      <protection hidden="1"/>
    </xf>
    <xf numFmtId="39" fontId="19" fillId="3" borderId="0" xfId="0" applyNumberFormat="1" applyFont="1" applyFill="1" applyBorder="1" applyProtection="1">
      <protection hidden="1"/>
    </xf>
    <xf numFmtId="0" fontId="19" fillId="3" borderId="0" xfId="0" applyFont="1" applyFill="1" applyBorder="1" applyAlignment="1" applyProtection="1">
      <alignment horizontal="center"/>
      <protection hidden="1"/>
    </xf>
    <xf numFmtId="0" fontId="19" fillId="3" borderId="0" xfId="0" applyFont="1" applyFill="1" applyBorder="1" applyAlignment="1" applyProtection="1">
      <alignment horizontal="right"/>
      <protection hidden="1"/>
    </xf>
    <xf numFmtId="0" fontId="19" fillId="3" borderId="1" xfId="0" applyFont="1" applyFill="1" applyBorder="1" applyAlignment="1" applyProtection="1">
      <alignment horizontal="left"/>
      <protection hidden="1"/>
    </xf>
    <xf numFmtId="0" fontId="56" fillId="3" borderId="0" xfId="0" applyFont="1" applyFill="1" applyBorder="1" applyProtection="1">
      <protection hidden="1"/>
    </xf>
    <xf numFmtId="0" fontId="7" fillId="3" borderId="0" xfId="0" applyFont="1" applyFill="1" applyBorder="1" applyAlignment="1" applyProtection="1">
      <alignment horizontal="center"/>
      <protection hidden="1"/>
    </xf>
    <xf numFmtId="4" fontId="17" fillId="3" borderId="0" xfId="0" applyNumberFormat="1" applyFont="1" applyFill="1" applyBorder="1" applyAlignment="1" applyProtection="1">
      <alignment horizontal="left"/>
      <protection hidden="1"/>
    </xf>
    <xf numFmtId="0" fontId="17" fillId="3" borderId="6" xfId="0" applyFont="1" applyFill="1" applyBorder="1" applyAlignment="1" applyProtection="1">
      <alignment horizontal="left"/>
      <protection hidden="1"/>
    </xf>
    <xf numFmtId="0" fontId="56" fillId="3" borderId="5" xfId="0" applyFont="1" applyFill="1" applyBorder="1" applyProtection="1">
      <protection hidden="1"/>
    </xf>
    <xf numFmtId="0" fontId="9" fillId="3" borderId="5" xfId="0" applyFont="1" applyFill="1" applyBorder="1" applyProtection="1">
      <protection hidden="1"/>
    </xf>
    <xf numFmtId="0" fontId="9" fillId="3" borderId="5" xfId="0" applyFont="1" applyFill="1" applyBorder="1" applyAlignment="1" applyProtection="1">
      <alignment horizontal="center"/>
      <protection hidden="1"/>
    </xf>
    <xf numFmtId="4" fontId="9" fillId="3" borderId="5" xfId="0" applyNumberFormat="1" applyFont="1" applyFill="1" applyBorder="1" applyProtection="1">
      <protection hidden="1"/>
    </xf>
    <xf numFmtId="39" fontId="9" fillId="3" borderId="5" xfId="0" applyNumberFormat="1" applyFont="1" applyFill="1" applyBorder="1" applyProtection="1">
      <protection hidden="1"/>
    </xf>
    <xf numFmtId="0" fontId="17" fillId="3" borderId="5" xfId="0" applyFont="1" applyFill="1" applyBorder="1" applyAlignment="1" applyProtection="1">
      <alignment horizontal="left"/>
      <protection hidden="1"/>
    </xf>
    <xf numFmtId="0" fontId="7" fillId="3" borderId="5" xfId="0" applyFont="1" applyFill="1" applyBorder="1" applyAlignment="1" applyProtection="1">
      <alignment horizontal="center"/>
      <protection hidden="1"/>
    </xf>
    <xf numFmtId="39" fontId="9" fillId="3" borderId="0" xfId="0" applyNumberFormat="1" applyFont="1" applyFill="1" applyBorder="1" applyAlignment="1" applyProtection="1">
      <alignment horizontal="right"/>
      <protection hidden="1"/>
    </xf>
    <xf numFmtId="39" fontId="5" fillId="3" borderId="0" xfId="0" applyNumberFormat="1" applyFont="1" applyFill="1" applyBorder="1" applyAlignment="1" applyProtection="1">
      <alignment horizontal="right"/>
      <protection hidden="1"/>
    </xf>
    <xf numFmtId="39" fontId="10" fillId="3" borderId="0" xfId="0" applyNumberFormat="1" applyFont="1" applyFill="1" applyBorder="1" applyAlignment="1" applyProtection="1">
      <alignment horizontal="left"/>
      <protection hidden="1"/>
    </xf>
    <xf numFmtId="0" fontId="55" fillId="3" borderId="28" xfId="0" applyFont="1" applyFill="1" applyBorder="1" applyProtection="1">
      <protection hidden="1"/>
    </xf>
    <xf numFmtId="39" fontId="20" fillId="3" borderId="0" xfId="0" applyNumberFormat="1" applyFont="1" applyFill="1" applyBorder="1" applyProtection="1">
      <protection hidden="1"/>
    </xf>
    <xf numFmtId="0" fontId="55" fillId="3" borderId="8" xfId="0" applyFont="1" applyFill="1" applyBorder="1" applyProtection="1">
      <protection hidden="1"/>
    </xf>
    <xf numFmtId="39" fontId="55" fillId="3" borderId="0" xfId="0" applyNumberFormat="1" applyFont="1" applyFill="1" applyBorder="1" applyProtection="1">
      <protection hidden="1"/>
    </xf>
    <xf numFmtId="39" fontId="19" fillId="3" borderId="1" xfId="0" applyNumberFormat="1" applyFont="1" applyFill="1" applyBorder="1" applyProtection="1">
      <protection hidden="1"/>
    </xf>
    <xf numFmtId="39" fontId="9" fillId="3" borderId="1" xfId="0" applyNumberFormat="1" applyFont="1" applyFill="1" applyBorder="1" applyProtection="1">
      <protection hidden="1"/>
    </xf>
    <xf numFmtId="39" fontId="7" fillId="3" borderId="0" xfId="0" applyNumberFormat="1" applyFont="1" applyFill="1" applyBorder="1" applyAlignment="1" applyProtection="1">
      <alignment horizontal="right"/>
      <protection hidden="1"/>
    </xf>
    <xf numFmtId="0" fontId="1" fillId="3" borderId="0" xfId="0" applyFont="1" applyFill="1" applyBorder="1" applyAlignment="1" applyProtection="1">
      <alignment horizontal="left"/>
      <protection hidden="1"/>
    </xf>
    <xf numFmtId="39" fontId="4" fillId="3" borderId="0" xfId="0" applyNumberFormat="1" applyFont="1" applyFill="1" applyBorder="1" applyProtection="1">
      <protection hidden="1"/>
    </xf>
    <xf numFmtId="39" fontId="7" fillId="3" borderId="5" xfId="0" applyNumberFormat="1" applyFont="1" applyFill="1" applyBorder="1" applyProtection="1">
      <protection hidden="1"/>
    </xf>
    <xf numFmtId="39" fontId="4" fillId="3" borderId="5" xfId="0" applyNumberFormat="1" applyFont="1" applyFill="1" applyBorder="1" applyProtection="1">
      <protection hidden="1"/>
    </xf>
    <xf numFmtId="0" fontId="7" fillId="3" borderId="29" xfId="0" applyFont="1" applyFill="1" applyBorder="1" applyAlignment="1" applyProtection="1">
      <alignment horizontal="center"/>
      <protection hidden="1"/>
    </xf>
    <xf numFmtId="0" fontId="16" fillId="3" borderId="1" xfId="0" applyFont="1" applyFill="1" applyBorder="1" applyProtection="1">
      <protection hidden="1"/>
    </xf>
    <xf numFmtId="0" fontId="0" fillId="3" borderId="0" xfId="0" applyFill="1" applyBorder="1" applyAlignment="1" applyProtection="1">
      <alignment horizontal="center"/>
      <protection hidden="1"/>
    </xf>
    <xf numFmtId="0" fontId="1" fillId="3" borderId="3" xfId="0" applyFont="1" applyFill="1" applyBorder="1" applyAlignment="1" applyProtection="1">
      <alignment horizontal="right"/>
      <protection hidden="1"/>
    </xf>
    <xf numFmtId="4" fontId="8" fillId="3" borderId="0" xfId="0" applyNumberFormat="1" applyFont="1" applyFill="1" applyBorder="1" applyProtection="1">
      <protection hidden="1"/>
    </xf>
    <xf numFmtId="0" fontId="11" fillId="3" borderId="0" xfId="0" applyFont="1" applyFill="1" applyBorder="1" applyProtection="1">
      <protection hidden="1"/>
    </xf>
    <xf numFmtId="4" fontId="11" fillId="3" borderId="0" xfId="0" applyNumberFormat="1" applyFont="1" applyFill="1" applyBorder="1" applyProtection="1">
      <protection hidden="1"/>
    </xf>
    <xf numFmtId="4" fontId="12" fillId="3" borderId="0" xfId="0" applyNumberFormat="1" applyFont="1" applyFill="1" applyBorder="1" applyProtection="1">
      <protection hidden="1"/>
    </xf>
    <xf numFmtId="4" fontId="11" fillId="3" borderId="1" xfId="0" applyNumberFormat="1" applyFont="1" applyFill="1" applyBorder="1" applyProtection="1">
      <protection hidden="1"/>
    </xf>
    <xf numFmtId="0" fontId="8" fillId="3" borderId="0" xfId="0" applyFont="1" applyFill="1" applyBorder="1" applyAlignment="1" applyProtection="1">
      <alignment horizontal="left"/>
      <protection hidden="1"/>
    </xf>
    <xf numFmtId="4" fontId="8" fillId="3" borderId="0" xfId="0" applyNumberFormat="1" applyFont="1" applyFill="1" applyBorder="1" applyAlignment="1" applyProtection="1">
      <alignment horizontal="left"/>
      <protection hidden="1"/>
    </xf>
    <xf numFmtId="4" fontId="15" fillId="3" borderId="25" xfId="0" applyNumberFormat="1" applyFont="1" applyFill="1" applyBorder="1" applyAlignment="1" applyProtection="1">
      <alignment horizontal="center"/>
      <protection hidden="1"/>
    </xf>
    <xf numFmtId="0" fontId="4" fillId="3" borderId="3" xfId="0" applyFont="1" applyFill="1" applyBorder="1" applyAlignment="1" applyProtection="1">
      <alignment horizontal="right"/>
      <protection hidden="1"/>
    </xf>
    <xf numFmtId="0" fontId="4" fillId="3" borderId="0" xfId="0" applyFont="1" applyFill="1" applyBorder="1" applyAlignment="1" applyProtection="1">
      <alignment horizontal="right"/>
      <protection hidden="1"/>
    </xf>
    <xf numFmtId="4" fontId="11" fillId="3" borderId="0" xfId="0" applyNumberFormat="1" applyFont="1" applyFill="1" applyBorder="1" applyAlignment="1" applyProtection="1">
      <alignment horizontal="left"/>
      <protection hidden="1"/>
    </xf>
    <xf numFmtId="0" fontId="0" fillId="0" borderId="0" xfId="0" applyBorder="1" applyProtection="1">
      <protection hidden="1"/>
    </xf>
    <xf numFmtId="0" fontId="8" fillId="0" borderId="0" xfId="0" applyFont="1" applyProtection="1">
      <protection hidden="1"/>
    </xf>
    <xf numFmtId="0" fontId="4" fillId="0" borderId="0" xfId="0" applyFont="1" applyProtection="1">
      <protection hidden="1"/>
    </xf>
    <xf numFmtId="0" fontId="19" fillId="0" borderId="0" xfId="0" applyFont="1" applyBorder="1" applyAlignment="1" applyProtection="1">
      <alignment horizontal="center"/>
      <protection hidden="1"/>
    </xf>
    <xf numFmtId="3" fontId="19" fillId="0" borderId="0" xfId="0" applyNumberFormat="1" applyFont="1" applyBorder="1" applyAlignment="1" applyProtection="1">
      <alignment horizontal="right"/>
      <protection hidden="1"/>
    </xf>
    <xf numFmtId="0" fontId="19" fillId="0" borderId="0" xfId="0" applyFont="1" applyProtection="1"/>
    <xf numFmtId="0" fontId="19" fillId="5" borderId="0" xfId="0" applyFont="1" applyFill="1"/>
    <xf numFmtId="40" fontId="23" fillId="2" borderId="0" xfId="0" applyNumberFormat="1" applyFont="1" applyFill="1" applyBorder="1" applyProtection="1">
      <protection hidden="1"/>
    </xf>
    <xf numFmtId="4" fontId="8" fillId="7" borderId="0" xfId="0" applyNumberFormat="1" applyFont="1" applyFill="1" applyBorder="1" applyProtection="1">
      <protection hidden="1"/>
    </xf>
    <xf numFmtId="1" fontId="4" fillId="7" borderId="16" xfId="0" applyNumberFormat="1" applyFont="1" applyFill="1" applyBorder="1" applyAlignment="1" applyProtection="1">
      <alignment horizontal="right"/>
      <protection hidden="1"/>
    </xf>
    <xf numFmtId="1" fontId="4" fillId="7" borderId="7" xfId="0" applyNumberFormat="1" applyFont="1" applyFill="1" applyBorder="1" applyAlignment="1" applyProtection="1">
      <alignment horizontal="right"/>
      <protection hidden="1"/>
    </xf>
    <xf numFmtId="0" fontId="13" fillId="3" borderId="0" xfId="0" applyFont="1" applyFill="1" applyBorder="1" applyAlignment="1" applyProtection="1">
      <alignment horizontal="left"/>
      <protection hidden="1"/>
    </xf>
    <xf numFmtId="0" fontId="6" fillId="3" borderId="0" xfId="0" applyFont="1" applyFill="1" applyProtection="1">
      <protection hidden="1"/>
    </xf>
    <xf numFmtId="0" fontId="0" fillId="3" borderId="23" xfId="0" applyFill="1" applyBorder="1" applyProtection="1">
      <protection hidden="1"/>
    </xf>
    <xf numFmtId="0" fontId="0" fillId="3" borderId="8" xfId="0" applyFill="1" applyBorder="1" applyProtection="1">
      <protection hidden="1"/>
    </xf>
    <xf numFmtId="0" fontId="0" fillId="3" borderId="20" xfId="0" applyFill="1" applyBorder="1" applyProtection="1">
      <protection hidden="1"/>
    </xf>
    <xf numFmtId="0" fontId="1" fillId="3" borderId="0" xfId="0" applyFont="1" applyFill="1" applyBorder="1" applyAlignment="1" applyProtection="1">
      <alignment horizontal="center"/>
      <protection hidden="1"/>
    </xf>
    <xf numFmtId="0" fontId="5" fillId="3" borderId="0" xfId="0" applyFont="1" applyFill="1" applyProtection="1">
      <protection hidden="1"/>
    </xf>
    <xf numFmtId="0" fontId="11" fillId="3" borderId="5" xfId="0" applyFont="1" applyFill="1" applyBorder="1" applyProtection="1">
      <protection hidden="1"/>
    </xf>
    <xf numFmtId="0" fontId="6" fillId="3" borderId="5" xfId="0" applyFont="1" applyFill="1" applyBorder="1" applyProtection="1">
      <protection hidden="1"/>
    </xf>
    <xf numFmtId="0" fontId="1" fillId="3" borderId="11" xfId="0" applyFont="1" applyFill="1" applyBorder="1" applyAlignment="1" applyProtection="1">
      <alignment horizontal="right"/>
      <protection hidden="1"/>
    </xf>
    <xf numFmtId="0" fontId="5" fillId="3" borderId="1" xfId="0" applyFont="1" applyFill="1" applyBorder="1" applyProtection="1">
      <protection hidden="1"/>
    </xf>
    <xf numFmtId="4" fontId="8" fillId="3" borderId="0" xfId="0" applyNumberFormat="1" applyFont="1" applyFill="1" applyBorder="1" applyAlignment="1" applyProtection="1">
      <alignment horizontal="right"/>
      <protection hidden="1"/>
    </xf>
    <xf numFmtId="0" fontId="41" fillId="3" borderId="0" xfId="0" applyFont="1" applyFill="1" applyProtection="1">
      <protection hidden="1"/>
    </xf>
    <xf numFmtId="4" fontId="8" fillId="3" borderId="1" xfId="0" applyNumberFormat="1" applyFont="1" applyFill="1" applyBorder="1" applyAlignment="1" applyProtection="1">
      <alignment horizontal="left"/>
      <protection hidden="1"/>
    </xf>
    <xf numFmtId="1" fontId="15" fillId="3" borderId="0" xfId="0" applyNumberFormat="1" applyFont="1" applyFill="1" applyBorder="1" applyAlignment="1" applyProtection="1">
      <alignment horizontal="center"/>
      <protection hidden="1"/>
    </xf>
    <xf numFmtId="1" fontId="21" fillId="3" borderId="0" xfId="0" applyNumberFormat="1" applyFont="1" applyFill="1" applyBorder="1" applyAlignment="1" applyProtection="1">
      <alignment horizontal="left"/>
      <protection hidden="1"/>
    </xf>
    <xf numFmtId="4" fontId="11" fillId="3" borderId="0" xfId="0" applyNumberFormat="1" applyFont="1" applyFill="1" applyBorder="1" applyAlignment="1" applyProtection="1">
      <alignment horizontal="right"/>
      <protection hidden="1"/>
    </xf>
    <xf numFmtId="39" fontId="64" fillId="3" borderId="0" xfId="0" applyNumberFormat="1" applyFont="1" applyFill="1" applyBorder="1" applyProtection="1">
      <protection hidden="1"/>
    </xf>
    <xf numFmtId="39" fontId="8" fillId="3" borderId="0" xfId="0" applyNumberFormat="1" applyFont="1" applyFill="1" applyBorder="1" applyAlignment="1" applyProtection="1">
      <alignment horizontal="right"/>
      <protection hidden="1"/>
    </xf>
    <xf numFmtId="39" fontId="19" fillId="3" borderId="0" xfId="0" applyNumberFormat="1" applyFont="1" applyFill="1" applyBorder="1" applyAlignment="1" applyProtection="1">
      <alignment horizontal="right"/>
      <protection hidden="1"/>
    </xf>
    <xf numFmtId="39" fontId="31" fillId="3" borderId="0" xfId="0" applyNumberFormat="1" applyFont="1" applyFill="1" applyBorder="1" applyAlignment="1" applyProtection="1">
      <alignment horizontal="right"/>
      <protection hidden="1"/>
    </xf>
    <xf numFmtId="4" fontId="5" fillId="0" borderId="0" xfId="0" applyNumberFormat="1" applyFont="1" applyProtection="1">
      <protection hidden="1"/>
    </xf>
    <xf numFmtId="0" fontId="5" fillId="0" borderId="0" xfId="0" applyFont="1" applyProtection="1">
      <protection hidden="1"/>
    </xf>
    <xf numFmtId="0" fontId="6" fillId="0" borderId="0" xfId="0" applyFont="1" applyProtection="1">
      <protection hidden="1"/>
    </xf>
    <xf numFmtId="0" fontId="55" fillId="0" borderId="0" xfId="0" applyFont="1" applyProtection="1">
      <protection hidden="1"/>
    </xf>
    <xf numFmtId="0" fontId="8" fillId="0" borderId="0" xfId="0" applyFont="1" applyAlignment="1" applyProtection="1">
      <alignment horizontal="center"/>
      <protection hidden="1"/>
    </xf>
    <xf numFmtId="0" fontId="15" fillId="0" borderId="0" xfId="0" applyFont="1" applyProtection="1">
      <protection hidden="1"/>
    </xf>
    <xf numFmtId="39" fontId="7" fillId="2" borderId="0" xfId="0" applyNumberFormat="1" applyFont="1" applyFill="1" applyBorder="1" applyProtection="1">
      <protection hidden="1"/>
    </xf>
    <xf numFmtId="0" fontId="11" fillId="3" borderId="8" xfId="0" applyFont="1" applyFill="1" applyBorder="1" applyProtection="1">
      <protection hidden="1"/>
    </xf>
    <xf numFmtId="4" fontId="0" fillId="0" borderId="0" xfId="0" applyNumberFormat="1" applyProtection="1">
      <protection hidden="1"/>
    </xf>
    <xf numFmtId="0" fontId="8" fillId="2" borderId="21" xfId="0" applyFont="1" applyFill="1" applyBorder="1" applyProtection="1">
      <protection hidden="1"/>
    </xf>
    <xf numFmtId="0" fontId="19" fillId="2" borderId="0" xfId="0" applyFont="1" applyFill="1" applyBorder="1" applyProtection="1">
      <protection hidden="1"/>
    </xf>
    <xf numFmtId="0" fontId="4" fillId="2" borderId="2" xfId="0" applyFont="1" applyFill="1" applyBorder="1" applyAlignment="1" applyProtection="1">
      <alignment horizontal="center"/>
      <protection hidden="1"/>
    </xf>
    <xf numFmtId="49" fontId="8" fillId="3" borderId="12" xfId="0" applyNumberFormat="1" applyFont="1" applyFill="1" applyBorder="1" applyAlignment="1" applyProtection="1">
      <alignment horizontal="center"/>
      <protection hidden="1"/>
    </xf>
    <xf numFmtId="0" fontId="0" fillId="0" borderId="0" xfId="0" applyAlignment="1">
      <alignment horizontal="center"/>
    </xf>
    <xf numFmtId="0" fontId="0" fillId="0" borderId="0" xfId="0" applyBorder="1" applyAlignment="1">
      <alignment horizontal="center"/>
    </xf>
    <xf numFmtId="39" fontId="5" fillId="3" borderId="16" xfId="0" applyNumberFormat="1" applyFont="1" applyFill="1" applyBorder="1" applyProtection="1">
      <protection hidden="1"/>
    </xf>
    <xf numFmtId="0" fontId="5" fillId="3" borderId="0" xfId="0" applyFont="1" applyFill="1" applyAlignment="1" applyProtection="1">
      <alignment wrapText="1"/>
      <protection hidden="1"/>
    </xf>
    <xf numFmtId="0" fontId="5" fillId="3" borderId="0" xfId="0" applyFont="1" applyFill="1" applyAlignment="1" applyProtection="1">
      <alignment horizontal="left"/>
      <protection hidden="1"/>
    </xf>
    <xf numFmtId="4" fontId="6" fillId="3" borderId="8" xfId="0" applyNumberFormat="1" applyFont="1" applyFill="1" applyBorder="1" applyAlignment="1" applyProtection="1">
      <alignment horizontal="right"/>
      <protection hidden="1"/>
    </xf>
    <xf numFmtId="0" fontId="21" fillId="3" borderId="0" xfId="0" applyFont="1" applyFill="1" applyBorder="1" applyAlignment="1" applyProtection="1">
      <alignment horizontal="left"/>
      <protection hidden="1"/>
    </xf>
    <xf numFmtId="0" fontId="6" fillId="3" borderId="23" xfId="0" applyFont="1" applyFill="1" applyBorder="1" applyProtection="1">
      <protection hidden="1"/>
    </xf>
    <xf numFmtId="0" fontId="4" fillId="3" borderId="0" xfId="0" applyFont="1" applyFill="1" applyBorder="1" applyProtection="1">
      <protection hidden="1"/>
    </xf>
    <xf numFmtId="0" fontId="1" fillId="5" borderId="0" xfId="0" applyFont="1" applyFill="1" applyBorder="1" applyAlignment="1" applyProtection="1">
      <alignment horizontal="right"/>
      <protection hidden="1"/>
    </xf>
    <xf numFmtId="0" fontId="5" fillId="6" borderId="0" xfId="0" applyFont="1" applyFill="1" applyBorder="1" applyProtection="1">
      <protection hidden="1"/>
    </xf>
    <xf numFmtId="0" fontId="8" fillId="2" borderId="0" xfId="0" applyFont="1" applyFill="1" applyBorder="1" applyAlignment="1" applyProtection="1">
      <alignment wrapText="1"/>
      <protection hidden="1"/>
    </xf>
    <xf numFmtId="0" fontId="6" fillId="2" borderId="0" xfId="0" applyFont="1" applyFill="1" applyBorder="1" applyProtection="1">
      <protection hidden="1"/>
    </xf>
    <xf numFmtId="0" fontId="5" fillId="2" borderId="0" xfId="0" applyFont="1" applyFill="1" applyProtection="1">
      <protection hidden="1"/>
    </xf>
    <xf numFmtId="0" fontId="5" fillId="2" borderId="1" xfId="0" applyFont="1" applyFill="1" applyBorder="1" applyProtection="1">
      <protection hidden="1"/>
    </xf>
    <xf numFmtId="0" fontId="5" fillId="2" borderId="9" xfId="0" applyFont="1" applyFill="1" applyBorder="1" applyProtection="1">
      <protection hidden="1"/>
    </xf>
    <xf numFmtId="0" fontId="5" fillId="2" borderId="0" xfId="0" applyFont="1" applyFill="1" applyAlignment="1" applyProtection="1">
      <alignment horizontal="left"/>
      <protection hidden="1"/>
    </xf>
    <xf numFmtId="0" fontId="6" fillId="2" borderId="0" xfId="0" applyFont="1" applyFill="1" applyProtection="1">
      <protection hidden="1"/>
    </xf>
    <xf numFmtId="0" fontId="6" fillId="2" borderId="0" xfId="0" applyFont="1" applyFill="1" applyBorder="1" applyAlignment="1" applyProtection="1">
      <alignment horizontal="right"/>
      <protection hidden="1"/>
    </xf>
    <xf numFmtId="0" fontId="0" fillId="2" borderId="0" xfId="0" applyFill="1" applyBorder="1"/>
    <xf numFmtId="1" fontId="23" fillId="2" borderId="0" xfId="0" applyNumberFormat="1" applyFont="1" applyFill="1" applyBorder="1" applyAlignment="1" applyProtection="1">
      <alignment horizontal="right" vertical="center"/>
      <protection hidden="1"/>
    </xf>
    <xf numFmtId="0" fontId="0" fillId="0" borderId="0" xfId="0" applyBorder="1" applyAlignment="1" applyProtection="1">
      <alignment vertical="center"/>
      <protection hidden="1"/>
    </xf>
    <xf numFmtId="0" fontId="0" fillId="2" borderId="0" xfId="0" applyFill="1" applyBorder="1" applyAlignment="1" applyProtection="1">
      <alignment vertical="center"/>
      <protection hidden="1"/>
    </xf>
    <xf numFmtId="0" fontId="8" fillId="2" borderId="0" xfId="0" applyFont="1" applyFill="1" applyBorder="1" applyAlignment="1" applyProtection="1">
      <alignment vertical="center"/>
      <protection hidden="1"/>
    </xf>
    <xf numFmtId="40" fontId="19" fillId="2" borderId="0" xfId="0" applyNumberFormat="1" applyFont="1" applyFill="1" applyBorder="1" applyAlignment="1" applyProtection="1">
      <alignment horizontal="left"/>
      <protection hidden="1"/>
    </xf>
    <xf numFmtId="164" fontId="69" fillId="2" borderId="0" xfId="0" applyNumberFormat="1" applyFont="1" applyFill="1" applyBorder="1" applyAlignment="1" applyProtection="1">
      <alignment horizontal="center"/>
      <protection hidden="1"/>
    </xf>
    <xf numFmtId="164" fontId="4" fillId="2" borderId="0" xfId="0" applyNumberFormat="1" applyFont="1" applyFill="1" applyBorder="1" applyAlignment="1" applyProtection="1">
      <alignment horizontal="left"/>
      <protection hidden="1"/>
    </xf>
    <xf numFmtId="40" fontId="46" fillId="2" borderId="0" xfId="0" applyNumberFormat="1" applyFont="1" applyFill="1" applyBorder="1" applyAlignment="1" applyProtection="1">
      <alignment horizontal="left"/>
      <protection hidden="1"/>
    </xf>
    <xf numFmtId="164" fontId="13" fillId="2" borderId="0" xfId="0" applyNumberFormat="1" applyFont="1" applyFill="1" applyBorder="1" applyAlignment="1" applyProtection="1">
      <protection hidden="1"/>
    </xf>
    <xf numFmtId="0" fontId="14" fillId="2" borderId="0" xfId="0" applyFont="1" applyFill="1" applyBorder="1" applyAlignment="1" applyProtection="1">
      <alignment wrapText="1"/>
      <protection hidden="1"/>
    </xf>
    <xf numFmtId="40" fontId="14" fillId="2" borderId="0" xfId="0" applyNumberFormat="1" applyFont="1" applyFill="1" applyBorder="1" applyAlignment="1" applyProtection="1">
      <alignment horizontal="right"/>
      <protection hidden="1"/>
    </xf>
    <xf numFmtId="40" fontId="14" fillId="2" borderId="0" xfId="0" applyNumberFormat="1" applyFont="1" applyFill="1" applyBorder="1" applyAlignment="1" applyProtection="1">
      <alignment horizontal="left"/>
      <protection hidden="1"/>
    </xf>
    <xf numFmtId="40" fontId="1" fillId="2" borderId="2" xfId="0" applyNumberFormat="1" applyFont="1" applyFill="1" applyBorder="1" applyAlignment="1" applyProtection="1">
      <alignment horizontal="center"/>
      <protection hidden="1"/>
    </xf>
    <xf numFmtId="0" fontId="0" fillId="2" borderId="8" xfId="0" applyFill="1" applyBorder="1"/>
    <xf numFmtId="0" fontId="0" fillId="2" borderId="20" xfId="0" applyFill="1" applyBorder="1"/>
    <xf numFmtId="0" fontId="0" fillId="2" borderId="21" xfId="0" applyFill="1" applyBorder="1"/>
    <xf numFmtId="0" fontId="0" fillId="2" borderId="5" xfId="0" applyFill="1" applyBorder="1"/>
    <xf numFmtId="40" fontId="4" fillId="2" borderId="0" xfId="0" applyNumberFormat="1" applyFont="1" applyFill="1" applyBorder="1" applyProtection="1">
      <protection hidden="1"/>
    </xf>
    <xf numFmtId="38" fontId="0" fillId="2" borderId="21" xfId="0" applyNumberFormat="1" applyFill="1" applyBorder="1" applyProtection="1">
      <protection hidden="1"/>
    </xf>
    <xf numFmtId="40" fontId="70" fillId="2" borderId="0" xfId="0" applyNumberFormat="1" applyFont="1" applyFill="1" applyAlignment="1" applyProtection="1">
      <alignment horizontal="right"/>
      <protection hidden="1"/>
    </xf>
    <xf numFmtId="164" fontId="13" fillId="2" borderId="0" xfId="0" applyNumberFormat="1" applyFont="1" applyFill="1" applyAlignment="1" applyProtection="1">
      <protection hidden="1"/>
    </xf>
    <xf numFmtId="40" fontId="4" fillId="2" borderId="0" xfId="0" applyNumberFormat="1" applyFont="1" applyFill="1" applyBorder="1" applyAlignment="1" applyProtection="1">
      <alignment horizontal="center"/>
      <protection hidden="1"/>
    </xf>
    <xf numFmtId="164" fontId="19" fillId="2" borderId="0" xfId="0" applyNumberFormat="1" applyFont="1" applyFill="1" applyBorder="1" applyProtection="1">
      <protection hidden="1"/>
    </xf>
    <xf numFmtId="0" fontId="0" fillId="2" borderId="0" xfId="0" applyFill="1"/>
    <xf numFmtId="0" fontId="14" fillId="2" borderId="30" xfId="0" applyFont="1" applyFill="1" applyBorder="1" applyAlignment="1" applyProtection="1">
      <alignment vertical="center"/>
      <protection hidden="1"/>
    </xf>
    <xf numFmtId="0" fontId="0" fillId="4" borderId="21" xfId="0" applyFill="1" applyBorder="1" applyProtection="1">
      <protection locked="0" hidden="1"/>
    </xf>
    <xf numFmtId="38" fontId="0" fillId="2" borderId="0" xfId="0" applyNumberFormat="1" applyFill="1" applyBorder="1" applyProtection="1">
      <protection hidden="1"/>
    </xf>
    <xf numFmtId="40" fontId="0" fillId="2" borderId="5" xfId="0" applyNumberFormat="1" applyFill="1" applyBorder="1" applyAlignment="1" applyProtection="1">
      <alignment horizontal="center"/>
      <protection hidden="1"/>
    </xf>
    <xf numFmtId="164" fontId="13" fillId="4" borderId="0" xfId="0" applyNumberFormat="1" applyFont="1" applyFill="1" applyAlignment="1" applyProtection="1">
      <protection locked="0" hidden="1"/>
    </xf>
    <xf numFmtId="164" fontId="15" fillId="2" borderId="5" xfId="0" applyNumberFormat="1" applyFont="1" applyFill="1" applyBorder="1" applyAlignment="1" applyProtection="1">
      <alignment horizontal="right"/>
      <protection hidden="1"/>
    </xf>
    <xf numFmtId="38" fontId="0" fillId="2" borderId="5" xfId="0" applyNumberFormat="1" applyFill="1" applyBorder="1" applyProtection="1">
      <protection hidden="1"/>
    </xf>
    <xf numFmtId="164" fontId="4" fillId="2" borderId="6" xfId="0" applyNumberFormat="1" applyFont="1" applyFill="1" applyBorder="1" applyAlignment="1" applyProtection="1">
      <protection hidden="1"/>
    </xf>
    <xf numFmtId="4" fontId="19" fillId="0" borderId="0" xfId="0" applyNumberFormat="1" applyFont="1" applyFill="1" applyBorder="1" applyProtection="1">
      <protection locked="0"/>
    </xf>
    <xf numFmtId="4" fontId="19" fillId="0" borderId="0" xfId="0" applyNumberFormat="1" applyFont="1" applyFill="1" applyBorder="1" applyAlignment="1" applyProtection="1">
      <alignment wrapText="1"/>
      <protection locked="0"/>
    </xf>
    <xf numFmtId="0" fontId="4" fillId="2" borderId="21" xfId="0" applyFont="1" applyFill="1" applyBorder="1" applyAlignment="1" applyProtection="1">
      <alignment horizontal="center"/>
      <protection hidden="1"/>
    </xf>
    <xf numFmtId="0" fontId="5" fillId="2" borderId="0" xfId="0" applyFont="1" applyFill="1" applyBorder="1" applyAlignment="1" applyProtection="1">
      <protection hidden="1"/>
    </xf>
    <xf numFmtId="0" fontId="0" fillId="2" borderId="0" xfId="0" applyFill="1" applyBorder="1" applyAlignment="1" applyProtection="1">
      <alignment horizontal="left" vertical="center"/>
      <protection hidden="1"/>
    </xf>
    <xf numFmtId="0" fontId="19" fillId="2" borderId="1" xfId="0" applyFont="1" applyFill="1" applyBorder="1" applyProtection="1">
      <protection hidden="1"/>
    </xf>
    <xf numFmtId="0" fontId="0" fillId="2" borderId="5" xfId="0" applyFill="1" applyBorder="1" applyAlignment="1" applyProtection="1">
      <alignment horizontal="center"/>
      <protection hidden="1"/>
    </xf>
    <xf numFmtId="0" fontId="0" fillId="2" borderId="0" xfId="0" applyFill="1" applyBorder="1" applyAlignment="1" applyProtection="1">
      <alignment horizontal="center"/>
      <protection hidden="1"/>
    </xf>
    <xf numFmtId="0" fontId="4" fillId="2" borderId="0" xfId="0" applyFont="1" applyFill="1" applyBorder="1" applyAlignment="1" applyProtection="1">
      <alignment horizontal="left"/>
      <protection hidden="1"/>
    </xf>
    <xf numFmtId="0" fontId="32" fillId="2" borderId="0" xfId="0" applyFont="1" applyFill="1" applyBorder="1" applyProtection="1">
      <protection hidden="1"/>
    </xf>
    <xf numFmtId="0" fontId="0" fillId="0" borderId="0" xfId="0" applyAlignment="1" applyProtection="1">
      <alignment horizontal="center"/>
      <protection hidden="1"/>
    </xf>
    <xf numFmtId="3" fontId="5" fillId="2" borderId="0" xfId="0" applyNumberFormat="1" applyFont="1" applyFill="1" applyBorder="1" applyProtection="1">
      <protection hidden="1"/>
    </xf>
    <xf numFmtId="0" fontId="32" fillId="2" borderId="0" xfId="0" applyFont="1" applyFill="1" applyProtection="1">
      <protection hidden="1"/>
    </xf>
    <xf numFmtId="0" fontId="19" fillId="2" borderId="0" xfId="0" applyFont="1" applyFill="1" applyProtection="1">
      <protection hidden="1"/>
    </xf>
    <xf numFmtId="0" fontId="19" fillId="2" borderId="21" xfId="0" applyFont="1" applyFill="1" applyBorder="1" applyProtection="1">
      <protection hidden="1"/>
    </xf>
    <xf numFmtId="1" fontId="63" fillId="2" borderId="0" xfId="0" applyNumberFormat="1" applyFont="1" applyFill="1" applyBorder="1" applyProtection="1">
      <protection hidden="1"/>
    </xf>
    <xf numFmtId="164" fontId="63" fillId="2" borderId="5" xfId="0" applyNumberFormat="1" applyFont="1" applyFill="1" applyBorder="1" applyProtection="1">
      <protection hidden="1"/>
    </xf>
    <xf numFmtId="40" fontId="4" fillId="2" borderId="0" xfId="0" applyNumberFormat="1" applyFont="1" applyFill="1" applyBorder="1" applyAlignment="1" applyProtection="1">
      <alignment horizontal="left"/>
      <protection hidden="1"/>
    </xf>
    <xf numFmtId="1" fontId="74" fillId="2" borderId="0" xfId="0" applyNumberFormat="1" applyFont="1" applyFill="1" applyBorder="1" applyProtection="1">
      <protection hidden="1"/>
    </xf>
    <xf numFmtId="38" fontId="5" fillId="2" borderId="1" xfId="0" applyNumberFormat="1" applyFont="1" applyFill="1" applyBorder="1" applyProtection="1">
      <protection hidden="1"/>
    </xf>
    <xf numFmtId="38" fontId="5" fillId="2" borderId="1" xfId="0" applyNumberFormat="1" applyFont="1" applyFill="1" applyBorder="1" applyProtection="1">
      <protection locked="0"/>
    </xf>
    <xf numFmtId="3" fontId="5" fillId="2" borderId="1" xfId="0" applyNumberFormat="1" applyFont="1" applyFill="1" applyBorder="1" applyProtection="1">
      <protection hidden="1"/>
    </xf>
    <xf numFmtId="0" fontId="4" fillId="2" borderId="0" xfId="0" applyFont="1" applyFill="1" applyProtection="1">
      <protection hidden="1"/>
    </xf>
    <xf numFmtId="3" fontId="23" fillId="2" borderId="0" xfId="0" applyNumberFormat="1" applyFont="1" applyFill="1" applyBorder="1" applyProtection="1">
      <protection hidden="1"/>
    </xf>
    <xf numFmtId="40" fontId="0" fillId="2" borderId="0" xfId="0" applyNumberFormat="1" applyFill="1" applyBorder="1" applyAlignment="1" applyProtection="1">
      <protection hidden="1"/>
    </xf>
    <xf numFmtId="0" fontId="19" fillId="2" borderId="0" xfId="0" applyFont="1" applyFill="1"/>
    <xf numFmtId="0" fontId="4" fillId="0" borderId="0" xfId="0" applyFont="1" applyAlignment="1" applyProtection="1">
      <alignment horizontal="center"/>
      <protection hidden="1"/>
    </xf>
    <xf numFmtId="0" fontId="13" fillId="2" borderId="0" xfId="0" applyFont="1" applyFill="1" applyBorder="1" applyProtection="1">
      <protection hidden="1"/>
    </xf>
    <xf numFmtId="0" fontId="4" fillId="3" borderId="0" xfId="0" applyFont="1" applyFill="1" applyBorder="1" applyAlignment="1" applyProtection="1">
      <alignment horizontal="center"/>
      <protection hidden="1"/>
    </xf>
    <xf numFmtId="4" fontId="15" fillId="3" borderId="0" xfId="0" applyNumberFormat="1" applyFont="1" applyFill="1" applyBorder="1" applyAlignment="1" applyProtection="1">
      <alignment horizontal="right"/>
      <protection hidden="1"/>
    </xf>
    <xf numFmtId="0" fontId="8" fillId="3" borderId="8" xfId="0" applyFont="1" applyFill="1" applyBorder="1" applyProtection="1">
      <protection hidden="1"/>
    </xf>
    <xf numFmtId="0" fontId="55" fillId="3" borderId="0" xfId="0" applyFont="1" applyFill="1" applyBorder="1" applyProtection="1">
      <protection hidden="1"/>
    </xf>
    <xf numFmtId="0" fontId="55" fillId="3" borderId="1" xfId="0" applyFont="1" applyFill="1" applyBorder="1" applyProtection="1">
      <protection hidden="1"/>
    </xf>
    <xf numFmtId="0" fontId="0" fillId="0" borderId="0" xfId="0" applyFill="1" applyBorder="1" applyProtection="1">
      <protection hidden="1"/>
    </xf>
    <xf numFmtId="0" fontId="4" fillId="5" borderId="0" xfId="0" applyFont="1" applyFill="1" applyBorder="1" applyAlignment="1" applyProtection="1">
      <alignment horizontal="center"/>
      <protection hidden="1"/>
    </xf>
    <xf numFmtId="38" fontId="5" fillId="2" borderId="0" xfId="0" applyNumberFormat="1" applyFont="1" applyFill="1" applyBorder="1" applyProtection="1">
      <protection hidden="1"/>
    </xf>
    <xf numFmtId="38" fontId="0" fillId="2" borderId="9" xfId="0" applyNumberFormat="1" applyFill="1" applyBorder="1" applyProtection="1">
      <protection hidden="1"/>
    </xf>
    <xf numFmtId="0" fontId="8" fillId="3" borderId="1" xfId="0" applyFont="1" applyFill="1" applyBorder="1" applyAlignment="1" applyProtection="1">
      <alignment horizontal="left"/>
      <protection hidden="1"/>
    </xf>
    <xf numFmtId="0" fontId="67" fillId="3" borderId="0" xfId="0" applyFont="1" applyFill="1" applyBorder="1" applyProtection="1">
      <protection hidden="1"/>
    </xf>
    <xf numFmtId="0" fontId="0" fillId="8" borderId="16" xfId="0" applyFill="1" applyBorder="1" applyProtection="1">
      <protection hidden="1"/>
    </xf>
    <xf numFmtId="0" fontId="1" fillId="8" borderId="16" xfId="0" applyFont="1" applyFill="1" applyBorder="1" applyProtection="1">
      <protection hidden="1"/>
    </xf>
    <xf numFmtId="0" fontId="1" fillId="9" borderId="7" xfId="0" applyFont="1" applyFill="1" applyBorder="1" applyProtection="1">
      <protection hidden="1"/>
    </xf>
    <xf numFmtId="0" fontId="1" fillId="9" borderId="3" xfId="0" applyFont="1" applyFill="1" applyBorder="1" applyProtection="1">
      <protection hidden="1"/>
    </xf>
    <xf numFmtId="4" fontId="5" fillId="9" borderId="5" xfId="0" applyNumberFormat="1" applyFont="1" applyFill="1" applyBorder="1" applyProtection="1">
      <protection hidden="1"/>
    </xf>
    <xf numFmtId="0" fontId="5" fillId="0" borderId="0" xfId="0" applyFont="1" applyFill="1" applyProtection="1">
      <protection hidden="1"/>
    </xf>
    <xf numFmtId="0" fontId="8" fillId="0" borderId="0" xfId="0" applyFont="1" applyFill="1" applyProtection="1">
      <protection hidden="1"/>
    </xf>
    <xf numFmtId="0" fontId="0" fillId="0" borderId="0" xfId="0" applyFill="1" applyProtection="1">
      <protection hidden="1"/>
    </xf>
    <xf numFmtId="0" fontId="7" fillId="3" borderId="1" xfId="0" applyFont="1" applyFill="1" applyBorder="1" applyAlignment="1" applyProtection="1">
      <alignment horizontal="left" vertical="center"/>
      <protection hidden="1"/>
    </xf>
    <xf numFmtId="0" fontId="1" fillId="3" borderId="10" xfId="0" applyFont="1" applyFill="1" applyBorder="1" applyAlignment="1" applyProtection="1">
      <alignment horizontal="center"/>
      <protection hidden="1"/>
    </xf>
    <xf numFmtId="0" fontId="1" fillId="3" borderId="11" xfId="0" applyFont="1" applyFill="1" applyBorder="1" applyAlignment="1" applyProtection="1">
      <alignment horizontal="center"/>
      <protection hidden="1"/>
    </xf>
    <xf numFmtId="0" fontId="16" fillId="3" borderId="0" xfId="0" applyFont="1" applyFill="1" applyProtection="1">
      <protection hidden="1"/>
    </xf>
    <xf numFmtId="4" fontId="8" fillId="3" borderId="4" xfId="0" applyNumberFormat="1" applyFont="1" applyFill="1" applyBorder="1" applyAlignment="1" applyProtection="1">
      <alignment horizontal="right"/>
      <protection locked="0"/>
    </xf>
    <xf numFmtId="0" fontId="1" fillId="3" borderId="16" xfId="0" applyFont="1" applyFill="1" applyBorder="1" applyAlignment="1" applyProtection="1">
      <alignment horizontal="center"/>
      <protection hidden="1"/>
    </xf>
    <xf numFmtId="0" fontId="1" fillId="3" borderId="7" xfId="0" applyFont="1" applyFill="1" applyBorder="1" applyAlignment="1" applyProtection="1">
      <alignment horizontal="center"/>
      <protection hidden="1"/>
    </xf>
    <xf numFmtId="0" fontId="1" fillId="3" borderId="13" xfId="0" applyFont="1" applyFill="1" applyBorder="1" applyAlignment="1" applyProtection="1">
      <alignment horizontal="center"/>
      <protection hidden="1"/>
    </xf>
    <xf numFmtId="4" fontId="0" fillId="0" borderId="0" xfId="0" applyNumberFormat="1" applyFill="1" applyBorder="1" applyProtection="1">
      <protection hidden="1"/>
    </xf>
    <xf numFmtId="4" fontId="4" fillId="0" borderId="0" xfId="0" applyNumberFormat="1" applyFont="1" applyFill="1" applyBorder="1" applyProtection="1">
      <protection hidden="1"/>
    </xf>
    <xf numFmtId="4" fontId="0" fillId="0" borderId="0" xfId="0" applyNumberFormat="1" applyFill="1" applyProtection="1">
      <protection hidden="1"/>
    </xf>
    <xf numFmtId="3" fontId="5" fillId="2" borderId="5" xfId="0" applyNumberFormat="1" applyFont="1" applyFill="1" applyBorder="1" applyProtection="1">
      <protection hidden="1"/>
    </xf>
    <xf numFmtId="0" fontId="17" fillId="2" borderId="0" xfId="0" applyFont="1" applyFill="1" applyBorder="1" applyProtection="1">
      <protection hidden="1"/>
    </xf>
    <xf numFmtId="0" fontId="4" fillId="2" borderId="11" xfId="0" applyFont="1" applyFill="1" applyBorder="1" applyAlignment="1" applyProtection="1">
      <alignment horizontal="center"/>
      <protection hidden="1"/>
    </xf>
    <xf numFmtId="0" fontId="4" fillId="2" borderId="5" xfId="0" applyFont="1" applyFill="1" applyBorder="1" applyProtection="1">
      <protection hidden="1"/>
    </xf>
    <xf numFmtId="0" fontId="4" fillId="2" borderId="0" xfId="0" applyFont="1" applyFill="1" applyAlignment="1" applyProtection="1">
      <alignment horizontal="center"/>
      <protection hidden="1"/>
    </xf>
    <xf numFmtId="1" fontId="1" fillId="10" borderId="26" xfId="0" applyNumberFormat="1" applyFont="1" applyFill="1" applyBorder="1" applyProtection="1">
      <protection hidden="1"/>
    </xf>
    <xf numFmtId="1" fontId="1" fillId="10" borderId="26" xfId="0" applyNumberFormat="1" applyFont="1" applyFill="1" applyBorder="1" applyAlignment="1" applyProtection="1">
      <alignment horizontal="right"/>
      <protection hidden="1"/>
    </xf>
    <xf numFmtId="0" fontId="4" fillId="10" borderId="0" xfId="0" applyFont="1" applyFill="1" applyBorder="1" applyProtection="1">
      <protection hidden="1"/>
    </xf>
    <xf numFmtId="1" fontId="1" fillId="10" borderId="1" xfId="0" applyNumberFormat="1" applyFont="1" applyFill="1" applyBorder="1" applyProtection="1">
      <protection hidden="1"/>
    </xf>
    <xf numFmtId="0" fontId="8" fillId="10" borderId="1" xfId="0" applyFont="1" applyFill="1" applyBorder="1" applyProtection="1">
      <protection hidden="1"/>
    </xf>
    <xf numFmtId="0" fontId="8" fillId="10" borderId="0" xfId="0" applyFont="1" applyFill="1" applyBorder="1" applyProtection="1">
      <protection hidden="1"/>
    </xf>
    <xf numFmtId="0" fontId="4" fillId="10" borderId="1" xfId="0" applyFont="1" applyFill="1" applyBorder="1" applyProtection="1">
      <protection hidden="1"/>
    </xf>
    <xf numFmtId="0" fontId="5" fillId="2" borderId="7" xfId="0" applyFont="1" applyFill="1" applyBorder="1" applyProtection="1">
      <protection hidden="1"/>
    </xf>
    <xf numFmtId="0" fontId="5" fillId="2" borderId="11" xfId="0" applyFont="1" applyFill="1" applyBorder="1" applyProtection="1">
      <protection hidden="1"/>
    </xf>
    <xf numFmtId="0" fontId="5" fillId="2" borderId="31" xfId="0" applyFont="1" applyFill="1" applyBorder="1" applyProtection="1">
      <protection hidden="1"/>
    </xf>
    <xf numFmtId="0" fontId="3" fillId="10" borderId="1" xfId="0" applyFont="1" applyFill="1" applyBorder="1" applyAlignment="1" applyProtection="1">
      <alignment horizontal="left"/>
      <protection hidden="1"/>
    </xf>
    <xf numFmtId="0" fontId="3" fillId="10" borderId="0" xfId="0" applyFont="1" applyFill="1" applyBorder="1" applyAlignment="1" applyProtection="1">
      <alignment horizontal="left"/>
      <protection hidden="1"/>
    </xf>
    <xf numFmtId="0" fontId="12" fillId="2" borderId="1" xfId="0" applyFont="1" applyFill="1" applyBorder="1" applyProtection="1">
      <protection hidden="1"/>
    </xf>
    <xf numFmtId="0" fontId="16" fillId="2" borderId="0" xfId="0" applyFont="1" applyFill="1" applyBorder="1" applyProtection="1">
      <protection hidden="1"/>
    </xf>
    <xf numFmtId="0" fontId="16" fillId="2" borderId="9" xfId="0" applyFont="1" applyFill="1" applyBorder="1" applyAlignment="1" applyProtection="1">
      <alignment horizontal="left"/>
      <protection hidden="1"/>
    </xf>
    <xf numFmtId="0" fontId="16" fillId="2" borderId="0" xfId="0" applyFont="1" applyFill="1" applyBorder="1" applyAlignment="1" applyProtection="1">
      <alignment horizontal="left"/>
      <protection hidden="1"/>
    </xf>
    <xf numFmtId="6" fontId="17" fillId="2" borderId="0" xfId="0" applyNumberFormat="1" applyFont="1" applyFill="1" applyBorder="1" applyAlignment="1" applyProtection="1">
      <alignment horizontal="left"/>
      <protection hidden="1"/>
    </xf>
    <xf numFmtId="6" fontId="17" fillId="2" borderId="1" xfId="0" applyNumberFormat="1" applyFont="1" applyFill="1" applyBorder="1" applyAlignment="1" applyProtection="1">
      <alignment horizontal="left"/>
      <protection hidden="1"/>
    </xf>
    <xf numFmtId="0" fontId="7" fillId="2" borderId="5" xfId="0" applyFont="1" applyFill="1" applyBorder="1" applyProtection="1">
      <protection hidden="1"/>
    </xf>
    <xf numFmtId="164" fontId="25" fillId="2" borderId="0" xfId="0" applyNumberFormat="1" applyFont="1" applyFill="1" applyAlignment="1" applyProtection="1">
      <alignment horizontal="center"/>
      <protection hidden="1"/>
    </xf>
    <xf numFmtId="164" fontId="4" fillId="2" borderId="24" xfId="0" applyNumberFormat="1" applyFont="1" applyFill="1" applyBorder="1" applyAlignment="1" applyProtection="1">
      <protection hidden="1"/>
    </xf>
    <xf numFmtId="0" fontId="19" fillId="2" borderId="0" xfId="0" applyFont="1" applyFill="1" applyBorder="1" applyAlignment="1" applyProtection="1">
      <protection hidden="1"/>
    </xf>
    <xf numFmtId="0" fontId="4" fillId="2" borderId="9" xfId="0" applyFont="1" applyFill="1" applyBorder="1" applyAlignment="1" applyProtection="1">
      <protection hidden="1"/>
    </xf>
    <xf numFmtId="40" fontId="0" fillId="2" borderId="9" xfId="0" applyNumberFormat="1" applyFill="1" applyBorder="1" applyProtection="1">
      <protection hidden="1"/>
    </xf>
    <xf numFmtId="40" fontId="5" fillId="2" borderId="21" xfId="0" applyNumberFormat="1" applyFont="1" applyFill="1" applyBorder="1" applyProtection="1">
      <protection hidden="1"/>
    </xf>
    <xf numFmtId="0" fontId="0" fillId="0" borderId="0" xfId="0" applyAlignment="1" applyProtection="1">
      <alignment wrapText="1"/>
      <protection hidden="1"/>
    </xf>
    <xf numFmtId="40" fontId="0" fillId="2" borderId="21" xfId="0" applyNumberFormat="1" applyFill="1" applyBorder="1" applyAlignment="1" applyProtection="1">
      <protection hidden="1"/>
    </xf>
    <xf numFmtId="0" fontId="0" fillId="2" borderId="20" xfId="0" applyFill="1" applyBorder="1" applyAlignment="1" applyProtection="1">
      <protection hidden="1"/>
    </xf>
    <xf numFmtId="40" fontId="0" fillId="2" borderId="8" xfId="0" applyNumberFormat="1" applyFill="1" applyBorder="1" applyAlignment="1" applyProtection="1">
      <alignment horizontal="left"/>
      <protection hidden="1"/>
    </xf>
    <xf numFmtId="0" fontId="0" fillId="2" borderId="24" xfId="0" applyFill="1" applyBorder="1" applyAlignment="1" applyProtection="1">
      <protection hidden="1"/>
    </xf>
    <xf numFmtId="0" fontId="0" fillId="2" borderId="9" xfId="0" applyFill="1" applyBorder="1" applyAlignment="1" applyProtection="1">
      <protection hidden="1"/>
    </xf>
    <xf numFmtId="40" fontId="5" fillId="2" borderId="0" xfId="0" applyNumberFormat="1" applyFont="1" applyFill="1" applyBorder="1" applyProtection="1">
      <protection hidden="1"/>
    </xf>
    <xf numFmtId="164" fontId="25" fillId="2" borderId="0" xfId="0" applyNumberFormat="1" applyFont="1" applyFill="1" applyAlignment="1" applyProtection="1">
      <alignment horizontal="right"/>
      <protection hidden="1"/>
    </xf>
    <xf numFmtId="38" fontId="5" fillId="2" borderId="1" xfId="0" applyNumberFormat="1" applyFont="1" applyFill="1" applyBorder="1" applyAlignment="1" applyProtection="1">
      <protection hidden="1"/>
    </xf>
    <xf numFmtId="40" fontId="65" fillId="2" borderId="0" xfId="0" applyNumberFormat="1" applyFont="1" applyFill="1" applyBorder="1" applyAlignment="1" applyProtection="1">
      <alignment horizontal="right"/>
      <protection hidden="1"/>
    </xf>
    <xf numFmtId="38" fontId="19" fillId="2" borderId="0" xfId="0" applyNumberFormat="1" applyFont="1" applyFill="1" applyBorder="1" applyAlignment="1" applyProtection="1">
      <alignment horizontal="right"/>
      <protection hidden="1"/>
    </xf>
    <xf numFmtId="40" fontId="19" fillId="2" borderId="0" xfId="0" applyNumberFormat="1" applyFont="1" applyFill="1" applyBorder="1" applyAlignment="1" applyProtection="1">
      <alignment horizontal="right"/>
      <protection hidden="1"/>
    </xf>
    <xf numFmtId="40" fontId="19" fillId="2" borderId="0" xfId="0" applyNumberFormat="1" applyFont="1" applyFill="1" applyBorder="1" applyProtection="1">
      <protection hidden="1"/>
    </xf>
    <xf numFmtId="40" fontId="79" fillId="2" borderId="0" xfId="0" applyNumberFormat="1" applyFont="1" applyFill="1" applyAlignment="1" applyProtection="1">
      <alignment horizontal="right"/>
      <protection hidden="1"/>
    </xf>
    <xf numFmtId="0" fontId="14" fillId="2" borderId="21" xfId="0" applyFont="1" applyFill="1" applyBorder="1" applyAlignment="1" applyProtection="1">
      <alignment vertical="center"/>
      <protection hidden="1"/>
    </xf>
    <xf numFmtId="164" fontId="19" fillId="2" borderId="0" xfId="0" applyNumberFormat="1" applyFont="1" applyFill="1" applyBorder="1" applyAlignment="1" applyProtection="1">
      <alignment horizontal="left"/>
      <protection hidden="1"/>
    </xf>
    <xf numFmtId="0" fontId="14" fillId="2" borderId="0" xfId="0" applyFont="1" applyFill="1" applyBorder="1" applyAlignment="1" applyProtection="1">
      <alignment vertical="center"/>
      <protection hidden="1"/>
    </xf>
    <xf numFmtId="0" fontId="24" fillId="2" borderId="0" xfId="0" applyFont="1" applyFill="1" applyBorder="1" applyAlignment="1" applyProtection="1">
      <alignment vertical="center"/>
      <protection hidden="1"/>
    </xf>
    <xf numFmtId="164" fontId="69" fillId="2" borderId="0" xfId="0" applyNumberFormat="1" applyFont="1" applyFill="1" applyBorder="1" applyAlignment="1" applyProtection="1">
      <alignment horizontal="left" vertical="center"/>
      <protection hidden="1"/>
    </xf>
    <xf numFmtId="0" fontId="0" fillId="2" borderId="0" xfId="0" applyFill="1" applyAlignment="1"/>
    <xf numFmtId="164" fontId="13" fillId="2" borderId="5" xfId="0" applyNumberFormat="1" applyFont="1" applyFill="1" applyBorder="1" applyAlignment="1" applyProtection="1">
      <protection hidden="1"/>
    </xf>
    <xf numFmtId="0" fontId="19" fillId="0" borderId="0" xfId="0" applyFont="1" applyAlignment="1" applyProtection="1">
      <alignment horizontal="center"/>
      <protection hidden="1"/>
    </xf>
    <xf numFmtId="0" fontId="22" fillId="2" borderId="0" xfId="0" applyFont="1" applyFill="1" applyBorder="1" applyAlignment="1" applyProtection="1">
      <alignment horizontal="center" vertical="center"/>
      <protection hidden="1"/>
    </xf>
    <xf numFmtId="4" fontId="23" fillId="3" borderId="0" xfId="0" applyNumberFormat="1" applyFont="1" applyFill="1" applyBorder="1" applyProtection="1">
      <protection hidden="1"/>
    </xf>
    <xf numFmtId="4" fontId="23" fillId="2" borderId="6" xfId="0" applyNumberFormat="1" applyFont="1" applyFill="1" applyBorder="1" applyProtection="1">
      <protection hidden="1"/>
    </xf>
    <xf numFmtId="0" fontId="23" fillId="2" borderId="6" xfId="0" applyFont="1" applyFill="1" applyBorder="1" applyProtection="1">
      <protection hidden="1"/>
    </xf>
    <xf numFmtId="4" fontId="23" fillId="2" borderId="22" xfId="0" applyNumberFormat="1" applyFont="1" applyFill="1" applyBorder="1" applyProtection="1">
      <protection hidden="1"/>
    </xf>
    <xf numFmtId="4" fontId="23" fillId="3" borderId="5" xfId="0" applyNumberFormat="1" applyFont="1" applyFill="1" applyBorder="1" applyProtection="1">
      <protection hidden="1"/>
    </xf>
    <xf numFmtId="0" fontId="67" fillId="3" borderId="5" xfId="0" applyFont="1" applyFill="1" applyBorder="1" applyProtection="1">
      <protection hidden="1"/>
    </xf>
    <xf numFmtId="0" fontId="0" fillId="2" borderId="0" xfId="0" applyFill="1" applyAlignment="1" applyProtection="1">
      <alignment horizontal="center"/>
      <protection hidden="1"/>
    </xf>
    <xf numFmtId="4" fontId="9" fillId="3" borderId="0" xfId="0" applyNumberFormat="1" applyFont="1" applyFill="1" applyBorder="1" applyAlignment="1" applyProtection="1">
      <alignment horizontal="right"/>
      <protection hidden="1"/>
    </xf>
    <xf numFmtId="4" fontId="17" fillId="3" borderId="0" xfId="0" applyNumberFormat="1" applyFont="1" applyFill="1" applyBorder="1" applyAlignment="1" applyProtection="1">
      <alignment horizontal="right"/>
      <protection hidden="1"/>
    </xf>
    <xf numFmtId="4" fontId="9" fillId="3" borderId="5" xfId="0" applyNumberFormat="1" applyFont="1" applyFill="1" applyBorder="1" applyAlignment="1" applyProtection="1">
      <alignment horizontal="right"/>
      <protection hidden="1"/>
    </xf>
    <xf numFmtId="0" fontId="33" fillId="11" borderId="26" xfId="0" applyFont="1" applyFill="1" applyBorder="1" applyAlignment="1" applyProtection="1">
      <alignment horizontal="center"/>
      <protection hidden="1"/>
    </xf>
    <xf numFmtId="0" fontId="7" fillId="3" borderId="1" xfId="0" applyFont="1" applyFill="1" applyBorder="1" applyAlignment="1" applyProtection="1">
      <alignment horizontal="center"/>
      <protection hidden="1"/>
    </xf>
    <xf numFmtId="0" fontId="7" fillId="3" borderId="5" xfId="0" applyFont="1" applyFill="1" applyBorder="1" applyAlignment="1" applyProtection="1">
      <alignment horizontal="right"/>
      <protection hidden="1"/>
    </xf>
    <xf numFmtId="0" fontId="0" fillId="3" borderId="33" xfId="0" applyFill="1" applyBorder="1" applyProtection="1">
      <protection hidden="1"/>
    </xf>
    <xf numFmtId="0" fontId="5" fillId="3" borderId="0" xfId="0" applyFont="1" applyFill="1" applyBorder="1" applyAlignment="1" applyProtection="1">
      <alignment horizontal="left"/>
      <protection hidden="1"/>
    </xf>
    <xf numFmtId="0" fontId="7" fillId="3" borderId="11" xfId="0" applyFont="1" applyFill="1" applyBorder="1" applyAlignment="1" applyProtection="1">
      <alignment horizontal="center"/>
      <protection hidden="1"/>
    </xf>
    <xf numFmtId="0" fontId="7" fillId="3" borderId="7" xfId="0" applyFont="1" applyFill="1" applyBorder="1" applyAlignment="1" applyProtection="1">
      <alignment horizontal="center"/>
      <protection hidden="1"/>
    </xf>
    <xf numFmtId="0" fontId="7" fillId="7" borderId="7" xfId="0" applyFont="1" applyFill="1" applyBorder="1" applyAlignment="1" applyProtection="1">
      <alignment horizontal="center"/>
      <protection hidden="1"/>
    </xf>
    <xf numFmtId="0" fontId="6" fillId="3" borderId="0" xfId="0" applyFont="1" applyFill="1" applyBorder="1" applyAlignment="1" applyProtection="1">
      <alignment vertical="center"/>
      <protection hidden="1"/>
    </xf>
    <xf numFmtId="0" fontId="5" fillId="3" borderId="0" xfId="0" applyFont="1" applyFill="1" applyBorder="1" applyAlignment="1" applyProtection="1">
      <alignment vertical="center"/>
      <protection hidden="1"/>
    </xf>
    <xf numFmtId="4" fontId="5" fillId="3" borderId="0" xfId="0" applyNumberFormat="1" applyFont="1" applyFill="1" applyBorder="1" applyAlignment="1" applyProtection="1">
      <alignment vertical="center"/>
      <protection hidden="1"/>
    </xf>
    <xf numFmtId="4" fontId="6" fillId="3" borderId="8" xfId="0" applyNumberFormat="1" applyFont="1" applyFill="1" applyBorder="1" applyAlignment="1" applyProtection="1">
      <alignment horizontal="right" vertical="center"/>
      <protection hidden="1"/>
    </xf>
    <xf numFmtId="39" fontId="5" fillId="3" borderId="0" xfId="0" applyNumberFormat="1" applyFont="1" applyFill="1" applyBorder="1" applyAlignment="1" applyProtection="1">
      <alignment horizontal="right" vertical="center"/>
      <protection hidden="1"/>
    </xf>
    <xf numFmtId="0" fontId="1" fillId="3" borderId="8" xfId="0" applyFont="1" applyFill="1" applyBorder="1" applyAlignment="1" applyProtection="1">
      <alignment horizontal="right" vertical="center"/>
      <protection hidden="1"/>
    </xf>
    <xf numFmtId="0" fontId="6" fillId="3" borderId="0" xfId="0" applyFont="1" applyFill="1" applyBorder="1" applyAlignment="1" applyProtection="1">
      <protection hidden="1"/>
    </xf>
    <xf numFmtId="0" fontId="4" fillId="3" borderId="0" xfId="0" applyFont="1" applyFill="1" applyBorder="1" applyAlignment="1" applyProtection="1">
      <alignment horizontal="left"/>
      <protection hidden="1"/>
    </xf>
    <xf numFmtId="0" fontId="73" fillId="3" borderId="0" xfId="0" applyFont="1" applyFill="1" applyBorder="1" applyAlignment="1" applyProtection="1">
      <alignment horizontal="right"/>
      <protection hidden="1"/>
    </xf>
    <xf numFmtId="0" fontId="63" fillId="11" borderId="0" xfId="0" applyFont="1" applyFill="1" applyBorder="1" applyAlignment="1" applyProtection="1">
      <alignment horizontal="center" vertical="center"/>
      <protection hidden="1"/>
    </xf>
    <xf numFmtId="3" fontId="55" fillId="3" borderId="26" xfId="0" applyNumberFormat="1" applyFont="1" applyFill="1" applyBorder="1" applyProtection="1">
      <protection hidden="1"/>
    </xf>
    <xf numFmtId="1" fontId="34" fillId="2" borderId="13" xfId="0" applyNumberFormat="1" applyFont="1" applyFill="1" applyBorder="1" applyProtection="1">
      <protection locked="0"/>
    </xf>
    <xf numFmtId="1" fontId="0" fillId="12" borderId="0" xfId="0" applyNumberFormat="1" applyFill="1" applyProtection="1">
      <protection hidden="1"/>
    </xf>
    <xf numFmtId="1" fontId="4" fillId="13" borderId="0" xfId="0" applyNumberFormat="1" applyFont="1" applyFill="1" applyAlignment="1" applyProtection="1">
      <alignment horizontal="center"/>
      <protection hidden="1"/>
    </xf>
    <xf numFmtId="1" fontId="0" fillId="12" borderId="0" xfId="0" applyNumberFormat="1" applyFill="1" applyBorder="1" applyAlignment="1" applyProtection="1">
      <alignment vertical="center"/>
      <protection hidden="1"/>
    </xf>
    <xf numFmtId="0" fontId="4" fillId="2" borderId="26" xfId="0" applyFont="1" applyFill="1" applyBorder="1" applyAlignment="1" applyProtection="1">
      <alignment horizontal="center" wrapText="1"/>
      <protection hidden="1"/>
    </xf>
    <xf numFmtId="0" fontId="4" fillId="0" borderId="26" xfId="0" applyFont="1" applyFill="1" applyBorder="1" applyAlignment="1" applyProtection="1">
      <alignment horizontal="center" wrapText="1"/>
      <protection hidden="1"/>
    </xf>
    <xf numFmtId="1" fontId="4" fillId="0" borderId="0" xfId="0" applyNumberFormat="1" applyFont="1" applyFill="1" applyBorder="1" applyAlignment="1" applyProtection="1">
      <alignment horizontal="center" wrapText="1"/>
      <protection hidden="1"/>
    </xf>
    <xf numFmtId="0" fontId="4" fillId="2" borderId="3" xfId="0" applyFont="1" applyFill="1" applyBorder="1" applyProtection="1">
      <protection hidden="1"/>
    </xf>
    <xf numFmtId="4" fontId="19" fillId="0" borderId="0" xfId="0" applyNumberFormat="1" applyFont="1" applyFill="1" applyBorder="1" applyProtection="1">
      <protection hidden="1"/>
    </xf>
    <xf numFmtId="1" fontId="4" fillId="0" borderId="0" xfId="0" applyNumberFormat="1" applyFont="1" applyFill="1" applyBorder="1" applyProtection="1">
      <protection hidden="1"/>
    </xf>
    <xf numFmtId="0" fontId="0" fillId="2" borderId="3" xfId="0" applyFill="1" applyBorder="1" applyProtection="1">
      <protection hidden="1"/>
    </xf>
    <xf numFmtId="4" fontId="19" fillId="0" borderId="0" xfId="0" applyNumberFormat="1" applyFont="1" applyFill="1" applyBorder="1" applyAlignment="1" applyProtection="1">
      <alignment wrapText="1"/>
      <protection hidden="1"/>
    </xf>
    <xf numFmtId="1" fontId="0" fillId="0" borderId="0" xfId="0" applyNumberFormat="1" applyFill="1" applyBorder="1" applyProtection="1">
      <protection hidden="1"/>
    </xf>
    <xf numFmtId="1" fontId="23" fillId="0" borderId="0" xfId="0" applyNumberFormat="1" applyFont="1" applyFill="1" applyBorder="1" applyProtection="1">
      <protection hidden="1"/>
    </xf>
    <xf numFmtId="0" fontId="0" fillId="0" borderId="1" xfId="0" applyFill="1" applyBorder="1" applyProtection="1">
      <protection hidden="1"/>
    </xf>
    <xf numFmtId="4" fontId="80" fillId="2" borderId="0" xfId="0" applyNumberFormat="1" applyFont="1" applyFill="1" applyBorder="1" applyProtection="1">
      <protection hidden="1"/>
    </xf>
    <xf numFmtId="4" fontId="82" fillId="2" borderId="0" xfId="0" applyNumberFormat="1" applyFont="1" applyFill="1" applyBorder="1" applyAlignment="1" applyProtection="1">
      <alignment horizontal="right"/>
      <protection hidden="1"/>
    </xf>
    <xf numFmtId="37" fontId="4" fillId="0" borderId="0" xfId="0" applyNumberFormat="1" applyFont="1" applyProtection="1">
      <protection hidden="1"/>
    </xf>
    <xf numFmtId="0" fontId="8" fillId="2" borderId="15" xfId="0" applyFont="1" applyFill="1" applyBorder="1" applyProtection="1">
      <protection hidden="1"/>
    </xf>
    <xf numFmtId="0" fontId="9" fillId="2" borderId="9" xfId="0" applyFont="1" applyFill="1" applyBorder="1" applyProtection="1">
      <protection hidden="1"/>
    </xf>
    <xf numFmtId="0" fontId="8" fillId="2" borderId="35" xfId="0" applyFont="1" applyFill="1" applyBorder="1" applyProtection="1">
      <protection hidden="1"/>
    </xf>
    <xf numFmtId="0" fontId="17" fillId="2" borderId="35" xfId="0" applyFont="1" applyFill="1" applyBorder="1" applyProtection="1">
      <protection hidden="1"/>
    </xf>
    <xf numFmtId="0" fontId="8" fillId="2" borderId="31" xfId="0" applyFont="1" applyFill="1" applyBorder="1" applyProtection="1">
      <protection hidden="1"/>
    </xf>
    <xf numFmtId="0" fontId="21" fillId="2" borderId="0" xfId="0" applyFont="1" applyFill="1" applyBorder="1" applyAlignment="1" applyProtection="1">
      <alignment horizontal="center"/>
      <protection hidden="1"/>
    </xf>
    <xf numFmtId="0" fontId="16" fillId="2" borderId="5" xfId="0" applyFont="1" applyFill="1" applyBorder="1" applyProtection="1">
      <protection hidden="1"/>
    </xf>
    <xf numFmtId="0" fontId="17" fillId="2" borderId="1" xfId="0" applyFont="1" applyFill="1" applyBorder="1" applyAlignment="1" applyProtection="1">
      <alignment vertical="top"/>
      <protection hidden="1"/>
    </xf>
    <xf numFmtId="0" fontId="16" fillId="2" borderId="1" xfId="0" applyFont="1" applyFill="1" applyBorder="1" applyAlignment="1" applyProtection="1">
      <alignment vertical="top"/>
      <protection hidden="1"/>
    </xf>
    <xf numFmtId="0" fontId="4" fillId="2" borderId="13" xfId="0" applyFont="1" applyFill="1" applyBorder="1" applyAlignment="1" applyProtection="1">
      <alignment horizontal="center"/>
      <protection hidden="1"/>
    </xf>
    <xf numFmtId="0" fontId="6" fillId="3" borderId="8" xfId="0" applyNumberFormat="1" applyFont="1" applyFill="1" applyBorder="1" applyAlignment="1" applyProtection="1">
      <alignment horizontal="right"/>
      <protection hidden="1"/>
    </xf>
    <xf numFmtId="0" fontId="28" fillId="3" borderId="0" xfId="0" applyFont="1" applyFill="1" applyBorder="1" applyAlignment="1" applyProtection="1">
      <alignment horizontal="left"/>
      <protection hidden="1"/>
    </xf>
    <xf numFmtId="0" fontId="3" fillId="3" borderId="0" xfId="0" applyFont="1" applyFill="1" applyBorder="1" applyAlignment="1" applyProtection="1">
      <alignment horizontal="left"/>
      <protection hidden="1"/>
    </xf>
    <xf numFmtId="1" fontId="4" fillId="7" borderId="25" xfId="0" applyNumberFormat="1" applyFont="1" applyFill="1" applyBorder="1" applyAlignment="1" applyProtection="1">
      <alignment horizontal="right"/>
      <protection hidden="1"/>
    </xf>
    <xf numFmtId="1" fontId="4" fillId="3" borderId="0" xfId="0" applyNumberFormat="1" applyFont="1" applyFill="1" applyBorder="1" applyAlignment="1" applyProtection="1">
      <alignment horizontal="right"/>
      <protection hidden="1"/>
    </xf>
    <xf numFmtId="3" fontId="5" fillId="3" borderId="0" xfId="0" applyNumberFormat="1" applyFont="1" applyFill="1" applyBorder="1" applyAlignment="1" applyProtection="1">
      <alignment horizontal="right"/>
      <protection hidden="1"/>
    </xf>
    <xf numFmtId="0" fontId="4" fillId="3" borderId="36" xfId="0" applyFont="1" applyFill="1" applyBorder="1" applyAlignment="1" applyProtection="1">
      <alignment horizontal="right"/>
      <protection hidden="1"/>
    </xf>
    <xf numFmtId="0" fontId="19" fillId="3" borderId="14" xfId="0" applyFont="1" applyFill="1" applyBorder="1" applyAlignment="1" applyProtection="1">
      <alignment horizontal="left"/>
      <protection hidden="1"/>
    </xf>
    <xf numFmtId="0" fontId="8" fillId="3" borderId="14" xfId="0" applyFont="1" applyFill="1" applyBorder="1" applyAlignment="1" applyProtection="1">
      <alignment horizontal="left"/>
      <protection hidden="1"/>
    </xf>
    <xf numFmtId="0" fontId="4" fillId="3" borderId="14" xfId="0" applyFont="1" applyFill="1" applyBorder="1" applyAlignment="1" applyProtection="1">
      <alignment horizontal="right"/>
      <protection hidden="1"/>
    </xf>
    <xf numFmtId="3" fontId="6" fillId="3" borderId="0" xfId="0" applyNumberFormat="1" applyFont="1" applyFill="1" applyBorder="1" applyAlignment="1" applyProtection="1">
      <alignment horizontal="right"/>
      <protection hidden="1"/>
    </xf>
    <xf numFmtId="4" fontId="4" fillId="2" borderId="0" xfId="0" applyNumberFormat="1" applyFont="1" applyFill="1" applyBorder="1" applyProtection="1">
      <protection hidden="1"/>
    </xf>
    <xf numFmtId="40" fontId="67" fillId="2" borderId="0" xfId="0" applyNumberFormat="1" applyFont="1" applyFill="1" applyBorder="1" applyAlignment="1" applyProtection="1">
      <alignment horizontal="left"/>
      <protection hidden="1"/>
    </xf>
    <xf numFmtId="0" fontId="30" fillId="2" borderId="0" xfId="0" applyFont="1" applyFill="1" applyBorder="1" applyProtection="1">
      <protection hidden="1"/>
    </xf>
    <xf numFmtId="40" fontId="4" fillId="2" borderId="1" xfId="0" applyNumberFormat="1" applyFont="1" applyFill="1" applyBorder="1" applyAlignment="1" applyProtection="1">
      <alignment horizontal="center"/>
      <protection hidden="1"/>
    </xf>
    <xf numFmtId="40" fontId="27" fillId="2" borderId="0" xfId="0" applyNumberFormat="1" applyFont="1" applyFill="1" applyBorder="1" applyAlignment="1" applyProtection="1">
      <alignment horizontal="left"/>
      <protection hidden="1"/>
    </xf>
    <xf numFmtId="0" fontId="69" fillId="2" borderId="0" xfId="0" applyFont="1" applyFill="1" applyBorder="1" applyProtection="1">
      <protection hidden="1"/>
    </xf>
    <xf numFmtId="0" fontId="5" fillId="2" borderId="0" xfId="0" applyFont="1" applyFill="1" applyBorder="1" applyAlignment="1" applyProtection="1">
      <alignment horizontal="left"/>
      <protection hidden="1"/>
    </xf>
    <xf numFmtId="0" fontId="0" fillId="2" borderId="0" xfId="0" applyFill="1" applyAlignment="1" applyProtection="1">
      <alignment horizontal="left" vertical="center"/>
      <protection hidden="1"/>
    </xf>
    <xf numFmtId="49" fontId="7" fillId="2" borderId="0" xfId="0" applyNumberFormat="1" applyFont="1" applyFill="1" applyAlignment="1" applyProtection="1">
      <alignment horizontal="right"/>
      <protection hidden="1"/>
    </xf>
    <xf numFmtId="0" fontId="0" fillId="2" borderId="2" xfId="0" applyFill="1" applyBorder="1" applyProtection="1">
      <protection locked="0"/>
    </xf>
    <xf numFmtId="4" fontId="0" fillId="2" borderId="0" xfId="0" applyNumberFormat="1" applyFill="1" applyBorder="1" applyProtection="1">
      <protection hidden="1"/>
    </xf>
    <xf numFmtId="3" fontId="34" fillId="2" borderId="13" xfId="0" applyNumberFormat="1" applyFont="1" applyFill="1" applyBorder="1" applyProtection="1">
      <protection locked="0"/>
    </xf>
    <xf numFmtId="0" fontId="4" fillId="2" borderId="26" xfId="0" applyFont="1" applyFill="1" applyBorder="1" applyAlignment="1" applyProtection="1">
      <alignment horizontal="center" wrapText="1"/>
      <protection locked="0"/>
    </xf>
    <xf numFmtId="1" fontId="34" fillId="2" borderId="11" xfId="0" applyNumberFormat="1" applyFont="1" applyFill="1" applyBorder="1" applyProtection="1">
      <protection locked="0"/>
    </xf>
    <xf numFmtId="0" fontId="5" fillId="2" borderId="0" xfId="0" applyFont="1" applyFill="1" applyBorder="1" applyAlignment="1" applyProtection="1">
      <alignment horizontal="center"/>
      <protection hidden="1"/>
    </xf>
    <xf numFmtId="0" fontId="4" fillId="0" borderId="0" xfId="0" applyFont="1" applyFill="1" applyBorder="1" applyAlignment="1" applyProtection="1">
      <alignment horizontal="center" wrapText="1"/>
      <protection hidden="1"/>
    </xf>
    <xf numFmtId="4" fontId="0" fillId="0" borderId="1" xfId="0" applyNumberFormat="1" applyFill="1" applyBorder="1" applyProtection="1">
      <protection hidden="1"/>
    </xf>
    <xf numFmtId="4" fontId="4" fillId="0" borderId="0" xfId="0" applyNumberFormat="1" applyFont="1" applyFill="1" applyBorder="1" applyAlignment="1" applyProtection="1">
      <alignment horizontal="center"/>
      <protection hidden="1"/>
    </xf>
    <xf numFmtId="0" fontId="67" fillId="2" borderId="0" xfId="0" applyFont="1" applyFill="1" applyBorder="1" applyProtection="1">
      <protection hidden="1"/>
    </xf>
    <xf numFmtId="0" fontId="67" fillId="2" borderId="0" xfId="0" applyFont="1" applyFill="1" applyBorder="1" applyAlignment="1" applyProtection="1">
      <alignment vertical="center"/>
      <protection hidden="1"/>
    </xf>
    <xf numFmtId="0" fontId="19" fillId="2" borderId="0" xfId="0" applyFont="1" applyFill="1" applyAlignment="1" applyProtection="1">
      <alignment vertical="center"/>
      <protection hidden="1"/>
    </xf>
    <xf numFmtId="0" fontId="4" fillId="2" borderId="0" xfId="0" applyFont="1" applyFill="1" applyAlignment="1" applyProtection="1">
      <alignment horizontal="center" vertical="center"/>
      <protection hidden="1"/>
    </xf>
    <xf numFmtId="0" fontId="4" fillId="2" borderId="0" xfId="0" applyFont="1" applyFill="1" applyBorder="1" applyAlignment="1" applyProtection="1">
      <alignment horizontal="center" vertical="center"/>
      <protection hidden="1"/>
    </xf>
    <xf numFmtId="0" fontId="19" fillId="2" borderId="0" xfId="0" applyFont="1" applyFill="1" applyBorder="1" applyAlignment="1" applyProtection="1">
      <alignment vertical="center"/>
      <protection hidden="1"/>
    </xf>
    <xf numFmtId="0" fontId="0" fillId="2" borderId="0" xfId="0" applyFill="1" applyAlignment="1" applyProtection="1">
      <alignment vertical="top"/>
      <protection hidden="1"/>
    </xf>
    <xf numFmtId="0" fontId="55" fillId="2" borderId="0" xfId="0" applyFont="1" applyFill="1" applyProtection="1">
      <protection hidden="1"/>
    </xf>
    <xf numFmtId="0" fontId="0" fillId="2" borderId="3" xfId="0" applyFill="1" applyBorder="1" applyAlignment="1" applyProtection="1">
      <alignment vertical="center"/>
      <protection hidden="1"/>
    </xf>
    <xf numFmtId="0" fontId="0" fillId="2" borderId="25" xfId="0" applyFill="1" applyBorder="1" applyAlignment="1" applyProtection="1">
      <alignment vertical="center"/>
      <protection hidden="1"/>
    </xf>
    <xf numFmtId="49" fontId="6" fillId="2" borderId="0" xfId="0" applyNumberFormat="1" applyFont="1" applyFill="1" applyBorder="1" applyAlignment="1" applyProtection="1">
      <alignment horizontal="right"/>
      <protection hidden="1"/>
    </xf>
    <xf numFmtId="0" fontId="76" fillId="2" borderId="0" xfId="0" applyFont="1" applyFill="1" applyBorder="1" applyAlignment="1" applyProtection="1">
      <alignment horizontal="right"/>
      <protection hidden="1"/>
    </xf>
    <xf numFmtId="0" fontId="63" fillId="2" borderId="0" xfId="0" applyFont="1" applyFill="1" applyBorder="1" applyAlignment="1" applyProtection="1">
      <alignment horizontal="center" vertical="center"/>
      <protection hidden="1"/>
    </xf>
    <xf numFmtId="4" fontId="67" fillId="2" borderId="0" xfId="0" applyNumberFormat="1" applyFont="1" applyFill="1" applyBorder="1" applyProtection="1">
      <protection hidden="1"/>
    </xf>
    <xf numFmtId="49" fontId="25" fillId="2" borderId="5" xfId="0" applyNumberFormat="1" applyFont="1" applyFill="1" applyBorder="1" applyAlignment="1" applyProtection="1">
      <alignment horizontal="right"/>
      <protection hidden="1"/>
    </xf>
    <xf numFmtId="40" fontId="21" fillId="2" borderId="5" xfId="0" applyNumberFormat="1" applyFont="1" applyFill="1" applyBorder="1" applyAlignment="1" applyProtection="1">
      <alignment horizontal="right"/>
      <protection hidden="1"/>
    </xf>
    <xf numFmtId="0" fontId="21" fillId="2" borderId="0" xfId="0" applyFont="1" applyFill="1" applyProtection="1">
      <protection hidden="1"/>
    </xf>
    <xf numFmtId="0" fontId="21" fillId="2" borderId="0" xfId="0" applyFont="1" applyFill="1" applyAlignment="1" applyProtection="1">
      <alignment horizontal="center"/>
      <protection hidden="1"/>
    </xf>
    <xf numFmtId="0" fontId="8" fillId="2" borderId="5" xfId="0" applyFont="1" applyFill="1" applyBorder="1" applyAlignment="1" applyProtection="1">
      <alignment horizontal="left" vertical="top"/>
      <protection hidden="1"/>
    </xf>
    <xf numFmtId="0" fontId="8" fillId="2" borderId="23" xfId="0" applyFont="1" applyFill="1" applyBorder="1" applyAlignment="1" applyProtection="1">
      <alignment horizontal="left" vertical="top"/>
      <protection hidden="1"/>
    </xf>
    <xf numFmtId="0" fontId="0" fillId="2" borderId="37" xfId="0" applyFill="1" applyBorder="1" applyProtection="1">
      <protection hidden="1"/>
    </xf>
    <xf numFmtId="0" fontId="21" fillId="2" borderId="0" xfId="0" applyFont="1" applyFill="1" applyAlignment="1" applyProtection="1">
      <alignment horizontal="left" vertical="center"/>
      <protection hidden="1"/>
    </xf>
    <xf numFmtId="0" fontId="41" fillId="2" borderId="0" xfId="0" applyFont="1" applyFill="1" applyAlignment="1" applyProtection="1">
      <alignment horizontal="center"/>
      <protection hidden="1"/>
    </xf>
    <xf numFmtId="0" fontId="87" fillId="2" borderId="0" xfId="0" applyFont="1" applyFill="1" applyAlignment="1" applyProtection="1">
      <alignment horizontal="left" vertical="center"/>
      <protection hidden="1"/>
    </xf>
    <xf numFmtId="0" fontId="6" fillId="2" borderId="0" xfId="0" applyFont="1" applyFill="1" applyAlignment="1" applyProtection="1">
      <alignment horizontal="left"/>
      <protection hidden="1"/>
    </xf>
    <xf numFmtId="0" fontId="0" fillId="2" borderId="31" xfId="0" applyFill="1" applyBorder="1" applyAlignment="1" applyProtection="1">
      <protection hidden="1"/>
    </xf>
    <xf numFmtId="0" fontId="8" fillId="2" borderId="9" xfId="0" applyFont="1" applyFill="1" applyBorder="1" applyAlignment="1" applyProtection="1">
      <protection hidden="1"/>
    </xf>
    <xf numFmtId="0" fontId="0" fillId="2" borderId="15" xfId="0" applyFill="1" applyBorder="1" applyAlignment="1" applyProtection="1">
      <protection hidden="1"/>
    </xf>
    <xf numFmtId="0" fontId="4" fillId="2" borderId="0" xfId="0" applyFont="1" applyFill="1" applyBorder="1" applyAlignment="1" applyProtection="1">
      <alignment vertical="center"/>
      <protection hidden="1"/>
    </xf>
    <xf numFmtId="0" fontId="0" fillId="2" borderId="10" xfId="0" applyFill="1" applyBorder="1" applyAlignment="1" applyProtection="1">
      <alignment vertical="center"/>
      <protection hidden="1"/>
    </xf>
    <xf numFmtId="0" fontId="8" fillId="2" borderId="1" xfId="0" applyFont="1" applyFill="1" applyBorder="1" applyAlignment="1" applyProtection="1">
      <alignment vertical="center"/>
      <protection hidden="1"/>
    </xf>
    <xf numFmtId="0" fontId="0" fillId="2" borderId="1" xfId="0" applyFill="1" applyBorder="1" applyAlignment="1" applyProtection="1">
      <alignment vertical="center"/>
      <protection hidden="1"/>
    </xf>
    <xf numFmtId="0" fontId="0" fillId="2" borderId="12" xfId="0" applyFill="1" applyBorder="1" applyAlignment="1" applyProtection="1">
      <alignment vertical="center"/>
      <protection hidden="1"/>
    </xf>
    <xf numFmtId="0" fontId="0" fillId="2" borderId="31" xfId="0" applyFill="1" applyBorder="1" applyProtection="1">
      <protection hidden="1"/>
    </xf>
    <xf numFmtId="0" fontId="0" fillId="2" borderId="25" xfId="0" applyFill="1" applyBorder="1" applyProtection="1">
      <protection hidden="1"/>
    </xf>
    <xf numFmtId="0" fontId="4" fillId="2" borderId="10" xfId="0" applyFont="1" applyFill="1" applyBorder="1" applyAlignment="1" applyProtection="1">
      <alignment horizontal="center"/>
      <protection hidden="1"/>
    </xf>
    <xf numFmtId="0" fontId="15" fillId="2" borderId="0" xfId="0" applyFont="1" applyFill="1" applyBorder="1" applyAlignment="1" applyProtection="1">
      <alignment vertical="center"/>
      <protection hidden="1"/>
    </xf>
    <xf numFmtId="0" fontId="15" fillId="2" borderId="0" xfId="0" applyFont="1" applyFill="1" applyBorder="1" applyAlignment="1" applyProtection="1">
      <alignment horizontal="center" vertical="center"/>
      <protection hidden="1"/>
    </xf>
    <xf numFmtId="0" fontId="13" fillId="2" borderId="0" xfId="0" applyFont="1" applyFill="1" applyAlignment="1" applyProtection="1">
      <alignment vertical="center"/>
      <protection hidden="1"/>
    </xf>
    <xf numFmtId="0" fontId="0" fillId="2" borderId="7" xfId="0" applyFill="1" applyBorder="1" applyProtection="1">
      <protection hidden="1"/>
    </xf>
    <xf numFmtId="0" fontId="4" fillId="2" borderId="10" xfId="0" applyFont="1" applyFill="1" applyBorder="1" applyAlignment="1" applyProtection="1">
      <alignment horizontal="center" vertical="center"/>
      <protection hidden="1"/>
    </xf>
    <xf numFmtId="0" fontId="0" fillId="10" borderId="0" xfId="0" applyFill="1" applyProtection="1">
      <protection hidden="1"/>
    </xf>
    <xf numFmtId="0" fontId="0" fillId="10" borderId="7" xfId="0" applyFill="1" applyBorder="1" applyProtection="1">
      <protection hidden="1"/>
    </xf>
    <xf numFmtId="0" fontId="4" fillId="2" borderId="5" xfId="0" applyFont="1" applyFill="1" applyBorder="1" applyAlignment="1" applyProtection="1">
      <alignment horizontal="center"/>
      <protection hidden="1"/>
    </xf>
    <xf numFmtId="0" fontId="8" fillId="2" borderId="0" xfId="0" applyFont="1" applyFill="1" applyAlignment="1" applyProtection="1">
      <alignment horizontal="center"/>
      <protection hidden="1"/>
    </xf>
    <xf numFmtId="0" fontId="4" fillId="2" borderId="5" xfId="0" applyFont="1" applyFill="1" applyBorder="1" applyAlignment="1" applyProtection="1">
      <alignment horizontal="left"/>
      <protection hidden="1"/>
    </xf>
    <xf numFmtId="0" fontId="0" fillId="2" borderId="5" xfId="0" applyFill="1" applyBorder="1" applyAlignment="1" applyProtection="1">
      <alignment horizontal="right"/>
      <protection hidden="1"/>
    </xf>
    <xf numFmtId="0" fontId="21" fillId="2" borderId="0" xfId="0" applyFont="1" applyFill="1" applyAlignment="1" applyProtection="1">
      <alignment vertical="center"/>
      <protection hidden="1"/>
    </xf>
    <xf numFmtId="0" fontId="21" fillId="2" borderId="0" xfId="0" applyFont="1" applyFill="1" applyBorder="1" applyAlignment="1" applyProtection="1">
      <alignment vertical="center"/>
      <protection hidden="1"/>
    </xf>
    <xf numFmtId="0" fontId="41" fillId="2" borderId="0" xfId="0" applyFont="1" applyFill="1" applyProtection="1">
      <protection hidden="1"/>
    </xf>
    <xf numFmtId="0" fontId="4" fillId="2" borderId="3" xfId="0" applyFont="1" applyFill="1" applyBorder="1" applyAlignment="1" applyProtection="1">
      <alignment horizontal="center"/>
      <protection hidden="1"/>
    </xf>
    <xf numFmtId="0" fontId="0" fillId="10" borderId="0" xfId="0" applyFill="1" applyAlignment="1" applyProtection="1">
      <protection hidden="1"/>
    </xf>
    <xf numFmtId="0" fontId="0" fillId="10" borderId="0" xfId="0" applyFill="1" applyAlignment="1" applyProtection="1">
      <alignment vertical="center"/>
      <protection hidden="1"/>
    </xf>
    <xf numFmtId="0" fontId="21" fillId="10" borderId="0" xfId="0" applyFont="1" applyFill="1" applyAlignment="1" applyProtection="1">
      <alignment vertical="center"/>
      <protection hidden="1"/>
    </xf>
    <xf numFmtId="0" fontId="4" fillId="2" borderId="11" xfId="0" applyFont="1" applyFill="1" applyBorder="1" applyAlignment="1" applyProtection="1">
      <alignment horizontal="center" vertical="center"/>
      <protection hidden="1"/>
    </xf>
    <xf numFmtId="3" fontId="0" fillId="2" borderId="0" xfId="0" applyNumberFormat="1" applyFill="1" applyProtection="1">
      <protection hidden="1"/>
    </xf>
    <xf numFmtId="0" fontId="67" fillId="2" borderId="13" xfId="0" applyFont="1" applyFill="1" applyBorder="1" applyAlignment="1" applyProtection="1">
      <alignment horizontal="center"/>
      <protection hidden="1"/>
    </xf>
    <xf numFmtId="0" fontId="1" fillId="2" borderId="38" xfId="0" applyFont="1" applyFill="1" applyBorder="1" applyProtection="1">
      <protection hidden="1"/>
    </xf>
    <xf numFmtId="0" fontId="67" fillId="2" borderId="24" xfId="0" applyFont="1" applyFill="1" applyBorder="1" applyProtection="1">
      <protection hidden="1"/>
    </xf>
    <xf numFmtId="0" fontId="67" fillId="2" borderId="6" xfId="0" applyFont="1" applyFill="1" applyBorder="1" applyProtection="1">
      <protection hidden="1"/>
    </xf>
    <xf numFmtId="0" fontId="67" fillId="2" borderId="22" xfId="0" applyFont="1" applyFill="1" applyBorder="1" applyProtection="1">
      <protection hidden="1"/>
    </xf>
    <xf numFmtId="0" fontId="13" fillId="3" borderId="1" xfId="0" applyFont="1" applyFill="1" applyBorder="1" applyAlignment="1" applyProtection="1">
      <alignment horizontal="left"/>
      <protection hidden="1"/>
    </xf>
    <xf numFmtId="37" fontId="5" fillId="3" borderId="1" xfId="0" applyNumberFormat="1" applyFont="1" applyFill="1" applyBorder="1" applyAlignment="1" applyProtection="1">
      <alignment horizontal="right"/>
      <protection hidden="1"/>
    </xf>
    <xf numFmtId="4" fontId="8" fillId="3" borderId="0" xfId="0" applyNumberFormat="1" applyFont="1" applyFill="1" applyBorder="1" applyAlignment="1" applyProtection="1">
      <alignment horizontal="center"/>
      <protection hidden="1"/>
    </xf>
    <xf numFmtId="3" fontId="5" fillId="3" borderId="9" xfId="0" applyNumberFormat="1" applyFont="1" applyFill="1" applyBorder="1" applyAlignment="1" applyProtection="1">
      <alignment horizontal="right"/>
      <protection hidden="1"/>
    </xf>
    <xf numFmtId="39" fontId="19" fillId="3" borderId="9" xfId="0" applyNumberFormat="1" applyFont="1" applyFill="1" applyBorder="1" applyAlignment="1" applyProtection="1">
      <alignment horizontal="right"/>
      <protection hidden="1"/>
    </xf>
    <xf numFmtId="37" fontId="5" fillId="3" borderId="26" xfId="0" applyNumberFormat="1" applyFont="1" applyFill="1" applyBorder="1" applyAlignment="1" applyProtection="1">
      <alignment horizontal="right"/>
      <protection hidden="1"/>
    </xf>
    <xf numFmtId="49" fontId="49" fillId="3" borderId="0" xfId="0" applyNumberFormat="1" applyFont="1" applyFill="1" applyBorder="1" applyAlignment="1" applyProtection="1">
      <alignment horizontal="right"/>
      <protection hidden="1"/>
    </xf>
    <xf numFmtId="3" fontId="5" fillId="3" borderId="1" xfId="0" applyNumberFormat="1" applyFont="1" applyFill="1" applyBorder="1" applyAlignment="1" applyProtection="1">
      <alignment horizontal="right"/>
      <protection hidden="1"/>
    </xf>
    <xf numFmtId="37" fontId="5" fillId="3" borderId="1" xfId="0" applyNumberFormat="1" applyFont="1" applyFill="1" applyBorder="1" applyAlignment="1" applyProtection="1">
      <alignment horizontal="right"/>
      <protection locked="0"/>
    </xf>
    <xf numFmtId="3" fontId="31" fillId="3" borderId="0" xfId="0" applyNumberFormat="1" applyFont="1" applyFill="1" applyBorder="1" applyAlignment="1" applyProtection="1">
      <alignment horizontal="right"/>
      <protection hidden="1"/>
    </xf>
    <xf numFmtId="37" fontId="5" fillId="3" borderId="0" xfId="0" applyNumberFormat="1" applyFont="1" applyFill="1" applyBorder="1" applyAlignment="1" applyProtection="1">
      <alignment horizontal="right"/>
      <protection hidden="1"/>
    </xf>
    <xf numFmtId="4" fontId="90" fillId="3" borderId="0" xfId="0" applyNumberFormat="1" applyFont="1" applyFill="1" applyBorder="1" applyAlignment="1" applyProtection="1">
      <alignment horizontal="left" vertical="center"/>
      <protection hidden="1"/>
    </xf>
    <xf numFmtId="4" fontId="31" fillId="3" borderId="0" xfId="0" applyNumberFormat="1" applyFont="1" applyFill="1" applyBorder="1" applyAlignment="1" applyProtection="1">
      <alignment horizontal="center"/>
      <protection hidden="1"/>
    </xf>
    <xf numFmtId="0" fontId="5" fillId="2" borderId="0" xfId="0" applyFont="1" applyFill="1" applyAlignment="1" applyProtection="1">
      <protection hidden="1"/>
    </xf>
    <xf numFmtId="0" fontId="6" fillId="2" borderId="1" xfId="0" applyFont="1" applyFill="1" applyBorder="1" applyAlignment="1" applyProtection="1">
      <alignment horizontal="center"/>
      <protection hidden="1"/>
    </xf>
    <xf numFmtId="0" fontId="4" fillId="2" borderId="3" xfId="0" applyFont="1" applyFill="1" applyBorder="1" applyAlignment="1" applyProtection="1">
      <alignment vertical="center"/>
      <protection hidden="1"/>
    </xf>
    <xf numFmtId="0" fontId="1" fillId="2" borderId="39" xfId="0" applyFont="1" applyFill="1" applyBorder="1" applyAlignment="1" applyProtection="1">
      <alignment vertical="center"/>
      <protection hidden="1"/>
    </xf>
    <xf numFmtId="0" fontId="92" fillId="2" borderId="0" xfId="0" applyFont="1" applyFill="1" applyBorder="1" applyAlignment="1" applyProtection="1">
      <alignment horizontal="left"/>
      <protection hidden="1"/>
    </xf>
    <xf numFmtId="1" fontId="94" fillId="2" borderId="0" xfId="0" applyNumberFormat="1" applyFont="1" applyFill="1" applyBorder="1" applyProtection="1">
      <protection hidden="1"/>
    </xf>
    <xf numFmtId="1" fontId="94" fillId="2" borderId="0" xfId="0" applyNumberFormat="1" applyFont="1" applyFill="1" applyBorder="1" applyAlignment="1" applyProtection="1">
      <alignment horizontal="center"/>
      <protection hidden="1"/>
    </xf>
    <xf numFmtId="1" fontId="94" fillId="2" borderId="0" xfId="0" applyNumberFormat="1" applyFont="1" applyFill="1" applyBorder="1" applyAlignment="1" applyProtection="1">
      <alignment horizontal="left"/>
      <protection hidden="1"/>
    </xf>
    <xf numFmtId="0" fontId="8" fillId="2" borderId="0" xfId="0" applyFont="1" applyFill="1" applyBorder="1" applyAlignment="1" applyProtection="1">
      <alignment horizontal="right"/>
      <protection hidden="1"/>
    </xf>
    <xf numFmtId="1" fontId="23" fillId="2" borderId="0" xfId="0" applyNumberFormat="1" applyFont="1" applyFill="1" applyBorder="1" applyAlignment="1" applyProtection="1">
      <alignment horizontal="center"/>
      <protection hidden="1"/>
    </xf>
    <xf numFmtId="37" fontId="7" fillId="2" borderId="0" xfId="0" applyNumberFormat="1" applyFont="1" applyFill="1" applyBorder="1" applyProtection="1">
      <protection hidden="1"/>
    </xf>
    <xf numFmtId="1" fontId="1" fillId="10" borderId="0" xfId="0" applyNumberFormat="1" applyFont="1" applyFill="1" applyBorder="1" applyProtection="1">
      <protection hidden="1"/>
    </xf>
    <xf numFmtId="0" fontId="1" fillId="10" borderId="15" xfId="0" applyFont="1" applyFill="1" applyBorder="1" applyAlignment="1" applyProtection="1">
      <alignment horizontal="right"/>
      <protection hidden="1"/>
    </xf>
    <xf numFmtId="0" fontId="1" fillId="10" borderId="25" xfId="0" applyFont="1" applyFill="1" applyBorder="1" applyAlignment="1" applyProtection="1">
      <alignment horizontal="right"/>
      <protection hidden="1"/>
    </xf>
    <xf numFmtId="0" fontId="13" fillId="2" borderId="0" xfId="0" applyFont="1" applyFill="1" applyBorder="1" applyAlignment="1" applyProtection="1">
      <alignment horizontal="left"/>
      <protection hidden="1"/>
    </xf>
    <xf numFmtId="0" fontId="19" fillId="0" borderId="0" xfId="0" applyFont="1" applyBorder="1" applyAlignment="1" applyProtection="1">
      <alignment horizontal="right"/>
      <protection hidden="1"/>
    </xf>
    <xf numFmtId="3" fontId="19" fillId="0" borderId="22" xfId="0" applyNumberFormat="1" applyFont="1" applyBorder="1" applyAlignment="1" applyProtection="1">
      <alignment horizontal="right"/>
      <protection hidden="1"/>
    </xf>
    <xf numFmtId="3" fontId="19" fillId="0" borderId="6" xfId="0" applyNumberFormat="1" applyFont="1" applyBorder="1" applyAlignment="1" applyProtection="1">
      <alignment horizontal="right"/>
      <protection hidden="1"/>
    </xf>
    <xf numFmtId="0" fontId="19" fillId="0" borderId="21" xfId="0" applyFont="1" applyBorder="1" applyAlignment="1" applyProtection="1">
      <alignment horizontal="right"/>
      <protection hidden="1"/>
    </xf>
    <xf numFmtId="0" fontId="0" fillId="0" borderId="0" xfId="0" applyAlignment="1" applyProtection="1">
      <alignment vertical="center" wrapText="1"/>
      <protection hidden="1"/>
    </xf>
    <xf numFmtId="0" fontId="4" fillId="2" borderId="24" xfId="0" applyFont="1" applyFill="1" applyBorder="1" applyAlignment="1" applyProtection="1">
      <alignment horizontal="right"/>
      <protection hidden="1"/>
    </xf>
    <xf numFmtId="0" fontId="4" fillId="2" borderId="6" xfId="0" applyFont="1" applyFill="1" applyBorder="1" applyAlignment="1" applyProtection="1">
      <alignment horizontal="right"/>
      <protection hidden="1"/>
    </xf>
    <xf numFmtId="0" fontId="4" fillId="2" borderId="22" xfId="0" applyFont="1" applyFill="1" applyBorder="1" applyAlignment="1" applyProtection="1">
      <alignment horizontal="right"/>
      <protection hidden="1"/>
    </xf>
    <xf numFmtId="0" fontId="19" fillId="2" borderId="41" xfId="0" applyFont="1" applyFill="1" applyBorder="1" applyProtection="1">
      <protection hidden="1"/>
    </xf>
    <xf numFmtId="0" fontId="19" fillId="2" borderId="42" xfId="0" applyFont="1" applyFill="1" applyBorder="1" applyProtection="1">
      <protection hidden="1"/>
    </xf>
    <xf numFmtId="0" fontId="0" fillId="2" borderId="43" xfId="0" applyFill="1" applyBorder="1" applyProtection="1">
      <protection hidden="1"/>
    </xf>
    <xf numFmtId="164" fontId="4" fillId="2" borderId="0" xfId="0" applyNumberFormat="1" applyFont="1" applyFill="1" applyBorder="1" applyAlignment="1" applyProtection="1">
      <alignment horizontal="left" vertical="center"/>
      <protection hidden="1"/>
    </xf>
    <xf numFmtId="40" fontId="23" fillId="2" borderId="0" xfId="0" applyNumberFormat="1" applyFont="1" applyFill="1" applyBorder="1" applyAlignment="1" applyProtection="1">
      <alignment horizontal="center"/>
      <protection hidden="1"/>
    </xf>
    <xf numFmtId="40" fontId="27" fillId="2" borderId="0" xfId="0" applyNumberFormat="1" applyFont="1" applyFill="1" applyBorder="1" applyAlignment="1" applyProtection="1">
      <alignment horizontal="center"/>
      <protection hidden="1"/>
    </xf>
    <xf numFmtId="4" fontId="19" fillId="2" borderId="44" xfId="0" applyNumberFormat="1" applyFont="1" applyFill="1" applyBorder="1" applyProtection="1">
      <protection locked="0"/>
    </xf>
    <xf numFmtId="4" fontId="4" fillId="2" borderId="6" xfId="0" applyNumberFormat="1" applyFont="1" applyFill="1" applyBorder="1" applyProtection="1">
      <protection hidden="1"/>
    </xf>
    <xf numFmtId="1" fontId="4" fillId="2" borderId="0" xfId="0" applyNumberFormat="1" applyFont="1" applyFill="1" applyBorder="1" applyProtection="1">
      <protection hidden="1"/>
    </xf>
    <xf numFmtId="4" fontId="0" fillId="2" borderId="6" xfId="0" applyNumberFormat="1" applyFill="1" applyBorder="1" applyProtection="1">
      <protection hidden="1"/>
    </xf>
    <xf numFmtId="1" fontId="0" fillId="2" borderId="0" xfId="0" applyNumberFormat="1" applyFill="1" applyBorder="1" applyProtection="1">
      <protection hidden="1"/>
    </xf>
    <xf numFmtId="1" fontId="23" fillId="2" borderId="0" xfId="0" applyNumberFormat="1" applyFont="1" applyFill="1" applyBorder="1" applyProtection="1">
      <protection hidden="1"/>
    </xf>
    <xf numFmtId="0" fontId="4" fillId="2" borderId="0" xfId="0" applyFont="1" applyFill="1" applyBorder="1" applyAlignment="1" applyProtection="1">
      <alignment horizontal="center" wrapText="1"/>
      <protection hidden="1"/>
    </xf>
    <xf numFmtId="4" fontId="67" fillId="2" borderId="6" xfId="0" applyNumberFormat="1" applyFont="1" applyFill="1" applyBorder="1" applyProtection="1">
      <protection hidden="1"/>
    </xf>
    <xf numFmtId="0" fontId="4" fillId="2" borderId="0" xfId="0" applyFont="1" applyFill="1" applyBorder="1" applyAlignment="1" applyProtection="1">
      <alignment horizontal="left" wrapText="1"/>
      <protection hidden="1"/>
    </xf>
    <xf numFmtId="0" fontId="22" fillId="2" borderId="45" xfId="0" applyFont="1" applyFill="1" applyBorder="1" applyAlignment="1" applyProtection="1">
      <alignment horizontal="left" vertical="center"/>
      <protection hidden="1"/>
    </xf>
    <xf numFmtId="0" fontId="4" fillId="2" borderId="46" xfId="0" applyFont="1" applyFill="1" applyBorder="1" applyAlignment="1" applyProtection="1">
      <alignment horizontal="left" vertical="center" wrapText="1"/>
      <protection hidden="1"/>
    </xf>
    <xf numFmtId="0" fontId="4" fillId="2" borderId="46" xfId="0" applyFont="1" applyFill="1" applyBorder="1" applyAlignment="1" applyProtection="1">
      <alignment horizontal="center" vertical="center" wrapText="1"/>
      <protection hidden="1"/>
    </xf>
    <xf numFmtId="40" fontId="85" fillId="2" borderId="0" xfId="0" applyNumberFormat="1" applyFont="1" applyFill="1" applyBorder="1" applyAlignment="1" applyProtection="1">
      <alignment horizontal="right" vertical="center"/>
      <protection hidden="1"/>
    </xf>
    <xf numFmtId="40" fontId="65" fillId="2" borderId="21" xfId="0" applyNumberFormat="1" applyFont="1" applyFill="1" applyBorder="1" applyAlignment="1" applyProtection="1">
      <alignment horizontal="right"/>
      <protection hidden="1"/>
    </xf>
    <xf numFmtId="38" fontId="19" fillId="2" borderId="21" xfId="0" applyNumberFormat="1" applyFont="1" applyFill="1" applyBorder="1" applyAlignment="1" applyProtection="1">
      <alignment horizontal="right"/>
      <protection hidden="1"/>
    </xf>
    <xf numFmtId="38" fontId="0" fillId="2" borderId="21" xfId="0" applyNumberFormat="1" applyFill="1" applyBorder="1" applyAlignment="1" applyProtection="1">
      <alignment horizontal="right"/>
      <protection hidden="1"/>
    </xf>
    <xf numFmtId="0" fontId="67" fillId="3" borderId="0" xfId="0" applyFont="1" applyFill="1" applyBorder="1" applyAlignment="1" applyProtection="1">
      <alignment horizontal="right"/>
      <protection hidden="1"/>
    </xf>
    <xf numFmtId="4" fontId="6" fillId="3" borderId="0" xfId="0" applyNumberFormat="1" applyFont="1" applyFill="1" applyBorder="1" applyAlignment="1" applyProtection="1">
      <alignment horizontal="right"/>
      <protection hidden="1"/>
    </xf>
    <xf numFmtId="0" fontId="9" fillId="2" borderId="0" xfId="0" applyFont="1" applyFill="1" applyBorder="1" applyProtection="1">
      <protection hidden="1"/>
    </xf>
    <xf numFmtId="0" fontId="5" fillId="2" borderId="0" xfId="0" applyFont="1" applyFill="1" applyAlignment="1" applyProtection="1">
      <alignment vertical="center"/>
      <protection hidden="1"/>
    </xf>
    <xf numFmtId="0" fontId="18" fillId="2" borderId="0" xfId="0" applyFont="1" applyFill="1" applyBorder="1" applyAlignment="1" applyProtection="1">
      <alignment horizontal="center"/>
      <protection hidden="1"/>
    </xf>
    <xf numFmtId="164" fontId="19" fillId="2" borderId="1" xfId="0" applyNumberFormat="1" applyFont="1" applyFill="1" applyBorder="1" applyProtection="1">
      <protection hidden="1"/>
    </xf>
    <xf numFmtId="0" fontId="19" fillId="2" borderId="20" xfId="0" applyFont="1" applyFill="1" applyBorder="1" applyProtection="1">
      <protection hidden="1"/>
    </xf>
    <xf numFmtId="38" fontId="5" fillId="2" borderId="21" xfId="0" applyNumberFormat="1" applyFont="1" applyFill="1" applyBorder="1" applyProtection="1">
      <protection hidden="1"/>
    </xf>
    <xf numFmtId="164" fontId="4" fillId="2" borderId="6" xfId="0" applyNumberFormat="1" applyFont="1" applyFill="1" applyBorder="1" applyAlignment="1" applyProtection="1">
      <alignment horizontal="center"/>
      <protection hidden="1"/>
    </xf>
    <xf numFmtId="164" fontId="4" fillId="2" borderId="24" xfId="0" applyNumberFormat="1" applyFont="1" applyFill="1" applyBorder="1" applyAlignment="1" applyProtection="1">
      <alignment vertical="top"/>
      <protection hidden="1"/>
    </xf>
    <xf numFmtId="164" fontId="39" fillId="2" borderId="6" xfId="0" applyNumberFormat="1" applyFont="1" applyFill="1" applyBorder="1" applyAlignment="1" applyProtection="1">
      <alignment vertical="top"/>
      <protection hidden="1"/>
    </xf>
    <xf numFmtId="164" fontId="39" fillId="2" borderId="22" xfId="0" applyNumberFormat="1" applyFont="1" applyFill="1" applyBorder="1" applyAlignment="1" applyProtection="1">
      <alignment vertical="top"/>
      <protection hidden="1"/>
    </xf>
    <xf numFmtId="0" fontId="29" fillId="2" borderId="24" xfId="0" applyFont="1" applyFill="1" applyBorder="1" applyAlignment="1" applyProtection="1">
      <alignment vertical="center"/>
      <protection hidden="1"/>
    </xf>
    <xf numFmtId="0" fontId="0" fillId="4" borderId="6" xfId="0" applyFill="1" applyBorder="1" applyProtection="1">
      <protection locked="0" hidden="1"/>
    </xf>
    <xf numFmtId="0" fontId="29" fillId="2" borderId="27" xfId="0" applyFont="1" applyFill="1" applyBorder="1" applyAlignment="1" applyProtection="1">
      <alignment vertical="center"/>
      <protection hidden="1"/>
    </xf>
    <xf numFmtId="4" fontId="19" fillId="2" borderId="47" xfId="0" applyNumberFormat="1" applyFont="1" applyFill="1" applyBorder="1" applyAlignment="1" applyProtection="1">
      <alignment horizontal="right"/>
      <protection locked="0"/>
    </xf>
    <xf numFmtId="171" fontId="19" fillId="2" borderId="47" xfId="0" applyNumberFormat="1" applyFont="1" applyFill="1" applyBorder="1" applyAlignment="1" applyProtection="1">
      <alignment horizontal="right"/>
      <protection locked="0"/>
    </xf>
    <xf numFmtId="49" fontId="19" fillId="2" borderId="47" xfId="0" applyNumberFormat="1" applyFont="1" applyFill="1" applyBorder="1" applyAlignment="1" applyProtection="1">
      <alignment horizontal="right"/>
      <protection locked="0"/>
    </xf>
    <xf numFmtId="4" fontId="19" fillId="2" borderId="13" xfId="0" applyNumberFormat="1" applyFont="1" applyFill="1" applyBorder="1" applyAlignment="1" applyProtection="1">
      <alignment horizontal="right"/>
      <protection locked="0"/>
    </xf>
    <xf numFmtId="49" fontId="19" fillId="2" borderId="13" xfId="0" applyNumberFormat="1" applyFont="1" applyFill="1" applyBorder="1" applyAlignment="1" applyProtection="1">
      <alignment horizontal="right"/>
      <protection locked="0"/>
    </xf>
    <xf numFmtId="171" fontId="19" fillId="2" borderId="13" xfId="0" applyNumberFormat="1" applyFont="1" applyFill="1" applyBorder="1" applyAlignment="1" applyProtection="1">
      <alignment horizontal="right"/>
      <protection locked="0"/>
    </xf>
    <xf numFmtId="4" fontId="19" fillId="2" borderId="48" xfId="0" applyNumberFormat="1" applyFont="1" applyFill="1" applyBorder="1" applyProtection="1">
      <protection locked="0"/>
    </xf>
    <xf numFmtId="4" fontId="19" fillId="2" borderId="40" xfId="0" applyNumberFormat="1" applyFont="1" applyFill="1" applyBorder="1" applyAlignment="1" applyProtection="1">
      <alignment horizontal="right"/>
      <protection locked="0"/>
    </xf>
    <xf numFmtId="49" fontId="19" fillId="2" borderId="40" xfId="0" applyNumberFormat="1" applyFont="1" applyFill="1" applyBorder="1" applyAlignment="1" applyProtection="1">
      <alignment horizontal="right"/>
      <protection locked="0"/>
    </xf>
    <xf numFmtId="171" fontId="19" fillId="2" borderId="40" xfId="0" applyNumberFormat="1" applyFont="1" applyFill="1" applyBorder="1" applyAlignment="1" applyProtection="1">
      <alignment horizontal="right"/>
      <protection locked="0"/>
    </xf>
    <xf numFmtId="4" fontId="19" fillId="2" borderId="49" xfId="0" applyNumberFormat="1" applyFont="1" applyFill="1" applyBorder="1" applyProtection="1">
      <protection hidden="1"/>
    </xf>
    <xf numFmtId="4" fontId="19" fillId="2" borderId="50" xfId="0" applyNumberFormat="1" applyFont="1" applyFill="1" applyBorder="1" applyProtection="1">
      <protection hidden="1"/>
    </xf>
    <xf numFmtId="4" fontId="19" fillId="2" borderId="50" xfId="0" applyNumberFormat="1" applyFont="1" applyFill="1" applyBorder="1" applyAlignment="1" applyProtection="1">
      <alignment horizontal="center"/>
      <protection hidden="1"/>
    </xf>
    <xf numFmtId="0" fontId="0" fillId="2" borderId="0" xfId="0" applyFill="1" applyAlignment="1" applyProtection="1">
      <alignment vertical="center" wrapText="1"/>
      <protection hidden="1"/>
    </xf>
    <xf numFmtId="0" fontId="4" fillId="0" borderId="13" xfId="0" applyFont="1" applyBorder="1" applyProtection="1">
      <protection hidden="1"/>
    </xf>
    <xf numFmtId="4" fontId="19" fillId="2" borderId="50" xfId="0" applyNumberFormat="1" applyFont="1" applyFill="1" applyBorder="1" applyAlignment="1" applyProtection="1">
      <alignment horizontal="right"/>
      <protection hidden="1"/>
    </xf>
    <xf numFmtId="171" fontId="19" fillId="2" borderId="50" xfId="0" applyNumberFormat="1" applyFont="1" applyFill="1" applyBorder="1" applyAlignment="1" applyProtection="1">
      <alignment horizontal="right"/>
      <protection hidden="1"/>
    </xf>
    <xf numFmtId="4" fontId="19" fillId="2" borderId="51" xfId="0" applyNumberFormat="1" applyFont="1" applyFill="1" applyBorder="1" applyAlignment="1" applyProtection="1">
      <alignment horizontal="right"/>
      <protection locked="0"/>
    </xf>
    <xf numFmtId="4" fontId="19" fillId="2" borderId="52" xfId="0" applyNumberFormat="1" applyFont="1" applyFill="1" applyBorder="1" applyAlignment="1" applyProtection="1">
      <alignment horizontal="right"/>
      <protection locked="0"/>
    </xf>
    <xf numFmtId="4" fontId="19" fillId="2" borderId="53" xfId="0" applyNumberFormat="1" applyFont="1" applyFill="1" applyBorder="1" applyAlignment="1" applyProtection="1">
      <alignment horizontal="right"/>
      <protection locked="0"/>
    </xf>
    <xf numFmtId="4" fontId="19" fillId="2" borderId="54" xfId="0" applyNumberFormat="1" applyFont="1" applyFill="1" applyBorder="1" applyAlignment="1" applyProtection="1">
      <alignment horizontal="right"/>
      <protection hidden="1"/>
    </xf>
    <xf numFmtId="0" fontId="4" fillId="2" borderId="8" xfId="0" applyFont="1" applyFill="1" applyBorder="1" applyProtection="1">
      <protection hidden="1"/>
    </xf>
    <xf numFmtId="49" fontId="7" fillId="2" borderId="8" xfId="0" applyNumberFormat="1" applyFont="1" applyFill="1" applyBorder="1" applyAlignment="1" applyProtection="1">
      <alignment horizontal="right"/>
      <protection hidden="1"/>
    </xf>
    <xf numFmtId="49" fontId="7" fillId="2" borderId="5" xfId="0" applyNumberFormat="1" applyFont="1" applyFill="1" applyBorder="1" applyAlignment="1" applyProtection="1">
      <alignment horizontal="left" vertical="center"/>
      <protection hidden="1"/>
    </xf>
    <xf numFmtId="0" fontId="0" fillId="2" borderId="5" xfId="0" applyFill="1" applyBorder="1" applyAlignment="1" applyProtection="1">
      <alignment horizontal="left" vertical="center"/>
      <protection hidden="1"/>
    </xf>
    <xf numFmtId="0" fontId="5" fillId="2" borderId="8" xfId="0" applyFont="1" applyFill="1" applyBorder="1" applyAlignment="1" applyProtection="1">
      <alignment horizontal="left"/>
      <protection hidden="1"/>
    </xf>
    <xf numFmtId="0" fontId="6" fillId="2" borderId="0" xfId="0" applyFont="1" applyFill="1" applyBorder="1" applyAlignment="1" applyProtection="1">
      <alignment horizontal="center"/>
      <protection hidden="1"/>
    </xf>
    <xf numFmtId="3" fontId="50" fillId="2" borderId="0" xfId="0" applyNumberFormat="1" applyFont="1" applyFill="1" applyBorder="1" applyProtection="1">
      <protection hidden="1"/>
    </xf>
    <xf numFmtId="0" fontId="60" fillId="2" borderId="0" xfId="0" applyFont="1" applyFill="1" applyBorder="1" applyProtection="1">
      <protection hidden="1"/>
    </xf>
    <xf numFmtId="3" fontId="50" fillId="2" borderId="5" xfId="0" applyNumberFormat="1" applyFont="1" applyFill="1" applyBorder="1" applyProtection="1">
      <protection hidden="1"/>
    </xf>
    <xf numFmtId="1" fontId="4" fillId="0" borderId="0" xfId="0" applyNumberFormat="1" applyFont="1" applyFill="1" applyBorder="1" applyAlignment="1" applyProtection="1">
      <alignment horizontal="center"/>
      <protection hidden="1"/>
    </xf>
    <xf numFmtId="0" fontId="67" fillId="2" borderId="0" xfId="0" applyFont="1" applyFill="1" applyProtection="1">
      <protection hidden="1"/>
    </xf>
    <xf numFmtId="4" fontId="23" fillId="2" borderId="0" xfId="0" applyNumberFormat="1" applyFont="1" applyFill="1" applyProtection="1">
      <protection hidden="1"/>
    </xf>
    <xf numFmtId="164" fontId="63" fillId="2" borderId="0" xfId="0" applyNumberFormat="1" applyFont="1" applyFill="1" applyBorder="1" applyProtection="1">
      <protection hidden="1"/>
    </xf>
    <xf numFmtId="164" fontId="63" fillId="2" borderId="0" xfId="0" applyNumberFormat="1" applyFont="1" applyFill="1" applyBorder="1" applyAlignment="1" applyProtection="1">
      <alignment horizontal="right"/>
      <protection hidden="1"/>
    </xf>
    <xf numFmtId="164" fontId="4" fillId="2" borderId="8" xfId="0" applyNumberFormat="1" applyFont="1" applyFill="1" applyBorder="1" applyAlignment="1" applyProtection="1">
      <alignment vertical="top"/>
      <protection hidden="1"/>
    </xf>
    <xf numFmtId="0" fontId="95" fillId="2" borderId="5" xfId="0" applyFont="1" applyFill="1" applyBorder="1" applyAlignment="1" applyProtection="1">
      <protection hidden="1"/>
    </xf>
    <xf numFmtId="0" fontId="2" fillId="2" borderId="8" xfId="0" applyFont="1" applyFill="1" applyBorder="1" applyAlignment="1" applyProtection="1">
      <alignment horizontal="left"/>
      <protection hidden="1"/>
    </xf>
    <xf numFmtId="0" fontId="0" fillId="0" borderId="0" xfId="0" applyBorder="1" applyAlignment="1" applyProtection="1">
      <alignment horizontal="center"/>
      <protection hidden="1"/>
    </xf>
    <xf numFmtId="38" fontId="0" fillId="2" borderId="21" xfId="0" applyNumberFormat="1" applyFill="1" applyBorder="1" applyProtection="1">
      <protection locked="0"/>
    </xf>
    <xf numFmtId="40" fontId="67" fillId="2" borderId="0" xfId="0" applyNumberFormat="1" applyFont="1" applyFill="1" applyBorder="1" applyAlignment="1" applyProtection="1">
      <alignment horizontal="center"/>
      <protection hidden="1"/>
    </xf>
    <xf numFmtId="49" fontId="8" fillId="2" borderId="47" xfId="0" applyNumberFormat="1" applyFont="1" applyFill="1" applyBorder="1" applyAlignment="1" applyProtection="1">
      <alignment horizontal="right"/>
      <protection locked="0"/>
    </xf>
    <xf numFmtId="49" fontId="8" fillId="2" borderId="13" xfId="0" applyNumberFormat="1" applyFont="1" applyFill="1" applyBorder="1" applyAlignment="1" applyProtection="1">
      <alignment horizontal="right"/>
      <protection locked="0"/>
    </xf>
    <xf numFmtId="49" fontId="8" fillId="2" borderId="40" xfId="0" applyNumberFormat="1" applyFont="1" applyFill="1" applyBorder="1" applyAlignment="1" applyProtection="1">
      <alignment horizontal="right"/>
      <protection locked="0"/>
    </xf>
    <xf numFmtId="40" fontId="80" fillId="2" borderId="0" xfId="0" applyNumberFormat="1" applyFont="1" applyFill="1" applyBorder="1" applyProtection="1">
      <protection hidden="1"/>
    </xf>
    <xf numFmtId="0" fontId="67" fillId="2" borderId="0" xfId="0" applyFont="1" applyFill="1" applyBorder="1" applyAlignment="1" applyProtection="1">
      <alignment horizontal="center"/>
      <protection hidden="1"/>
    </xf>
    <xf numFmtId="0" fontId="80" fillId="2" borderId="0" xfId="0" applyFont="1" applyFill="1" applyBorder="1" applyProtection="1">
      <protection hidden="1"/>
    </xf>
    <xf numFmtId="38" fontId="23" fillId="2" borderId="0" xfId="0" applyNumberFormat="1" applyFont="1" applyFill="1" applyBorder="1" applyProtection="1">
      <protection hidden="1"/>
    </xf>
    <xf numFmtId="0" fontId="16" fillId="2" borderId="9" xfId="0" applyFont="1" applyFill="1" applyBorder="1" applyAlignment="1" applyProtection="1">
      <alignment vertical="center"/>
      <protection hidden="1"/>
    </xf>
    <xf numFmtId="0" fontId="99" fillId="0" borderId="0" xfId="0" applyFont="1" applyProtection="1">
      <protection hidden="1"/>
    </xf>
    <xf numFmtId="1" fontId="99" fillId="0" borderId="0" xfId="0" applyNumberFormat="1" applyFont="1" applyProtection="1">
      <protection hidden="1"/>
    </xf>
    <xf numFmtId="0" fontId="19" fillId="2" borderId="24" xfId="0" applyFont="1" applyFill="1" applyBorder="1" applyProtection="1">
      <protection hidden="1"/>
    </xf>
    <xf numFmtId="0" fontId="7" fillId="2" borderId="0" xfId="0" applyFont="1" applyFill="1" applyBorder="1" applyAlignment="1" applyProtection="1">
      <alignment horizontal="right"/>
      <protection hidden="1"/>
    </xf>
    <xf numFmtId="0" fontId="16" fillId="2" borderId="0" xfId="0" applyFont="1" applyFill="1" applyBorder="1" applyAlignment="1" applyProtection="1">
      <protection hidden="1"/>
    </xf>
    <xf numFmtId="0" fontId="17" fillId="2" borderId="1" xfId="0" applyFont="1" applyFill="1" applyBorder="1" applyAlignment="1" applyProtection="1">
      <alignment vertical="top" wrapText="1"/>
      <protection hidden="1"/>
    </xf>
    <xf numFmtId="0" fontId="17" fillId="2" borderId="0" xfId="0" applyFont="1" applyFill="1" applyBorder="1" applyAlignment="1" applyProtection="1">
      <alignment vertical="top"/>
      <protection hidden="1"/>
    </xf>
    <xf numFmtId="0" fontId="16" fillId="2" borderId="0" xfId="0" applyFont="1" applyFill="1" applyBorder="1" applyAlignment="1" applyProtection="1">
      <alignment vertical="top"/>
      <protection hidden="1"/>
    </xf>
    <xf numFmtId="1" fontId="102" fillId="3" borderId="0" xfId="0" applyNumberFormat="1" applyFont="1" applyFill="1" applyBorder="1" applyAlignment="1" applyProtection="1">
      <alignment horizontal="left" vertical="center"/>
      <protection hidden="1"/>
    </xf>
    <xf numFmtId="0" fontId="8" fillId="2" borderId="0" xfId="0" applyFont="1" applyFill="1" applyBorder="1" applyAlignment="1" applyProtection="1">
      <alignment vertical="top"/>
      <protection hidden="1"/>
    </xf>
    <xf numFmtId="0" fontId="12" fillId="3" borderId="1" xfId="0" applyFont="1" applyFill="1" applyBorder="1" applyAlignment="1" applyProtection="1">
      <alignment horizontal="left"/>
      <protection hidden="1"/>
    </xf>
    <xf numFmtId="0" fontId="7" fillId="3" borderId="0" xfId="0" applyFont="1" applyFill="1" applyBorder="1" applyAlignment="1" applyProtection="1">
      <alignment horizontal="right" vertical="center"/>
      <protection hidden="1"/>
    </xf>
    <xf numFmtId="0" fontId="7" fillId="3" borderId="13" xfId="0" applyFont="1" applyFill="1" applyBorder="1" applyAlignment="1" applyProtection="1">
      <alignment horizontal="center"/>
      <protection hidden="1"/>
    </xf>
    <xf numFmtId="0" fontId="11" fillId="3" borderId="0" xfId="0" applyFont="1" applyFill="1" applyBorder="1" applyAlignment="1" applyProtection="1">
      <alignment horizontal="center"/>
      <protection hidden="1"/>
    </xf>
    <xf numFmtId="0" fontId="4" fillId="3" borderId="8" xfId="0" applyFont="1" applyFill="1" applyBorder="1" applyAlignment="1" applyProtection="1">
      <alignment horizontal="left" vertical="top"/>
      <protection hidden="1"/>
    </xf>
    <xf numFmtId="0" fontId="9" fillId="3" borderId="8" xfId="0" applyFont="1" applyFill="1" applyBorder="1" applyAlignment="1" applyProtection="1">
      <alignment vertical="top"/>
      <protection hidden="1"/>
    </xf>
    <xf numFmtId="0" fontId="9" fillId="3" borderId="8" xfId="0" applyFont="1" applyFill="1" applyBorder="1" applyAlignment="1" applyProtection="1">
      <alignment horizontal="center" vertical="top"/>
      <protection hidden="1"/>
    </xf>
    <xf numFmtId="4" fontId="8" fillId="3" borderId="8" xfId="0" applyNumberFormat="1" applyFont="1" applyFill="1" applyBorder="1" applyAlignment="1" applyProtection="1">
      <alignment vertical="top"/>
      <protection hidden="1"/>
    </xf>
    <xf numFmtId="39" fontId="9" fillId="3" borderId="8" xfId="0" applyNumberFormat="1" applyFont="1" applyFill="1" applyBorder="1" applyAlignment="1" applyProtection="1">
      <alignment vertical="top"/>
      <protection hidden="1"/>
    </xf>
    <xf numFmtId="0" fontId="7" fillId="3" borderId="8" xfId="0" applyFont="1" applyFill="1" applyBorder="1" applyAlignment="1" applyProtection="1">
      <alignment horizontal="center" vertical="top"/>
      <protection hidden="1"/>
    </xf>
    <xf numFmtId="4" fontId="1" fillId="3" borderId="8" xfId="0" applyNumberFormat="1" applyFont="1" applyFill="1" applyBorder="1" applyAlignment="1" applyProtection="1">
      <alignment horizontal="right" vertical="top"/>
      <protection hidden="1"/>
    </xf>
    <xf numFmtId="0" fontId="9" fillId="3" borderId="1" xfId="0" quotePrefix="1" applyFont="1" applyFill="1" applyBorder="1" applyAlignment="1" applyProtection="1">
      <alignment horizontal="left"/>
      <protection hidden="1"/>
    </xf>
    <xf numFmtId="4" fontId="5" fillId="3" borderId="5" xfId="0" applyNumberFormat="1" applyFont="1" applyFill="1" applyBorder="1" applyAlignment="1" applyProtection="1">
      <alignment horizontal="right"/>
      <protection hidden="1"/>
    </xf>
    <xf numFmtId="0" fontId="57" fillId="11" borderId="26" xfId="0" applyFont="1" applyFill="1" applyBorder="1" applyProtection="1">
      <protection hidden="1"/>
    </xf>
    <xf numFmtId="0" fontId="59" fillId="11" borderId="26" xfId="0" applyFont="1" applyFill="1" applyBorder="1" applyProtection="1">
      <protection hidden="1"/>
    </xf>
    <xf numFmtId="4" fontId="8" fillId="3" borderId="25" xfId="0" applyNumberFormat="1" applyFont="1" applyFill="1" applyBorder="1" applyAlignment="1" applyProtection="1">
      <alignment horizontal="left"/>
      <protection hidden="1"/>
    </xf>
    <xf numFmtId="3" fontId="103" fillId="3" borderId="25" xfId="0" applyNumberFormat="1" applyFont="1" applyFill="1" applyBorder="1" applyAlignment="1" applyProtection="1">
      <alignment horizontal="right"/>
      <protection hidden="1"/>
    </xf>
    <xf numFmtId="37" fontId="5" fillId="3" borderId="31" xfId="0" applyNumberFormat="1" applyFont="1" applyFill="1" applyBorder="1" applyAlignment="1" applyProtection="1">
      <alignment horizontal="right"/>
      <protection hidden="1"/>
    </xf>
    <xf numFmtId="39" fontId="19" fillId="3" borderId="3" xfId="0" applyNumberFormat="1" applyFont="1" applyFill="1" applyBorder="1" applyAlignment="1" applyProtection="1">
      <alignment horizontal="right"/>
      <protection hidden="1"/>
    </xf>
    <xf numFmtId="37" fontId="50" fillId="3" borderId="3" xfId="0" applyNumberFormat="1" applyFont="1" applyFill="1" applyBorder="1" applyAlignment="1" applyProtection="1">
      <alignment horizontal="right"/>
      <protection hidden="1"/>
    </xf>
    <xf numFmtId="4" fontId="11" fillId="3" borderId="9" xfId="0" applyNumberFormat="1" applyFont="1" applyFill="1" applyBorder="1" applyAlignment="1" applyProtection="1">
      <alignment horizontal="right"/>
      <protection hidden="1"/>
    </xf>
    <xf numFmtId="0" fontId="0" fillId="6" borderId="0" xfId="0" applyFill="1" applyBorder="1" applyAlignment="1" applyProtection="1">
      <alignment horizontal="right"/>
      <protection hidden="1"/>
    </xf>
    <xf numFmtId="0" fontId="8" fillId="5" borderId="0" xfId="0" applyFont="1" applyFill="1" applyProtection="1">
      <protection hidden="1"/>
    </xf>
    <xf numFmtId="0" fontId="11" fillId="0" borderId="0" xfId="0" applyFont="1" applyProtection="1">
      <protection hidden="1"/>
    </xf>
    <xf numFmtId="0" fontId="4" fillId="15" borderId="0" xfId="0" applyFont="1" applyFill="1" applyBorder="1" applyAlignment="1" applyProtection="1">
      <alignment horizontal="right"/>
      <protection hidden="1"/>
    </xf>
    <xf numFmtId="0" fontId="19" fillId="15" borderId="0" xfId="0" applyFont="1" applyFill="1" applyBorder="1" applyAlignment="1" applyProtection="1">
      <alignment horizontal="left"/>
      <protection hidden="1"/>
    </xf>
    <xf numFmtId="0" fontId="8" fillId="15" borderId="0" xfId="0" applyFont="1" applyFill="1" applyBorder="1" applyAlignment="1" applyProtection="1">
      <alignment horizontal="left"/>
      <protection hidden="1"/>
    </xf>
    <xf numFmtId="0" fontId="4" fillId="15" borderId="0" xfId="0" quotePrefix="1" applyFont="1" applyFill="1" applyBorder="1" applyAlignment="1" applyProtection="1">
      <alignment horizontal="right"/>
      <protection hidden="1"/>
    </xf>
    <xf numFmtId="1" fontId="4" fillId="15" borderId="0" xfId="0" applyNumberFormat="1" applyFont="1" applyFill="1" applyBorder="1" applyAlignment="1" applyProtection="1">
      <alignment horizontal="right"/>
      <protection hidden="1"/>
    </xf>
    <xf numFmtId="0" fontId="28" fillId="15" borderId="0" xfId="0" applyFont="1" applyFill="1" applyBorder="1" applyAlignment="1" applyProtection="1">
      <alignment horizontal="right"/>
      <protection hidden="1"/>
    </xf>
    <xf numFmtId="0" fontId="28" fillId="15" borderId="0" xfId="0" applyFont="1" applyFill="1" applyBorder="1" applyAlignment="1" applyProtection="1">
      <alignment horizontal="left"/>
      <protection hidden="1"/>
    </xf>
    <xf numFmtId="39" fontId="8" fillId="15" borderId="0" xfId="0" applyNumberFormat="1" applyFont="1" applyFill="1" applyBorder="1" applyAlignment="1" applyProtection="1">
      <alignment horizontal="right"/>
      <protection hidden="1"/>
    </xf>
    <xf numFmtId="4" fontId="0" fillId="2" borderId="0" xfId="0" applyNumberFormat="1" applyFill="1" applyAlignment="1" applyProtection="1">
      <alignment horizontal="right"/>
      <protection hidden="1"/>
    </xf>
    <xf numFmtId="0" fontId="4" fillId="3" borderId="1" xfId="0" applyFont="1" applyFill="1" applyBorder="1" applyAlignment="1" applyProtection="1">
      <alignment horizontal="right"/>
      <protection hidden="1"/>
    </xf>
    <xf numFmtId="49" fontId="49" fillId="3" borderId="1" xfId="0" applyNumberFormat="1" applyFont="1" applyFill="1" applyBorder="1" applyAlignment="1" applyProtection="1">
      <alignment horizontal="right"/>
      <protection hidden="1"/>
    </xf>
    <xf numFmtId="4" fontId="90" fillId="3" borderId="0" xfId="0" applyNumberFormat="1" applyFont="1" applyFill="1" applyBorder="1" applyAlignment="1" applyProtection="1">
      <alignment horizontal="left"/>
      <protection hidden="1"/>
    </xf>
    <xf numFmtId="0" fontId="4" fillId="3" borderId="1" xfId="0" applyFont="1" applyFill="1" applyBorder="1" applyAlignment="1" applyProtection="1">
      <alignment horizontal="left"/>
      <protection hidden="1"/>
    </xf>
    <xf numFmtId="0" fontId="66" fillId="3" borderId="1" xfId="0" applyFont="1" applyFill="1" applyBorder="1" applyAlignment="1" applyProtection="1">
      <alignment horizontal="right"/>
      <protection hidden="1"/>
    </xf>
    <xf numFmtId="0" fontId="16" fillId="3" borderId="1" xfId="0" applyFont="1" applyFill="1" applyBorder="1" applyAlignment="1" applyProtection="1">
      <alignment horizontal="right"/>
      <protection hidden="1"/>
    </xf>
    <xf numFmtId="0" fontId="90" fillId="5" borderId="0" xfId="0" applyFont="1" applyFill="1" applyAlignment="1" applyProtection="1">
      <alignment horizontal="center"/>
      <protection hidden="1"/>
    </xf>
    <xf numFmtId="0" fontId="8" fillId="5" borderId="0" xfId="0" applyFont="1" applyFill="1" applyAlignment="1" applyProtection="1">
      <protection hidden="1"/>
    </xf>
    <xf numFmtId="0" fontId="19" fillId="0" borderId="56" xfId="0" applyFont="1" applyBorder="1" applyAlignment="1" applyProtection="1">
      <alignment horizontal="right"/>
      <protection hidden="1"/>
    </xf>
    <xf numFmtId="0" fontId="19" fillId="0" borderId="8" xfId="0" applyFont="1" applyBorder="1" applyAlignment="1" applyProtection="1">
      <alignment horizontal="right"/>
      <protection hidden="1"/>
    </xf>
    <xf numFmtId="0" fontId="19" fillId="0" borderId="20" xfId="0" applyFont="1" applyBorder="1" applyAlignment="1" applyProtection="1">
      <alignment horizontal="right"/>
      <protection hidden="1"/>
    </xf>
    <xf numFmtId="0" fontId="19" fillId="0" borderId="57" xfId="0" applyFont="1" applyBorder="1" applyAlignment="1" applyProtection="1">
      <alignment horizontal="right"/>
      <protection hidden="1"/>
    </xf>
    <xf numFmtId="0" fontId="19" fillId="0" borderId="1" xfId="0" applyFont="1" applyBorder="1" applyAlignment="1" applyProtection="1">
      <alignment horizontal="right"/>
      <protection hidden="1"/>
    </xf>
    <xf numFmtId="3" fontId="19" fillId="0" borderId="58" xfId="0" applyNumberFormat="1" applyFont="1" applyBorder="1" applyAlignment="1" applyProtection="1">
      <alignment horizontal="right"/>
      <protection hidden="1"/>
    </xf>
    <xf numFmtId="0" fontId="19" fillId="0" borderId="5" xfId="0" applyFont="1" applyBorder="1" applyAlignment="1" applyProtection="1">
      <alignment horizontal="right"/>
      <protection hidden="1"/>
    </xf>
    <xf numFmtId="0" fontId="19" fillId="0" borderId="23" xfId="0" applyFont="1" applyBorder="1" applyAlignment="1" applyProtection="1">
      <alignment horizontal="right"/>
      <protection hidden="1"/>
    </xf>
    <xf numFmtId="0" fontId="6" fillId="2" borderId="5" xfId="0" applyFont="1" applyFill="1" applyBorder="1" applyProtection="1">
      <protection hidden="1"/>
    </xf>
    <xf numFmtId="0" fontId="4" fillId="2" borderId="0" xfId="0" applyFont="1" applyFill="1" applyAlignment="1" applyProtection="1">
      <alignment horizontal="right" vertical="center"/>
      <protection hidden="1"/>
    </xf>
    <xf numFmtId="0" fontId="4" fillId="2" borderId="13" xfId="0" applyFont="1" applyFill="1" applyBorder="1" applyAlignment="1" applyProtection="1">
      <alignment horizontal="center" vertical="center"/>
      <protection hidden="1"/>
    </xf>
    <xf numFmtId="0" fontId="8" fillId="14" borderId="0" xfId="0" applyFont="1" applyFill="1" applyAlignment="1" applyProtection="1">
      <alignment horizontal="center"/>
      <protection hidden="1"/>
    </xf>
    <xf numFmtId="3" fontId="0" fillId="2" borderId="13" xfId="0" applyNumberFormat="1" applyFill="1" applyBorder="1" applyAlignment="1" applyProtection="1">
      <alignment vertical="center"/>
      <protection locked="0"/>
    </xf>
    <xf numFmtId="0" fontId="4" fillId="2" borderId="12" xfId="0" applyFont="1" applyFill="1" applyBorder="1" applyAlignment="1" applyProtection="1">
      <alignment horizontal="right"/>
      <protection hidden="1"/>
    </xf>
    <xf numFmtId="0" fontId="4" fillId="2" borderId="25" xfId="0" applyFont="1" applyFill="1" applyBorder="1" applyAlignment="1" applyProtection="1">
      <alignment horizontal="right"/>
      <protection hidden="1"/>
    </xf>
    <xf numFmtId="0" fontId="4" fillId="2" borderId="0" xfId="0" applyFont="1" applyFill="1" applyAlignment="1" applyProtection="1">
      <protection hidden="1"/>
    </xf>
    <xf numFmtId="0" fontId="4" fillId="2" borderId="0" xfId="0" applyFont="1" applyFill="1" applyAlignment="1" applyProtection="1">
      <alignment horizontal="right" vertical="top"/>
      <protection hidden="1"/>
    </xf>
    <xf numFmtId="0" fontId="0" fillId="10" borderId="0" xfId="0" applyFill="1" applyAlignment="1" applyProtection="1">
      <alignment vertical="top"/>
      <protection hidden="1"/>
    </xf>
    <xf numFmtId="0" fontId="0" fillId="2" borderId="6" xfId="0" applyFill="1" applyBorder="1" applyAlignment="1" applyProtection="1">
      <alignment horizontal="center"/>
      <protection hidden="1"/>
    </xf>
    <xf numFmtId="0" fontId="0" fillId="2" borderId="22" xfId="0" applyFill="1" applyBorder="1" applyAlignment="1" applyProtection="1">
      <alignment horizontal="center"/>
      <protection hidden="1"/>
    </xf>
    <xf numFmtId="0" fontId="23" fillId="2" borderId="6" xfId="0" applyFont="1" applyFill="1" applyBorder="1" applyAlignment="1" applyProtection="1">
      <alignment horizontal="center"/>
      <protection hidden="1"/>
    </xf>
    <xf numFmtId="0" fontId="6" fillId="2" borderId="2" xfId="0" applyFont="1" applyFill="1" applyBorder="1" applyAlignment="1" applyProtection="1">
      <alignment horizontal="center" vertical="center"/>
      <protection locked="0"/>
    </xf>
    <xf numFmtId="0" fontId="0" fillId="2" borderId="24" xfId="0" applyFill="1" applyBorder="1" applyAlignment="1" applyProtection="1">
      <alignment horizontal="center"/>
      <protection hidden="1"/>
    </xf>
    <xf numFmtId="0" fontId="13" fillId="2" borderId="0" xfId="0" applyFont="1" applyFill="1" applyBorder="1" applyAlignment="1" applyProtection="1">
      <alignment horizontal="right"/>
      <protection hidden="1"/>
    </xf>
    <xf numFmtId="40" fontId="2" fillId="2" borderId="0" xfId="0" applyNumberFormat="1" applyFont="1" applyFill="1" applyBorder="1" applyAlignment="1" applyProtection="1">
      <alignment horizontal="left" vertical="top"/>
      <protection hidden="1"/>
    </xf>
    <xf numFmtId="0" fontId="25" fillId="2" borderId="0" xfId="0" applyFont="1" applyFill="1" applyBorder="1" applyProtection="1">
      <protection hidden="1"/>
    </xf>
    <xf numFmtId="0" fontId="47" fillId="2" borderId="0" xfId="0" applyFont="1" applyFill="1" applyBorder="1" applyProtection="1">
      <protection hidden="1"/>
    </xf>
    <xf numFmtId="40" fontId="0" fillId="2" borderId="0" xfId="0" applyNumberFormat="1" applyFill="1" applyBorder="1" applyAlignment="1" applyProtection="1">
      <alignment vertical="center"/>
      <protection hidden="1"/>
    </xf>
    <xf numFmtId="1" fontId="8" fillId="14" borderId="0" xfId="0" applyNumberFormat="1" applyFont="1" applyFill="1" applyAlignment="1" applyProtection="1">
      <alignment horizontal="center"/>
      <protection hidden="1"/>
    </xf>
    <xf numFmtId="37" fontId="6" fillId="2" borderId="0" xfId="0" applyNumberFormat="1" applyFont="1" applyFill="1" applyBorder="1" applyProtection="1">
      <protection hidden="1"/>
    </xf>
    <xf numFmtId="37" fontId="6" fillId="2" borderId="9" xfId="0" applyNumberFormat="1" applyFont="1" applyFill="1" applyBorder="1" applyProtection="1">
      <protection hidden="1"/>
    </xf>
    <xf numFmtId="0" fontId="10" fillId="2" borderId="5" xfId="0" applyFont="1" applyFill="1" applyBorder="1" applyProtection="1">
      <protection hidden="1"/>
    </xf>
    <xf numFmtId="0" fontId="16" fillId="3" borderId="0" xfId="0" applyFont="1" applyFill="1" applyAlignment="1" applyProtection="1">
      <alignment horizontal="center"/>
      <protection hidden="1"/>
    </xf>
    <xf numFmtId="0" fontId="4" fillId="2" borderId="0" xfId="0" applyFont="1" applyFill="1" applyBorder="1" applyAlignment="1" applyProtection="1">
      <alignment horizontal="center" wrapText="1"/>
      <protection locked="0"/>
    </xf>
    <xf numFmtId="0" fontId="23" fillId="4" borderId="0" xfId="0" applyFont="1" applyFill="1" applyAlignment="1" applyProtection="1">
      <alignment horizontal="center"/>
      <protection locked="0"/>
    </xf>
    <xf numFmtId="0" fontId="17" fillId="3" borderId="8" xfId="0" applyFont="1" applyFill="1" applyBorder="1" applyProtection="1">
      <protection hidden="1"/>
    </xf>
    <xf numFmtId="0" fontId="7" fillId="3" borderId="8" xfId="0" applyFont="1" applyFill="1" applyBorder="1" applyAlignment="1" applyProtection="1">
      <alignment horizontal="left"/>
      <protection hidden="1"/>
    </xf>
    <xf numFmtId="0" fontId="7" fillId="3" borderId="37" xfId="0" applyFont="1" applyFill="1" applyBorder="1" applyAlignment="1" applyProtection="1">
      <alignment horizontal="left"/>
      <protection hidden="1"/>
    </xf>
    <xf numFmtId="4" fontId="0" fillId="3" borderId="12" xfId="0" applyNumberFormat="1" applyFill="1" applyBorder="1" applyProtection="1">
      <protection hidden="1"/>
    </xf>
    <xf numFmtId="4" fontId="4" fillId="3" borderId="25" xfId="0" applyNumberFormat="1" applyFont="1" applyFill="1" applyBorder="1" applyAlignment="1" applyProtection="1">
      <alignment horizontal="right"/>
      <protection hidden="1"/>
    </xf>
    <xf numFmtId="4" fontId="0" fillId="0" borderId="0" xfId="0" applyNumberFormat="1" applyFill="1" applyProtection="1"/>
    <xf numFmtId="0" fontId="1" fillId="0" borderId="0" xfId="0" applyFont="1" applyFill="1" applyProtection="1"/>
    <xf numFmtId="0" fontId="8" fillId="0" borderId="0" xfId="0" applyFont="1" applyFill="1" applyProtection="1"/>
    <xf numFmtId="0" fontId="23" fillId="3" borderId="0" xfId="0" applyFont="1" applyFill="1" applyBorder="1" applyProtection="1">
      <protection hidden="1"/>
    </xf>
    <xf numFmtId="0" fontId="106" fillId="0" borderId="0" xfId="2" applyFont="1" applyAlignment="1" applyProtection="1">
      <alignment horizontal="center"/>
    </xf>
    <xf numFmtId="0" fontId="6" fillId="0" borderId="0" xfId="0" applyFont="1" applyFill="1" applyBorder="1" applyAlignment="1" applyProtection="1">
      <alignment horizontal="right" vertical="center"/>
      <protection hidden="1"/>
    </xf>
    <xf numFmtId="0" fontId="5" fillId="0" borderId="0" xfId="0" applyFont="1" applyFill="1" applyBorder="1" applyAlignment="1" applyProtection="1">
      <alignment horizontal="left" vertical="center"/>
      <protection hidden="1"/>
    </xf>
    <xf numFmtId="4" fontId="5" fillId="0" borderId="0" xfId="0" applyNumberFormat="1" applyFont="1" applyFill="1" applyBorder="1" applyAlignment="1" applyProtection="1">
      <alignment horizontal="left" vertical="center"/>
      <protection hidden="1"/>
    </xf>
    <xf numFmtId="39" fontId="5" fillId="0" borderId="0" xfId="0" applyNumberFormat="1" applyFont="1" applyFill="1" applyBorder="1" applyAlignment="1" applyProtection="1">
      <alignment horizontal="center" vertical="center"/>
    </xf>
    <xf numFmtId="39" fontId="5" fillId="0" borderId="0" xfId="0" applyNumberFormat="1" applyFont="1" applyFill="1" applyBorder="1" applyAlignment="1" applyProtection="1">
      <alignment horizontal="right" vertical="center"/>
      <protection hidden="1"/>
    </xf>
    <xf numFmtId="39" fontId="5" fillId="0" borderId="0" xfId="0" applyNumberFormat="1" applyFont="1" applyFill="1" applyBorder="1" applyAlignment="1" applyProtection="1">
      <alignment horizontal="center" vertical="center"/>
      <protection hidden="1"/>
    </xf>
    <xf numFmtId="0" fontId="0" fillId="0" borderId="0" xfId="0" applyBorder="1" applyAlignment="1" applyProtection="1">
      <alignment wrapText="1"/>
      <protection hidden="1"/>
    </xf>
    <xf numFmtId="0" fontId="5" fillId="3" borderId="0" xfId="0" applyFont="1" applyFill="1" applyAlignment="1" applyProtection="1">
      <alignment horizontal="left" vertical="center"/>
      <protection hidden="1"/>
    </xf>
    <xf numFmtId="0" fontId="5" fillId="3" borderId="0" xfId="0" applyFont="1" applyFill="1" applyAlignment="1" applyProtection="1">
      <alignment vertical="center"/>
      <protection hidden="1"/>
    </xf>
    <xf numFmtId="0" fontId="67" fillId="2" borderId="0" xfId="0" applyFont="1" applyFill="1" applyAlignment="1" applyProtection="1">
      <alignment horizontal="center"/>
      <protection hidden="1"/>
    </xf>
    <xf numFmtId="0" fontId="11" fillId="5" borderId="0" xfId="0" applyFont="1" applyFill="1" applyAlignment="1" applyProtection="1">
      <alignment horizontal="center"/>
      <protection hidden="1"/>
    </xf>
    <xf numFmtId="4" fontId="4" fillId="3" borderId="1" xfId="0" applyNumberFormat="1" applyFont="1" applyFill="1" applyBorder="1" applyAlignment="1" applyProtection="1">
      <alignment horizontal="right"/>
      <protection hidden="1"/>
    </xf>
    <xf numFmtId="0" fontId="19" fillId="5" borderId="0" xfId="0" applyFont="1" applyFill="1" applyProtection="1">
      <protection hidden="1"/>
    </xf>
    <xf numFmtId="37" fontId="5" fillId="3" borderId="3" xfId="0" applyNumberFormat="1" applyFont="1" applyFill="1" applyBorder="1" applyAlignment="1" applyProtection="1">
      <alignment horizontal="right"/>
      <protection hidden="1"/>
    </xf>
    <xf numFmtId="4" fontId="11" fillId="3" borderId="8" xfId="0" applyNumberFormat="1" applyFont="1" applyFill="1" applyBorder="1" applyProtection="1">
      <protection hidden="1"/>
    </xf>
    <xf numFmtId="4" fontId="12" fillId="3" borderId="8" xfId="0" applyNumberFormat="1" applyFont="1" applyFill="1" applyBorder="1" applyProtection="1">
      <protection hidden="1"/>
    </xf>
    <xf numFmtId="4" fontId="5" fillId="3" borderId="8" xfId="0" applyNumberFormat="1" applyFont="1" applyFill="1" applyBorder="1" applyAlignment="1" applyProtection="1">
      <alignment horizontal="right"/>
      <protection hidden="1"/>
    </xf>
    <xf numFmtId="1" fontId="5" fillId="3" borderId="8" xfId="0" applyNumberFormat="1" applyFont="1" applyFill="1" applyBorder="1" applyAlignment="1" applyProtection="1">
      <alignment horizontal="center"/>
      <protection hidden="1"/>
    </xf>
    <xf numFmtId="0" fontId="1" fillId="3" borderId="13" xfId="0" applyFont="1" applyFill="1" applyBorder="1" applyAlignment="1" applyProtection="1">
      <alignment horizontal="right"/>
      <protection hidden="1"/>
    </xf>
    <xf numFmtId="0" fontId="4" fillId="3" borderId="11" xfId="0" applyFont="1" applyFill="1" applyBorder="1" applyAlignment="1" applyProtection="1">
      <alignment horizontal="right"/>
      <protection hidden="1"/>
    </xf>
    <xf numFmtId="0" fontId="1" fillId="0" borderId="0" xfId="0" applyFont="1" applyFill="1" applyProtection="1">
      <protection hidden="1"/>
    </xf>
    <xf numFmtId="4" fontId="0" fillId="0" borderId="0" xfId="0" applyNumberFormat="1" applyFill="1" applyAlignment="1" applyProtection="1">
      <alignment horizontal="right"/>
      <protection hidden="1"/>
    </xf>
    <xf numFmtId="4" fontId="0" fillId="0" borderId="0" xfId="0" applyNumberFormat="1" applyFill="1" applyAlignment="1" applyProtection="1">
      <alignment horizontal="left"/>
      <protection hidden="1"/>
    </xf>
    <xf numFmtId="0" fontId="5" fillId="5" borderId="0" xfId="0" applyFont="1" applyFill="1" applyProtection="1">
      <protection hidden="1"/>
    </xf>
    <xf numFmtId="0" fontId="6" fillId="3" borderId="0" xfId="0" applyFont="1" applyFill="1" applyBorder="1" applyAlignment="1" applyProtection="1">
      <alignment horizontal="right"/>
      <protection hidden="1"/>
    </xf>
    <xf numFmtId="4" fontId="5" fillId="3" borderId="0" xfId="0" applyNumberFormat="1" applyFont="1" applyFill="1" applyBorder="1" applyAlignment="1" applyProtection="1">
      <alignment horizontal="left"/>
      <protection hidden="1"/>
    </xf>
    <xf numFmtId="1" fontId="4" fillId="3" borderId="0" xfId="0" applyNumberFormat="1" applyFont="1" applyFill="1" applyBorder="1" applyAlignment="1" applyProtection="1">
      <alignment horizontal="center"/>
      <protection hidden="1"/>
    </xf>
    <xf numFmtId="0" fontId="42" fillId="3" borderId="0" xfId="0" applyFont="1" applyFill="1" applyBorder="1" applyAlignment="1" applyProtection="1">
      <alignment horizontal="left" vertical="top"/>
      <protection hidden="1"/>
    </xf>
    <xf numFmtId="0" fontId="59" fillId="11" borderId="26" xfId="0" applyFont="1" applyFill="1" applyBorder="1" applyAlignment="1" applyProtection="1">
      <alignment vertical="center"/>
      <protection hidden="1"/>
    </xf>
    <xf numFmtId="1" fontId="15" fillId="3" borderId="0" xfId="0" applyNumberFormat="1" applyFont="1" applyFill="1" applyBorder="1" applyAlignment="1" applyProtection="1">
      <alignment horizontal="center" vertical="center"/>
      <protection hidden="1"/>
    </xf>
    <xf numFmtId="0" fontId="19" fillId="5" borderId="0" xfId="0" applyFont="1" applyFill="1" applyAlignment="1" applyProtection="1">
      <alignment vertical="center"/>
      <protection hidden="1"/>
    </xf>
    <xf numFmtId="0" fontId="19" fillId="0" borderId="0" xfId="0" applyFont="1" applyAlignment="1" applyProtection="1">
      <alignment vertical="center"/>
      <protection hidden="1"/>
    </xf>
    <xf numFmtId="4" fontId="5" fillId="3" borderId="25" xfId="0" applyNumberFormat="1" applyFont="1" applyFill="1" applyBorder="1" applyAlignment="1" applyProtection="1">
      <alignment horizontal="left"/>
      <protection hidden="1"/>
    </xf>
    <xf numFmtId="0" fontId="107" fillId="0" borderId="0" xfId="0" applyFont="1" applyAlignment="1" applyProtection="1">
      <alignment horizontal="center"/>
      <protection hidden="1"/>
    </xf>
    <xf numFmtId="0" fontId="5" fillId="2" borderId="0" xfId="0" applyFont="1" applyFill="1" applyBorder="1" applyAlignment="1" applyProtection="1">
      <alignment vertical="center"/>
      <protection hidden="1"/>
    </xf>
    <xf numFmtId="164" fontId="6" fillId="2" borderId="0" xfId="0" applyNumberFormat="1" applyFont="1" applyFill="1" applyBorder="1" applyProtection="1">
      <protection hidden="1"/>
    </xf>
    <xf numFmtId="164" fontId="6" fillId="2" borderId="6" xfId="0" applyNumberFormat="1" applyFont="1" applyFill="1" applyBorder="1" applyAlignment="1" applyProtection="1">
      <alignment horizontal="right"/>
      <protection hidden="1"/>
    </xf>
    <xf numFmtId="164" fontId="6" fillId="2" borderId="0" xfId="0" applyNumberFormat="1" applyFont="1" applyFill="1" applyBorder="1" applyAlignment="1" applyProtection="1">
      <alignment horizontal="right"/>
      <protection hidden="1"/>
    </xf>
    <xf numFmtId="168" fontId="5" fillId="2" borderId="1" xfId="0" applyNumberFormat="1" applyFont="1" applyFill="1" applyBorder="1" applyAlignment="1" applyProtection="1">
      <alignment horizontal="center"/>
      <protection hidden="1"/>
    </xf>
    <xf numFmtId="0" fontId="75" fillId="0" borderId="0" xfId="0" applyFont="1" applyProtection="1">
      <protection hidden="1"/>
    </xf>
    <xf numFmtId="3" fontId="5" fillId="2" borderId="1" xfId="0" applyNumberFormat="1" applyFont="1" applyFill="1" applyBorder="1" applyProtection="1">
      <protection locked="0"/>
    </xf>
    <xf numFmtId="4" fontId="5" fillId="2" borderId="9" xfId="0" applyNumberFormat="1" applyFont="1" applyFill="1" applyBorder="1" applyAlignment="1" applyProtection="1">
      <alignment vertical="center" wrapText="1"/>
      <protection hidden="1"/>
    </xf>
    <xf numFmtId="3" fontId="31" fillId="0" borderId="0" xfId="0" applyNumberFormat="1" applyFont="1" applyAlignment="1" applyProtection="1">
      <alignment horizontal="right"/>
      <protection hidden="1"/>
    </xf>
    <xf numFmtId="0" fontId="31" fillId="0" borderId="0" xfId="0" applyFont="1" applyAlignment="1" applyProtection="1">
      <alignment horizontal="center"/>
      <protection hidden="1"/>
    </xf>
    <xf numFmtId="0" fontId="31" fillId="0" borderId="0" xfId="0" applyFont="1" applyProtection="1">
      <protection hidden="1"/>
    </xf>
    <xf numFmtId="0" fontId="108" fillId="5" borderId="0" xfId="0" applyFont="1" applyFill="1" applyAlignment="1" applyProtection="1">
      <alignment horizontal="center"/>
      <protection hidden="1"/>
    </xf>
    <xf numFmtId="0" fontId="0" fillId="2" borderId="23" xfId="0" applyFill="1" applyBorder="1"/>
    <xf numFmtId="0" fontId="0" fillId="5" borderId="20" xfId="0" applyFill="1" applyBorder="1" applyProtection="1">
      <protection hidden="1"/>
    </xf>
    <xf numFmtId="0" fontId="8" fillId="5" borderId="21" xfId="0" applyFont="1" applyFill="1" applyBorder="1" applyAlignment="1" applyProtection="1">
      <alignment horizontal="center"/>
      <protection hidden="1"/>
    </xf>
    <xf numFmtId="0" fontId="8" fillId="5" borderId="23" xfId="0" applyFont="1" applyFill="1" applyBorder="1" applyAlignment="1" applyProtection="1">
      <alignment horizontal="center"/>
      <protection hidden="1"/>
    </xf>
    <xf numFmtId="0" fontId="23" fillId="2" borderId="5" xfId="0" applyFont="1" applyFill="1" applyBorder="1" applyProtection="1">
      <protection hidden="1"/>
    </xf>
    <xf numFmtId="0" fontId="67" fillId="2" borderId="21" xfId="0" applyFont="1" applyFill="1" applyBorder="1" applyAlignment="1" applyProtection="1">
      <alignment vertical="center"/>
      <protection hidden="1"/>
    </xf>
    <xf numFmtId="0" fontId="0" fillId="0" borderId="0" xfId="0" applyAlignment="1">
      <alignment vertical="top"/>
    </xf>
    <xf numFmtId="4" fontId="76" fillId="0" borderId="0" xfId="0" applyNumberFormat="1" applyFont="1" applyFill="1" applyBorder="1" applyAlignment="1">
      <alignment horizontal="right"/>
    </xf>
    <xf numFmtId="3" fontId="31" fillId="3" borderId="0" xfId="0" applyNumberFormat="1" applyFont="1" applyFill="1" applyBorder="1" applyAlignment="1" applyProtection="1">
      <alignment horizontal="right" vertical="center"/>
      <protection hidden="1"/>
    </xf>
    <xf numFmtId="0" fontId="108" fillId="0" borderId="0" xfId="0" applyFont="1" applyProtection="1">
      <protection hidden="1"/>
    </xf>
    <xf numFmtId="0" fontId="0" fillId="5" borderId="0" xfId="0" applyFill="1"/>
    <xf numFmtId="0" fontId="8" fillId="2" borderId="0" xfId="0" applyFont="1" applyFill="1" applyBorder="1" applyAlignment="1" applyProtection="1">
      <protection hidden="1"/>
    </xf>
    <xf numFmtId="0" fontId="6" fillId="2" borderId="0" xfId="0" applyFont="1" applyFill="1" applyBorder="1" applyAlignment="1" applyProtection="1">
      <alignment horizontal="left"/>
      <protection hidden="1"/>
    </xf>
    <xf numFmtId="0" fontId="6" fillId="2" borderId="0" xfId="0" applyFont="1" applyFill="1" applyBorder="1" applyAlignment="1" applyProtection="1">
      <protection hidden="1"/>
    </xf>
    <xf numFmtId="0" fontId="6" fillId="2" borderId="0" xfId="0" applyFont="1" applyFill="1" applyBorder="1" applyAlignment="1" applyProtection="1">
      <alignment vertical="top"/>
      <protection hidden="1"/>
    </xf>
    <xf numFmtId="0" fontId="0" fillId="2" borderId="1" xfId="0" applyFill="1" applyBorder="1"/>
    <xf numFmtId="0" fontId="0" fillId="0" borderId="0" xfId="0" applyBorder="1" applyAlignment="1" applyProtection="1">
      <protection hidden="1"/>
    </xf>
    <xf numFmtId="0" fontId="5" fillId="2" borderId="3" xfId="0" applyFont="1" applyFill="1" applyBorder="1" applyProtection="1">
      <protection hidden="1"/>
    </xf>
    <xf numFmtId="0" fontId="0" fillId="0" borderId="0" xfId="0" applyAlignment="1"/>
    <xf numFmtId="0" fontId="8" fillId="2" borderId="0" xfId="0" applyFont="1" applyFill="1" applyAlignment="1" applyProtection="1">
      <protection hidden="1"/>
    </xf>
    <xf numFmtId="0" fontId="6" fillId="3" borderId="0" xfId="0" applyFont="1" applyFill="1" applyAlignment="1" applyProtection="1">
      <protection hidden="1"/>
    </xf>
    <xf numFmtId="0" fontId="5" fillId="3" borderId="0" xfId="0" applyFont="1" applyFill="1" applyAlignment="1" applyProtection="1">
      <protection hidden="1"/>
    </xf>
    <xf numFmtId="0" fontId="5" fillId="3" borderId="1" xfId="0" applyFont="1" applyFill="1" applyBorder="1" applyAlignment="1" applyProtection="1">
      <protection hidden="1"/>
    </xf>
    <xf numFmtId="0" fontId="5" fillId="3" borderId="0" xfId="0" applyFont="1" applyFill="1" applyBorder="1" applyAlignment="1" applyProtection="1">
      <protection hidden="1"/>
    </xf>
    <xf numFmtId="0" fontId="6" fillId="3" borderId="5" xfId="0" applyFont="1" applyFill="1" applyBorder="1" applyAlignment="1" applyProtection="1">
      <protection hidden="1"/>
    </xf>
    <xf numFmtId="0" fontId="8" fillId="0" borderId="0" xfId="0" applyFont="1" applyAlignment="1"/>
    <xf numFmtId="0" fontId="1" fillId="3" borderId="3" xfId="0" applyFont="1" applyFill="1" applyBorder="1" applyAlignment="1" applyProtection="1">
      <alignment horizontal="center"/>
      <protection hidden="1"/>
    </xf>
    <xf numFmtId="0" fontId="16" fillId="3" borderId="0" xfId="0" applyFont="1" applyFill="1" applyAlignment="1" applyProtection="1">
      <alignment vertical="center"/>
      <protection hidden="1"/>
    </xf>
    <xf numFmtId="0" fontId="4" fillId="3" borderId="0" xfId="0" applyFont="1" applyFill="1" applyBorder="1" applyAlignment="1" applyProtection="1">
      <alignment vertical="center"/>
      <protection hidden="1"/>
    </xf>
    <xf numFmtId="0" fontId="19" fillId="0" borderId="13" xfId="0" applyFont="1" applyBorder="1" applyAlignment="1" applyProtection="1">
      <alignment horizontal="right"/>
      <protection hidden="1"/>
    </xf>
    <xf numFmtId="0" fontId="19" fillId="0" borderId="61" xfId="0" applyFont="1" applyBorder="1" applyAlignment="1" applyProtection="1">
      <alignment horizontal="right"/>
      <protection hidden="1"/>
    </xf>
    <xf numFmtId="0" fontId="51" fillId="3" borderId="0" xfId="0" applyFont="1" applyFill="1" applyBorder="1" applyAlignment="1" applyProtection="1">
      <alignment horizontal="left"/>
      <protection hidden="1"/>
    </xf>
    <xf numFmtId="4" fontId="6" fillId="3" borderId="0" xfId="0" applyNumberFormat="1" applyFont="1" applyFill="1" applyBorder="1" applyProtection="1">
      <protection hidden="1"/>
    </xf>
    <xf numFmtId="37" fontId="41" fillId="3" borderId="0" xfId="0" applyNumberFormat="1" applyFont="1" applyFill="1" applyBorder="1" applyAlignment="1" applyProtection="1">
      <alignment horizontal="right"/>
      <protection hidden="1"/>
    </xf>
    <xf numFmtId="172" fontId="9" fillId="3" borderId="0" xfId="0" applyNumberFormat="1" applyFont="1" applyFill="1" applyBorder="1" applyProtection="1">
      <protection hidden="1"/>
    </xf>
    <xf numFmtId="39" fontId="6" fillId="3" borderId="0" xfId="0" applyNumberFormat="1" applyFont="1" applyFill="1" applyBorder="1" applyAlignment="1" applyProtection="1">
      <alignment horizontal="right"/>
      <protection hidden="1"/>
    </xf>
    <xf numFmtId="39" fontId="108" fillId="3" borderId="0" xfId="0" applyNumberFormat="1" applyFont="1" applyFill="1" applyBorder="1" applyProtection="1">
      <protection hidden="1"/>
    </xf>
    <xf numFmtId="39" fontId="76" fillId="3" borderId="0" xfId="0" applyNumberFormat="1" applyFont="1" applyFill="1" applyBorder="1" applyAlignment="1" applyProtection="1">
      <alignment horizontal="left"/>
      <protection hidden="1"/>
    </xf>
    <xf numFmtId="0" fontId="13" fillId="3" borderId="0" xfId="0" applyFont="1" applyFill="1" applyBorder="1" applyProtection="1">
      <protection hidden="1"/>
    </xf>
    <xf numFmtId="0" fontId="19" fillId="3" borderId="5" xfId="0" applyFont="1" applyFill="1" applyBorder="1" applyProtection="1">
      <protection hidden="1"/>
    </xf>
    <xf numFmtId="0" fontId="4" fillId="3" borderId="5" xfId="0" applyFont="1" applyFill="1" applyBorder="1" applyProtection="1">
      <protection hidden="1"/>
    </xf>
    <xf numFmtId="4" fontId="4" fillId="3" borderId="0" xfId="0" applyNumberFormat="1" applyFont="1" applyFill="1" applyBorder="1" applyAlignment="1" applyProtection="1">
      <alignment horizontal="right"/>
      <protection hidden="1"/>
    </xf>
    <xf numFmtId="4" fontId="12" fillId="3" borderId="1" xfId="0" applyNumberFormat="1" applyFont="1" applyFill="1" applyBorder="1" applyProtection="1">
      <protection hidden="1"/>
    </xf>
    <xf numFmtId="4" fontId="4" fillId="3" borderId="0" xfId="0" applyNumberFormat="1" applyFont="1" applyFill="1" applyBorder="1" applyAlignment="1" applyProtection="1">
      <protection hidden="1"/>
    </xf>
    <xf numFmtId="0" fontId="19" fillId="3" borderId="0" xfId="0" applyFont="1" applyFill="1" applyBorder="1" applyAlignment="1" applyProtection="1">
      <alignment vertical="center"/>
      <protection hidden="1"/>
    </xf>
    <xf numFmtId="4" fontId="4" fillId="3" borderId="0" xfId="0" applyNumberFormat="1" applyFont="1" applyFill="1" applyBorder="1" applyProtection="1">
      <protection hidden="1"/>
    </xf>
    <xf numFmtId="0" fontId="19" fillId="0" borderId="0" xfId="0" applyFont="1"/>
    <xf numFmtId="4" fontId="19" fillId="3" borderId="0" xfId="0" applyNumberFormat="1" applyFont="1" applyFill="1" applyBorder="1" applyAlignment="1" applyProtection="1">
      <protection hidden="1"/>
    </xf>
    <xf numFmtId="0" fontId="19" fillId="3" borderId="0" xfId="0" applyFont="1" applyFill="1" applyBorder="1" applyAlignment="1" applyProtection="1">
      <protection hidden="1"/>
    </xf>
    <xf numFmtId="4" fontId="19" fillId="3" borderId="0" xfId="0" applyNumberFormat="1" applyFont="1" applyFill="1" applyBorder="1" applyAlignment="1" applyProtection="1">
      <alignment vertical="center"/>
      <protection hidden="1"/>
    </xf>
    <xf numFmtId="4" fontId="4" fillId="3" borderId="0" xfId="0" applyNumberFormat="1" applyFont="1" applyFill="1" applyBorder="1" applyAlignment="1" applyProtection="1">
      <alignment vertical="center"/>
      <protection hidden="1"/>
    </xf>
    <xf numFmtId="0" fontId="4" fillId="0" borderId="0" xfId="0" applyFont="1" applyAlignment="1" applyProtection="1">
      <alignment vertical="center"/>
      <protection hidden="1"/>
    </xf>
    <xf numFmtId="0" fontId="19" fillId="0" borderId="0" xfId="0" applyFont="1" applyAlignment="1">
      <alignment vertical="center"/>
    </xf>
    <xf numFmtId="0" fontId="4" fillId="3" borderId="0" xfId="0" applyFont="1" applyFill="1" applyBorder="1" applyAlignment="1" applyProtection="1">
      <protection hidden="1"/>
    </xf>
    <xf numFmtId="0" fontId="19" fillId="0" borderId="0" xfId="0" applyFont="1" applyAlignment="1"/>
    <xf numFmtId="0" fontId="4" fillId="0" borderId="0" xfId="0" applyFont="1" applyAlignment="1" applyProtection="1">
      <protection hidden="1"/>
    </xf>
    <xf numFmtId="0" fontId="16" fillId="3" borderId="0" xfId="0" applyFont="1" applyFill="1" applyBorder="1" applyAlignment="1" applyProtection="1">
      <alignment vertical="center"/>
      <protection hidden="1"/>
    </xf>
    <xf numFmtId="0" fontId="55" fillId="3" borderId="0" xfId="0" applyFont="1" applyFill="1" applyBorder="1" applyAlignment="1" applyProtection="1">
      <alignment vertical="center"/>
      <protection hidden="1"/>
    </xf>
    <xf numFmtId="4" fontId="55" fillId="3" borderId="0" xfId="0" applyNumberFormat="1" applyFont="1" applyFill="1" applyBorder="1" applyAlignment="1" applyProtection="1">
      <alignment vertical="center"/>
      <protection hidden="1"/>
    </xf>
    <xf numFmtId="0" fontId="55" fillId="0" borderId="0" xfId="0" applyFont="1" applyAlignment="1" applyProtection="1">
      <alignment vertical="center"/>
      <protection hidden="1"/>
    </xf>
    <xf numFmtId="0" fontId="0" fillId="0" borderId="0" xfId="0" applyAlignment="1">
      <alignment vertical="center"/>
    </xf>
    <xf numFmtId="4" fontId="19" fillId="3" borderId="5" xfId="0" applyNumberFormat="1" applyFont="1" applyFill="1" applyBorder="1" applyProtection="1">
      <protection hidden="1"/>
    </xf>
    <xf numFmtId="0" fontId="57" fillId="11" borderId="1" xfId="0" applyFont="1" applyFill="1" applyBorder="1" applyProtection="1">
      <protection hidden="1"/>
    </xf>
    <xf numFmtId="0" fontId="4" fillId="3" borderId="0" xfId="0" applyFont="1" applyFill="1" applyBorder="1" applyAlignment="1" applyProtection="1">
      <alignment horizontal="center" vertical="center"/>
      <protection hidden="1"/>
    </xf>
    <xf numFmtId="0" fontId="19" fillId="3" borderId="5" xfId="0" applyFont="1" applyFill="1" applyBorder="1" applyAlignment="1" applyProtection="1">
      <alignment horizontal="center"/>
      <protection hidden="1"/>
    </xf>
    <xf numFmtId="0" fontId="4" fillId="3" borderId="3" xfId="0" applyFont="1" applyFill="1" applyBorder="1" applyAlignment="1" applyProtection="1">
      <alignment horizontal="center" vertical="center"/>
      <protection locked="0"/>
    </xf>
    <xf numFmtId="39" fontId="0" fillId="3" borderId="3" xfId="0" applyNumberFormat="1" applyFill="1" applyBorder="1" applyProtection="1">
      <protection hidden="1"/>
    </xf>
    <xf numFmtId="0" fontId="8" fillId="2" borderId="0" xfId="0" applyFont="1" applyFill="1" applyBorder="1" applyAlignment="1" applyProtection="1">
      <alignment horizontal="center"/>
      <protection hidden="1"/>
    </xf>
    <xf numFmtId="3" fontId="5" fillId="3" borderId="0" xfId="0" applyNumberFormat="1" applyFont="1" applyFill="1" applyBorder="1" applyAlignment="1" applyProtection="1">
      <alignment horizontal="center"/>
      <protection hidden="1"/>
    </xf>
    <xf numFmtId="0" fontId="5" fillId="15" borderId="0" xfId="0" applyFont="1" applyFill="1" applyBorder="1" applyAlignment="1" applyProtection="1">
      <alignment horizontal="left"/>
      <protection hidden="1"/>
    </xf>
    <xf numFmtId="0" fontId="15" fillId="15" borderId="0" xfId="0" applyFont="1" applyFill="1" applyBorder="1" applyAlignment="1" applyProtection="1">
      <alignment horizontal="right"/>
      <protection hidden="1"/>
    </xf>
    <xf numFmtId="0" fontId="78" fillId="5" borderId="0" xfId="2" applyFill="1" applyBorder="1" applyAlignment="1" applyProtection="1">
      <alignment horizontal="center"/>
      <protection hidden="1"/>
    </xf>
    <xf numFmtId="39" fontId="31" fillId="3" borderId="6" xfId="0" applyNumberFormat="1" applyFont="1" applyFill="1" applyBorder="1" applyAlignment="1" applyProtection="1">
      <alignment horizontal="right"/>
      <protection hidden="1"/>
    </xf>
    <xf numFmtId="0" fontId="4" fillId="3" borderId="3" xfId="0" applyFont="1" applyFill="1" applyBorder="1" applyAlignment="1" applyProtection="1">
      <alignment horizontal="left"/>
      <protection hidden="1"/>
    </xf>
    <xf numFmtId="0" fontId="23" fillId="3" borderId="0" xfId="0" applyFont="1" applyFill="1" applyBorder="1" applyAlignment="1" applyProtection="1">
      <alignment horizontal="center"/>
      <protection hidden="1"/>
    </xf>
    <xf numFmtId="0" fontId="50" fillId="3" borderId="0" xfId="0" applyFont="1" applyFill="1" applyBorder="1" applyAlignment="1" applyProtection="1">
      <alignment horizontal="center"/>
      <protection hidden="1"/>
    </xf>
    <xf numFmtId="0" fontId="5" fillId="3" borderId="3" xfId="0" applyFont="1" applyFill="1" applyBorder="1" applyAlignment="1" applyProtection="1">
      <alignment horizontal="left"/>
      <protection hidden="1"/>
    </xf>
    <xf numFmtId="0" fontId="5" fillId="3" borderId="10" xfId="0" applyFont="1" applyFill="1" applyBorder="1" applyAlignment="1" applyProtection="1">
      <alignment horizontal="left"/>
      <protection hidden="1"/>
    </xf>
    <xf numFmtId="0" fontId="5" fillId="3" borderId="1" xfId="0" applyFont="1" applyFill="1" applyBorder="1" applyAlignment="1" applyProtection="1">
      <alignment horizontal="left"/>
      <protection hidden="1"/>
    </xf>
    <xf numFmtId="0" fontId="50" fillId="3" borderId="1" xfId="0" applyFont="1" applyFill="1" applyBorder="1" applyAlignment="1" applyProtection="1">
      <alignment horizontal="center"/>
      <protection hidden="1"/>
    </xf>
    <xf numFmtId="4" fontId="5" fillId="3" borderId="30" xfId="0" applyNumberFormat="1" applyFont="1" applyFill="1" applyBorder="1" applyAlignment="1" applyProtection="1">
      <alignment horizontal="right"/>
      <protection hidden="1"/>
    </xf>
    <xf numFmtId="0" fontId="50" fillId="3" borderId="9" xfId="0" applyFont="1" applyFill="1" applyBorder="1" applyAlignment="1" applyProtection="1">
      <alignment horizontal="center"/>
      <protection hidden="1"/>
    </xf>
    <xf numFmtId="3" fontId="8" fillId="3" borderId="0" xfId="0" applyNumberFormat="1" applyFont="1" applyFill="1" applyBorder="1" applyAlignment="1" applyProtection="1">
      <alignment horizontal="center"/>
      <protection hidden="1"/>
    </xf>
    <xf numFmtId="37" fontId="50" fillId="3" borderId="0" xfId="0" applyNumberFormat="1" applyFont="1" applyFill="1" applyBorder="1" applyAlignment="1" applyProtection="1">
      <alignment horizontal="right"/>
      <protection hidden="1"/>
    </xf>
    <xf numFmtId="0" fontId="78" fillId="0" borderId="0" xfId="2" applyFill="1" applyBorder="1" applyAlignment="1" applyProtection="1">
      <alignment horizontal="center"/>
    </xf>
    <xf numFmtId="0" fontId="4" fillId="5" borderId="0" xfId="0" applyFont="1" applyFill="1" applyBorder="1" applyAlignment="1" applyProtection="1">
      <alignment horizontal="center" vertical="center"/>
      <protection hidden="1"/>
    </xf>
    <xf numFmtId="0" fontId="78" fillId="0" borderId="0" xfId="2" applyFill="1" applyBorder="1" applyAlignment="1" applyProtection="1">
      <alignment horizontal="center"/>
      <protection hidden="1"/>
    </xf>
    <xf numFmtId="0" fontId="5" fillId="5" borderId="0" xfId="0" applyFont="1" applyFill="1" applyBorder="1" applyProtection="1">
      <protection hidden="1"/>
    </xf>
    <xf numFmtId="0" fontId="0" fillId="5" borderId="0" xfId="0" applyFill="1" applyAlignment="1">
      <alignment vertical="center"/>
    </xf>
    <xf numFmtId="0" fontId="19" fillId="5" borderId="0" xfId="0" applyFont="1" applyFill="1" applyBorder="1" applyProtection="1">
      <protection hidden="1"/>
    </xf>
    <xf numFmtId="0" fontId="12" fillId="5" borderId="0" xfId="0" applyFont="1" applyFill="1" applyBorder="1" applyProtection="1">
      <protection hidden="1"/>
    </xf>
    <xf numFmtId="0" fontId="0" fillId="5" borderId="0" xfId="0" applyFill="1" applyBorder="1"/>
    <xf numFmtId="0" fontId="6" fillId="5" borderId="0" xfId="0" applyFont="1" applyFill="1" applyBorder="1" applyProtection="1">
      <protection hidden="1"/>
    </xf>
    <xf numFmtId="4" fontId="5" fillId="5" borderId="0" xfId="0" applyNumberFormat="1" applyFont="1" applyFill="1" applyBorder="1" applyProtection="1">
      <protection hidden="1"/>
    </xf>
    <xf numFmtId="39" fontId="5" fillId="5" borderId="0" xfId="0" applyNumberFormat="1" applyFont="1" applyFill="1" applyBorder="1" applyAlignment="1" applyProtection="1">
      <alignment horizontal="right"/>
      <protection hidden="1"/>
    </xf>
    <xf numFmtId="0" fontId="1" fillId="5" borderId="0" xfId="0" applyFont="1" applyFill="1" applyProtection="1"/>
    <xf numFmtId="0" fontId="52" fillId="5" borderId="0" xfId="0" applyFont="1" applyFill="1" applyProtection="1"/>
    <xf numFmtId="4" fontId="0" fillId="5" borderId="0" xfId="0" applyNumberFormat="1" applyFill="1" applyProtection="1"/>
    <xf numFmtId="0" fontId="0" fillId="5" borderId="0" xfId="0" applyFill="1" applyAlignment="1">
      <alignment horizontal="center"/>
    </xf>
    <xf numFmtId="0" fontId="0" fillId="5" borderId="0" xfId="0" applyFill="1" applyBorder="1" applyAlignment="1">
      <alignment horizontal="center"/>
    </xf>
    <xf numFmtId="0" fontId="0" fillId="5" borderId="0" xfId="0" applyFill="1" applyAlignment="1"/>
    <xf numFmtId="0" fontId="0" fillId="5" borderId="0" xfId="0" applyFill="1" applyAlignment="1">
      <alignment vertical="top"/>
    </xf>
    <xf numFmtId="0" fontId="8" fillId="5" borderId="0" xfId="0" applyFont="1" applyFill="1" applyBorder="1" applyAlignment="1" applyProtection="1">
      <alignment wrapText="1"/>
      <protection hidden="1"/>
    </xf>
    <xf numFmtId="0" fontId="22" fillId="5" borderId="0" xfId="0" applyFont="1" applyFill="1" applyBorder="1" applyAlignment="1" applyProtection="1">
      <alignment horizontal="center" vertical="center"/>
      <protection hidden="1"/>
    </xf>
    <xf numFmtId="0" fontId="8" fillId="5" borderId="0" xfId="0" applyFont="1" applyFill="1" applyBorder="1" applyAlignment="1" applyProtection="1">
      <alignment horizontal="left"/>
      <protection hidden="1"/>
    </xf>
    <xf numFmtId="0" fontId="17" fillId="5" borderId="0" xfId="0" applyFont="1" applyFill="1" applyBorder="1" applyAlignment="1" applyProtection="1">
      <alignment horizontal="right" wrapText="1"/>
      <protection hidden="1"/>
    </xf>
    <xf numFmtId="0" fontId="92" fillId="5" borderId="0" xfId="0" applyFont="1" applyFill="1" applyBorder="1" applyAlignment="1" applyProtection="1">
      <alignment horizontal="left"/>
      <protection hidden="1"/>
    </xf>
    <xf numFmtId="4" fontId="23" fillId="5" borderId="0" xfId="0" applyNumberFormat="1" applyFont="1" applyFill="1" applyBorder="1" applyProtection="1">
      <protection hidden="1"/>
    </xf>
    <xf numFmtId="0" fontId="23" fillId="5" borderId="0" xfId="0" applyFont="1" applyFill="1" applyBorder="1" applyProtection="1">
      <protection hidden="1"/>
    </xf>
    <xf numFmtId="4" fontId="23" fillId="5" borderId="0" xfId="0" applyNumberFormat="1" applyFont="1" applyFill="1" applyBorder="1" applyAlignment="1" applyProtection="1">
      <alignment horizontal="left" vertical="center" wrapText="1"/>
      <protection hidden="1"/>
    </xf>
    <xf numFmtId="4" fontId="80" fillId="5" borderId="0" xfId="0" applyNumberFormat="1" applyFont="1" applyFill="1" applyBorder="1" applyProtection="1">
      <protection hidden="1"/>
    </xf>
    <xf numFmtId="39" fontId="23" fillId="5" borderId="0" xfId="0" applyNumberFormat="1" applyFont="1" applyFill="1" applyBorder="1" applyAlignment="1" applyProtection="1">
      <alignment horizontal="right"/>
      <protection hidden="1"/>
    </xf>
    <xf numFmtId="1" fontId="23" fillId="5" borderId="0" xfId="0" applyNumberFormat="1" applyFont="1" applyFill="1" applyBorder="1" applyAlignment="1" applyProtection="1">
      <alignment horizontal="right" vertical="center"/>
      <protection hidden="1"/>
    </xf>
    <xf numFmtId="4" fontId="23" fillId="5" borderId="0" xfId="0" applyNumberFormat="1" applyFont="1" applyFill="1" applyBorder="1" applyAlignment="1" applyProtection="1">
      <alignment horizontal="right"/>
      <protection hidden="1"/>
    </xf>
    <xf numFmtId="1" fontId="97" fillId="5" borderId="0" xfId="0" applyNumberFormat="1" applyFont="1" applyFill="1" applyBorder="1" applyAlignment="1" applyProtection="1">
      <alignment horizontal="center"/>
      <protection hidden="1"/>
    </xf>
    <xf numFmtId="0" fontId="4" fillId="3" borderId="1" xfId="0" applyFont="1" applyFill="1" applyBorder="1" applyProtection="1">
      <protection hidden="1"/>
    </xf>
    <xf numFmtId="0" fontId="0" fillId="5" borderId="0" xfId="0" applyFill="1" applyAlignment="1" applyProtection="1">
      <protection hidden="1"/>
    </xf>
    <xf numFmtId="0" fontId="0" fillId="5" borderId="0" xfId="0" applyFill="1" applyAlignment="1" applyProtection="1">
      <alignment vertical="center"/>
      <protection hidden="1"/>
    </xf>
    <xf numFmtId="0" fontId="21" fillId="5" borderId="0" xfId="0" applyFont="1" applyFill="1" applyAlignment="1" applyProtection="1">
      <alignment vertical="center"/>
      <protection hidden="1"/>
    </xf>
    <xf numFmtId="0" fontId="67" fillId="5" borderId="0" xfId="0" applyFont="1" applyFill="1" applyProtection="1">
      <protection hidden="1"/>
    </xf>
    <xf numFmtId="0" fontId="0" fillId="5" borderId="0" xfId="0" applyFill="1" applyAlignment="1" applyProtection="1">
      <alignment vertical="top"/>
      <protection hidden="1"/>
    </xf>
    <xf numFmtId="0" fontId="8" fillId="3" borderId="0" xfId="0" applyFont="1" applyFill="1" applyBorder="1" applyAlignment="1" applyProtection="1">
      <alignment horizontal="left" vertical="center"/>
      <protection hidden="1"/>
    </xf>
    <xf numFmtId="0" fontId="4" fillId="2" borderId="11" xfId="0" applyFont="1" applyFill="1" applyBorder="1" applyAlignment="1" applyProtection="1">
      <alignment horizontal="center" vertical="top"/>
      <protection hidden="1"/>
    </xf>
    <xf numFmtId="0" fontId="91" fillId="2" borderId="0" xfId="0" applyFont="1" applyFill="1" applyAlignment="1" applyProtection="1">
      <alignment horizontal="right" vertical="top" wrapText="1"/>
      <protection hidden="1"/>
    </xf>
    <xf numFmtId="0" fontId="91" fillId="2" borderId="5" xfId="0" applyFont="1" applyFill="1" applyBorder="1" applyAlignment="1" applyProtection="1">
      <alignment horizontal="right" vertical="top" wrapText="1"/>
      <protection hidden="1"/>
    </xf>
    <xf numFmtId="0" fontId="0" fillId="7" borderId="0" xfId="0" applyFill="1" applyProtection="1">
      <protection hidden="1"/>
    </xf>
    <xf numFmtId="0" fontId="97" fillId="5" borderId="0" xfId="0" applyFont="1" applyFill="1" applyProtection="1">
      <protection hidden="1"/>
    </xf>
    <xf numFmtId="1" fontId="15" fillId="7" borderId="0" xfId="0" applyNumberFormat="1" applyFont="1" applyFill="1" applyBorder="1" applyAlignment="1" applyProtection="1">
      <alignment horizontal="center"/>
      <protection hidden="1"/>
    </xf>
    <xf numFmtId="1" fontId="21" fillId="7" borderId="0" xfId="0" applyNumberFormat="1" applyFont="1" applyFill="1" applyBorder="1" applyAlignment="1" applyProtection="1">
      <alignment horizontal="left"/>
      <protection hidden="1"/>
    </xf>
    <xf numFmtId="1" fontId="4" fillId="7" borderId="0" xfId="0" applyNumberFormat="1" applyFont="1" applyFill="1" applyBorder="1" applyAlignment="1" applyProtection="1">
      <alignment horizontal="center"/>
      <protection hidden="1"/>
    </xf>
    <xf numFmtId="39" fontId="8" fillId="7" borderId="0" xfId="0" applyNumberFormat="1" applyFont="1" applyFill="1" applyBorder="1" applyAlignment="1" applyProtection="1">
      <alignment horizontal="right"/>
      <protection hidden="1"/>
    </xf>
    <xf numFmtId="39" fontId="19" fillId="7" borderId="0" xfId="0" applyNumberFormat="1" applyFont="1" applyFill="1" applyBorder="1" applyAlignment="1" applyProtection="1">
      <alignment horizontal="right"/>
      <protection hidden="1"/>
    </xf>
    <xf numFmtId="1" fontId="15" fillId="7" borderId="0" xfId="0" applyNumberFormat="1" applyFont="1" applyFill="1" applyBorder="1" applyAlignment="1" applyProtection="1">
      <alignment horizontal="center" vertical="center"/>
      <protection hidden="1"/>
    </xf>
    <xf numFmtId="39" fontId="31" fillId="7" borderId="0" xfId="0" applyNumberFormat="1" applyFont="1" applyFill="1" applyBorder="1" applyAlignment="1" applyProtection="1">
      <alignment horizontal="right"/>
      <protection hidden="1"/>
    </xf>
    <xf numFmtId="4" fontId="11" fillId="7" borderId="0" xfId="0" applyNumberFormat="1" applyFont="1" applyFill="1" applyBorder="1" applyAlignment="1" applyProtection="1">
      <alignment horizontal="right"/>
      <protection hidden="1"/>
    </xf>
    <xf numFmtId="4" fontId="5" fillId="7" borderId="0" xfId="0" applyNumberFormat="1" applyFont="1" applyFill="1" applyBorder="1" applyAlignment="1" applyProtection="1">
      <alignment horizontal="right"/>
      <protection hidden="1"/>
    </xf>
    <xf numFmtId="39" fontId="64" fillId="7" borderId="0" xfId="0" applyNumberFormat="1" applyFont="1" applyFill="1" applyBorder="1" applyProtection="1">
      <protection hidden="1"/>
    </xf>
    <xf numFmtId="1" fontId="5" fillId="7" borderId="0" xfId="0" applyNumberFormat="1" applyFont="1" applyFill="1" applyBorder="1" applyAlignment="1" applyProtection="1">
      <alignment horizontal="center"/>
      <protection hidden="1"/>
    </xf>
    <xf numFmtId="4" fontId="0" fillId="5" borderId="0" xfId="0" applyNumberFormat="1" applyFill="1" applyBorder="1" applyAlignment="1" applyProtection="1">
      <alignment horizontal="right"/>
      <protection hidden="1"/>
    </xf>
    <xf numFmtId="1" fontId="5" fillId="3" borderId="0" xfId="0" applyNumberFormat="1" applyFont="1" applyFill="1" applyBorder="1" applyAlignment="1" applyProtection="1">
      <alignment horizontal="center"/>
      <protection hidden="1"/>
    </xf>
    <xf numFmtId="0" fontId="1" fillId="5" borderId="0" xfId="0" applyFont="1" applyFill="1" applyProtection="1">
      <protection hidden="1"/>
    </xf>
    <xf numFmtId="4" fontId="0" fillId="5" borderId="0" xfId="0" applyNumberFormat="1" applyFill="1" applyProtection="1">
      <protection hidden="1"/>
    </xf>
    <xf numFmtId="4" fontId="15" fillId="3" borderId="0" xfId="0" applyNumberFormat="1" applyFont="1" applyFill="1" applyBorder="1" applyAlignment="1" applyProtection="1">
      <alignment horizontal="center"/>
      <protection hidden="1"/>
    </xf>
    <xf numFmtId="1" fontId="4" fillId="3" borderId="7" xfId="0" applyNumberFormat="1" applyFont="1" applyFill="1" applyBorder="1" applyAlignment="1" applyProtection="1">
      <alignment horizontal="right"/>
      <protection hidden="1"/>
    </xf>
    <xf numFmtId="0" fontId="28" fillId="3" borderId="0" xfId="0" applyFont="1" applyFill="1" applyBorder="1" applyAlignment="1" applyProtection="1">
      <alignment horizontal="center"/>
      <protection hidden="1"/>
    </xf>
    <xf numFmtId="0" fontId="15" fillId="3" borderId="0" xfId="0" applyFont="1" applyFill="1" applyBorder="1" applyAlignment="1" applyProtection="1">
      <alignment horizontal="left"/>
      <protection hidden="1"/>
    </xf>
    <xf numFmtId="0" fontId="17" fillId="3" borderId="0" xfId="0" applyFont="1" applyFill="1" applyBorder="1" applyAlignment="1" applyProtection="1">
      <alignment horizontal="left"/>
      <protection hidden="1"/>
    </xf>
    <xf numFmtId="4" fontId="8" fillId="3" borderId="7" xfId="0" applyNumberFormat="1" applyFont="1" applyFill="1" applyBorder="1" applyAlignment="1" applyProtection="1">
      <alignment horizontal="left"/>
      <protection hidden="1"/>
    </xf>
    <xf numFmtId="0" fontId="97" fillId="5" borderId="0" xfId="0" applyFont="1" applyFill="1" applyAlignment="1" applyProtection="1">
      <alignment horizontal="center"/>
      <protection hidden="1"/>
    </xf>
    <xf numFmtId="0" fontId="31" fillId="0" borderId="0" xfId="0" applyFont="1" applyFill="1" applyProtection="1">
      <protection hidden="1"/>
    </xf>
    <xf numFmtId="0" fontId="8" fillId="0" borderId="0" xfId="0" applyFont="1" applyAlignment="1" applyProtection="1">
      <alignment horizontal="left"/>
      <protection hidden="1"/>
    </xf>
    <xf numFmtId="4" fontId="8" fillId="7" borderId="16" xfId="0" applyNumberFormat="1" applyFont="1" applyFill="1" applyBorder="1" applyProtection="1">
      <protection hidden="1"/>
    </xf>
    <xf numFmtId="4" fontId="8" fillId="7" borderId="7" xfId="0" applyNumberFormat="1" applyFont="1" applyFill="1" applyBorder="1" applyProtection="1">
      <protection hidden="1"/>
    </xf>
    <xf numFmtId="0" fontId="5" fillId="3" borderId="0" xfId="0" applyFont="1" applyFill="1" applyBorder="1" applyAlignment="1" applyProtection="1">
      <alignment horizontal="left" vertical="center"/>
      <protection hidden="1"/>
    </xf>
    <xf numFmtId="4" fontId="55" fillId="3" borderId="0" xfId="0" applyNumberFormat="1" applyFont="1" applyFill="1" applyBorder="1" applyProtection="1">
      <protection hidden="1"/>
    </xf>
    <xf numFmtId="4" fontId="11" fillId="3" borderId="5" xfId="0" applyNumberFormat="1" applyFont="1" applyFill="1" applyBorder="1" applyProtection="1">
      <protection hidden="1"/>
    </xf>
    <xf numFmtId="4" fontId="8" fillId="3" borderId="5" xfId="0" applyNumberFormat="1" applyFont="1" applyFill="1" applyBorder="1" applyAlignment="1" applyProtection="1">
      <alignment horizontal="right"/>
      <protection hidden="1"/>
    </xf>
    <xf numFmtId="4" fontId="4" fillId="3" borderId="5" xfId="0" applyNumberFormat="1" applyFont="1" applyFill="1" applyBorder="1" applyProtection="1">
      <protection hidden="1"/>
    </xf>
    <xf numFmtId="4" fontId="55" fillId="3" borderId="1" xfId="0" applyNumberFormat="1" applyFont="1" applyFill="1" applyBorder="1" applyProtection="1">
      <protection hidden="1"/>
    </xf>
    <xf numFmtId="39" fontId="64" fillId="3" borderId="1" xfId="0" applyNumberFormat="1" applyFont="1" applyFill="1" applyBorder="1" applyProtection="1">
      <protection hidden="1"/>
    </xf>
    <xf numFmtId="4" fontId="8" fillId="3" borderId="8" xfId="0" applyNumberFormat="1" applyFont="1" applyFill="1" applyBorder="1" applyAlignment="1" applyProtection="1">
      <alignment horizontal="right"/>
      <protection hidden="1"/>
    </xf>
    <xf numFmtId="4" fontId="4" fillId="3" borderId="8" xfId="0" applyNumberFormat="1" applyFont="1" applyFill="1" applyBorder="1" applyProtection="1">
      <protection hidden="1"/>
    </xf>
    <xf numFmtId="0" fontId="13" fillId="3" borderId="0" xfId="0" applyFont="1" applyFill="1" applyBorder="1" applyAlignment="1" applyProtection="1">
      <alignment vertical="center"/>
      <protection hidden="1"/>
    </xf>
    <xf numFmtId="0" fontId="63" fillId="11" borderId="26" xfId="0" applyFont="1" applyFill="1" applyBorder="1" applyAlignment="1" applyProtection="1">
      <alignment horizontal="center"/>
      <protection hidden="1"/>
    </xf>
    <xf numFmtId="0" fontId="11" fillId="2" borderId="6" xfId="0" applyFont="1" applyFill="1" applyBorder="1" applyAlignment="1" applyProtection="1">
      <alignment vertical="top"/>
      <protection hidden="1"/>
    </xf>
    <xf numFmtId="0" fontId="5" fillId="2" borderId="0" xfId="0" applyFont="1" applyFill="1" applyBorder="1" applyAlignment="1" applyProtection="1">
      <alignment vertical="top"/>
      <protection hidden="1"/>
    </xf>
    <xf numFmtId="164" fontId="6" fillId="2" borderId="0" xfId="0" applyNumberFormat="1" applyFont="1" applyFill="1" applyBorder="1" applyAlignment="1" applyProtection="1">
      <alignment vertical="top"/>
      <protection hidden="1"/>
    </xf>
    <xf numFmtId="3" fontId="5" fillId="2" borderId="1" xfId="0" applyNumberFormat="1" applyFont="1" applyFill="1" applyBorder="1" applyAlignment="1" applyProtection="1">
      <alignment vertical="top"/>
      <protection hidden="1"/>
    </xf>
    <xf numFmtId="0" fontId="6" fillId="2" borderId="0" xfId="0" applyFont="1" applyFill="1" applyBorder="1" applyAlignment="1" applyProtection="1">
      <alignment horizontal="right" vertical="top"/>
      <protection hidden="1"/>
    </xf>
    <xf numFmtId="3" fontId="5" fillId="2" borderId="0" xfId="0" applyNumberFormat="1" applyFont="1" applyFill="1" applyBorder="1" applyAlignment="1" applyProtection="1">
      <alignment vertical="top"/>
      <protection hidden="1"/>
    </xf>
    <xf numFmtId="0" fontId="0" fillId="2" borderId="21" xfId="0" applyFill="1" applyBorder="1" applyAlignment="1" applyProtection="1">
      <alignment vertical="top"/>
      <protection hidden="1"/>
    </xf>
    <xf numFmtId="0" fontId="11" fillId="2" borderId="6" xfId="0" applyFont="1" applyFill="1" applyBorder="1" applyAlignment="1" applyProtection="1">
      <alignment horizontal="right" vertical="top"/>
      <protection hidden="1"/>
    </xf>
    <xf numFmtId="4" fontId="5" fillId="2" borderId="0" xfId="0" applyNumberFormat="1" applyFont="1" applyFill="1" applyBorder="1" applyAlignment="1" applyProtection="1">
      <alignment vertical="top"/>
      <protection hidden="1"/>
    </xf>
    <xf numFmtId="164" fontId="6" fillId="2" borderId="0" xfId="0" applyNumberFormat="1" applyFont="1" applyFill="1" applyBorder="1" applyAlignment="1" applyProtection="1">
      <alignment horizontal="right" vertical="center"/>
      <protection hidden="1"/>
    </xf>
    <xf numFmtId="0" fontId="11" fillId="2" borderId="22" xfId="0" applyFont="1" applyFill="1" applyBorder="1" applyAlignment="1" applyProtection="1">
      <alignment horizontal="right"/>
      <protection hidden="1"/>
    </xf>
    <xf numFmtId="0" fontId="11" fillId="2" borderId="5" xfId="0" applyFont="1" applyFill="1" applyBorder="1" applyAlignment="1" applyProtection="1">
      <alignment horizontal="right"/>
      <protection hidden="1"/>
    </xf>
    <xf numFmtId="0" fontId="1" fillId="3" borderId="16" xfId="0" applyFont="1" applyFill="1" applyBorder="1" applyAlignment="1" applyProtection="1">
      <alignment horizontal="right"/>
      <protection hidden="1"/>
    </xf>
    <xf numFmtId="164" fontId="67" fillId="2" borderId="0" xfId="0" applyNumberFormat="1" applyFont="1" applyFill="1" applyBorder="1" applyAlignment="1" applyProtection="1">
      <alignment horizontal="left"/>
      <protection hidden="1"/>
    </xf>
    <xf numFmtId="40" fontId="82" fillId="2" borderId="21" xfId="0" applyNumberFormat="1" applyFont="1" applyFill="1" applyBorder="1" applyAlignment="1" applyProtection="1">
      <alignment horizontal="right"/>
      <protection hidden="1"/>
    </xf>
    <xf numFmtId="0" fontId="5" fillId="0" borderId="1" xfId="0" applyFont="1" applyBorder="1" applyProtection="1">
      <protection locked="0"/>
    </xf>
    <xf numFmtId="40" fontId="70" fillId="5" borderId="0" xfId="0" applyNumberFormat="1" applyFont="1" applyFill="1" applyAlignment="1" applyProtection="1">
      <alignment horizontal="right"/>
      <protection hidden="1"/>
    </xf>
    <xf numFmtId="40" fontId="19" fillId="5" borderId="0" xfId="0" applyNumberFormat="1" applyFont="1" applyFill="1" applyBorder="1" applyProtection="1">
      <protection hidden="1"/>
    </xf>
    <xf numFmtId="40" fontId="0" fillId="5" borderId="0" xfId="0" applyNumberFormat="1" applyFill="1" applyBorder="1" applyProtection="1">
      <protection hidden="1"/>
    </xf>
    <xf numFmtId="38" fontId="5" fillId="5" borderId="0" xfId="0" applyNumberFormat="1" applyFont="1" applyFill="1" applyBorder="1" applyProtection="1">
      <protection hidden="1"/>
    </xf>
    <xf numFmtId="164" fontId="4" fillId="5" borderId="0" xfId="0" applyNumberFormat="1" applyFont="1" applyFill="1" applyBorder="1" applyProtection="1">
      <protection hidden="1"/>
    </xf>
    <xf numFmtId="164" fontId="19" fillId="5" borderId="0" xfId="0" applyNumberFormat="1" applyFont="1" applyFill="1" applyBorder="1" applyProtection="1">
      <protection hidden="1"/>
    </xf>
    <xf numFmtId="38" fontId="0" fillId="5" borderId="0" xfId="0" applyNumberFormat="1" applyFill="1" applyBorder="1" applyAlignment="1" applyProtection="1">
      <alignment horizontal="center"/>
      <protection hidden="1"/>
    </xf>
    <xf numFmtId="0" fontId="115" fillId="2" borderId="0" xfId="0" applyFont="1" applyFill="1" applyBorder="1" applyProtection="1">
      <protection hidden="1"/>
    </xf>
    <xf numFmtId="40" fontId="4" fillId="2" borderId="0" xfId="0" applyNumberFormat="1" applyFont="1" applyFill="1" applyBorder="1" applyAlignment="1" applyProtection="1">
      <alignment horizontal="right"/>
      <protection hidden="1"/>
    </xf>
    <xf numFmtId="164" fontId="19" fillId="2" borderId="1" xfId="0" applyNumberFormat="1" applyFont="1" applyFill="1" applyBorder="1" applyAlignment="1" applyProtection="1">
      <alignment horizontal="left"/>
      <protection hidden="1"/>
    </xf>
    <xf numFmtId="164" fontId="19" fillId="2" borderId="1" xfId="0" applyNumberFormat="1" applyFont="1" applyFill="1" applyBorder="1" applyAlignment="1" applyProtection="1">
      <alignment horizontal="right"/>
      <protection hidden="1"/>
    </xf>
    <xf numFmtId="164" fontId="4" fillId="2" borderId="22" xfId="0" applyNumberFormat="1" applyFont="1" applyFill="1" applyBorder="1" applyAlignment="1" applyProtection="1">
      <protection hidden="1"/>
    </xf>
    <xf numFmtId="164" fontId="80" fillId="2" borderId="0" xfId="0" applyNumberFormat="1" applyFont="1" applyFill="1" applyBorder="1" applyAlignment="1" applyProtection="1">
      <alignment horizontal="right"/>
      <protection hidden="1"/>
    </xf>
    <xf numFmtId="38" fontId="23" fillId="2" borderId="0" xfId="0" applyNumberFormat="1" applyFont="1" applyFill="1" applyBorder="1" applyAlignment="1" applyProtection="1">
      <alignment horizontal="center"/>
      <protection hidden="1"/>
    </xf>
    <xf numFmtId="38" fontId="19" fillId="2" borderId="0" xfId="0" applyNumberFormat="1" applyFont="1" applyFill="1" applyBorder="1" applyAlignment="1" applyProtection="1">
      <alignment horizontal="center"/>
      <protection hidden="1"/>
    </xf>
    <xf numFmtId="38" fontId="23" fillId="2" borderId="5" xfId="0" applyNumberFormat="1" applyFont="1" applyFill="1" applyBorder="1" applyAlignment="1" applyProtection="1">
      <alignment horizontal="center"/>
      <protection hidden="1"/>
    </xf>
    <xf numFmtId="14" fontId="23" fillId="2" borderId="5" xfId="0" applyNumberFormat="1" applyFont="1" applyFill="1" applyBorder="1" applyAlignment="1" applyProtection="1">
      <alignment horizontal="center"/>
      <protection hidden="1"/>
    </xf>
    <xf numFmtId="1" fontId="116" fillId="2" borderId="0" xfId="0" applyNumberFormat="1" applyFont="1" applyFill="1" applyBorder="1" applyProtection="1">
      <protection hidden="1"/>
    </xf>
    <xf numFmtId="0" fontId="8" fillId="5" borderId="20" xfId="0" applyFont="1" applyFill="1" applyBorder="1" applyAlignment="1" applyProtection="1">
      <alignment horizontal="center"/>
      <protection hidden="1"/>
    </xf>
    <xf numFmtId="164" fontId="19" fillId="2" borderId="0" xfId="0" applyNumberFormat="1" applyFont="1" applyFill="1" applyBorder="1" applyAlignment="1" applyProtection="1">
      <alignment horizontal="right"/>
      <protection hidden="1"/>
    </xf>
    <xf numFmtId="14" fontId="23" fillId="2" borderId="0" xfId="0" applyNumberFormat="1" applyFont="1" applyFill="1" applyBorder="1" applyAlignment="1" applyProtection="1">
      <alignment horizontal="center"/>
      <protection hidden="1"/>
    </xf>
    <xf numFmtId="0" fontId="117" fillId="2" borderId="0" xfId="0" applyFont="1" applyFill="1" applyBorder="1" applyProtection="1">
      <protection hidden="1"/>
    </xf>
    <xf numFmtId="40" fontId="80" fillId="2" borderId="0" xfId="0" applyNumberFormat="1" applyFont="1" applyFill="1" applyBorder="1" applyAlignment="1" applyProtection="1">
      <alignment horizontal="right"/>
      <protection hidden="1"/>
    </xf>
    <xf numFmtId="0" fontId="8" fillId="5" borderId="6"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164" fontId="80" fillId="2" borderId="0" xfId="0" applyNumberFormat="1" applyFont="1" applyFill="1" applyBorder="1" applyAlignment="1" applyProtection="1">
      <alignment horizontal="center"/>
      <protection hidden="1"/>
    </xf>
    <xf numFmtId="40" fontId="67" fillId="2" borderId="0" xfId="0" applyNumberFormat="1" applyFont="1" applyFill="1" applyBorder="1" applyAlignment="1" applyProtection="1">
      <alignment horizontal="right"/>
      <protection hidden="1"/>
    </xf>
    <xf numFmtId="0" fontId="8" fillId="2" borderId="62" xfId="0" applyFont="1" applyFill="1" applyBorder="1" applyAlignment="1" applyProtection="1">
      <alignment horizontal="center"/>
      <protection locked="0"/>
    </xf>
    <xf numFmtId="40" fontId="82" fillId="2" borderId="21" xfId="0" applyNumberFormat="1" applyFont="1" applyFill="1" applyBorder="1" applyAlignment="1" applyProtection="1">
      <alignment horizontal="center"/>
      <protection hidden="1"/>
    </xf>
    <xf numFmtId="1" fontId="5" fillId="0" borderId="63" xfId="0" applyNumberFormat="1" applyFont="1" applyBorder="1" applyAlignment="1" applyProtection="1">
      <alignment horizontal="center"/>
      <protection locked="0"/>
    </xf>
    <xf numFmtId="14" fontId="50" fillId="2" borderId="0" xfId="0" applyNumberFormat="1" applyFont="1" applyFill="1" applyBorder="1" applyProtection="1">
      <protection hidden="1"/>
    </xf>
    <xf numFmtId="1" fontId="50" fillId="2" borderId="0" xfId="0" applyNumberFormat="1" applyFont="1" applyFill="1" applyBorder="1" applyProtection="1">
      <protection hidden="1"/>
    </xf>
    <xf numFmtId="0" fontId="117" fillId="2" borderId="21" xfId="0" applyFont="1" applyFill="1" applyBorder="1" applyProtection="1">
      <protection hidden="1"/>
    </xf>
    <xf numFmtId="0" fontId="26" fillId="2" borderId="0" xfId="0" applyFont="1" applyFill="1" applyProtection="1">
      <protection hidden="1"/>
    </xf>
    <xf numFmtId="38" fontId="7" fillId="2" borderId="0" xfId="0" applyNumberFormat="1" applyFont="1" applyFill="1" applyBorder="1" applyProtection="1">
      <protection hidden="1"/>
    </xf>
    <xf numFmtId="0" fontId="5" fillId="2" borderId="21" xfId="0" applyFont="1" applyFill="1" applyBorder="1" applyAlignment="1" applyProtection="1">
      <alignment horizontal="center"/>
      <protection hidden="1"/>
    </xf>
    <xf numFmtId="0" fontId="71" fillId="5" borderId="0" xfId="0" applyFont="1" applyFill="1" applyAlignment="1" applyProtection="1">
      <alignment horizontal="left"/>
      <protection hidden="1"/>
    </xf>
    <xf numFmtId="164" fontId="4" fillId="5" borderId="0" xfId="0" applyNumberFormat="1" applyFont="1" applyFill="1" applyAlignment="1" applyProtection="1">
      <alignment vertical="top"/>
      <protection hidden="1"/>
    </xf>
    <xf numFmtId="0" fontId="0" fillId="5" borderId="0" xfId="0" applyFill="1" applyAlignment="1" applyProtection="1">
      <alignment wrapText="1"/>
      <protection hidden="1"/>
    </xf>
    <xf numFmtId="164" fontId="13" fillId="5" borderId="0" xfId="0" applyNumberFormat="1" applyFont="1" applyFill="1" applyProtection="1">
      <protection hidden="1"/>
    </xf>
    <xf numFmtId="40" fontId="0" fillId="5" borderId="0" xfId="0" applyNumberFormat="1" applyFill="1" applyProtection="1">
      <protection hidden="1"/>
    </xf>
    <xf numFmtId="164" fontId="13" fillId="5" borderId="0" xfId="0" applyNumberFormat="1" applyFont="1" applyFill="1" applyAlignment="1" applyProtection="1">
      <alignment horizontal="center"/>
      <protection hidden="1"/>
    </xf>
    <xf numFmtId="40" fontId="0" fillId="2" borderId="30" xfId="0" applyNumberFormat="1" applyFill="1" applyBorder="1" applyProtection="1">
      <protection hidden="1"/>
    </xf>
    <xf numFmtId="38" fontId="19" fillId="2" borderId="9" xfId="0" applyNumberFormat="1" applyFont="1" applyFill="1" applyBorder="1" applyAlignment="1" applyProtection="1">
      <alignment horizontal="right"/>
      <protection hidden="1"/>
    </xf>
    <xf numFmtId="164" fontId="4" fillId="2" borderId="5" xfId="0" applyNumberFormat="1" applyFont="1" applyFill="1" applyBorder="1" applyAlignment="1" applyProtection="1">
      <protection hidden="1"/>
    </xf>
    <xf numFmtId="40" fontId="46" fillId="2" borderId="5" xfId="0" applyNumberFormat="1" applyFont="1" applyFill="1" applyBorder="1" applyAlignment="1" applyProtection="1">
      <alignment horizontal="right"/>
      <protection hidden="1"/>
    </xf>
    <xf numFmtId="40" fontId="79" fillId="2" borderId="5" xfId="0" applyNumberFormat="1" applyFont="1" applyFill="1" applyBorder="1" applyAlignment="1" applyProtection="1">
      <alignment horizontal="left"/>
      <protection hidden="1"/>
    </xf>
    <xf numFmtId="40" fontId="79" fillId="2" borderId="5" xfId="0" applyNumberFormat="1" applyFont="1" applyFill="1" applyBorder="1" applyAlignment="1" applyProtection="1">
      <alignment horizontal="right"/>
      <protection hidden="1"/>
    </xf>
    <xf numFmtId="40" fontId="32" fillId="2" borderId="0" xfId="0" applyNumberFormat="1" applyFont="1" applyFill="1" applyBorder="1" applyAlignment="1" applyProtection="1">
      <alignment horizontal="right"/>
      <protection hidden="1"/>
    </xf>
    <xf numFmtId="170" fontId="0" fillId="2" borderId="0" xfId="0" applyNumberFormat="1" applyFill="1" applyBorder="1" applyAlignment="1" applyProtection="1">
      <alignment horizontal="left"/>
      <protection hidden="1"/>
    </xf>
    <xf numFmtId="3" fontId="23" fillId="2" borderId="0" xfId="0" applyNumberFormat="1" applyFont="1" applyFill="1" applyBorder="1" applyAlignment="1" applyProtection="1">
      <protection hidden="1"/>
    </xf>
    <xf numFmtId="0" fontId="76" fillId="2" borderId="0" xfId="0" applyFont="1" applyFill="1" applyBorder="1" applyProtection="1">
      <protection hidden="1"/>
    </xf>
    <xf numFmtId="40" fontId="32" fillId="5" borderId="0" xfId="0" applyNumberFormat="1" applyFont="1" applyFill="1" applyBorder="1" applyAlignment="1" applyProtection="1">
      <alignment horizontal="right"/>
      <protection hidden="1"/>
    </xf>
    <xf numFmtId="40" fontId="65" fillId="5" borderId="0" xfId="0" applyNumberFormat="1" applyFont="1" applyFill="1" applyBorder="1" applyAlignment="1" applyProtection="1">
      <alignment horizontal="right"/>
      <protection hidden="1"/>
    </xf>
    <xf numFmtId="40" fontId="19" fillId="5" borderId="0" xfId="0" applyNumberFormat="1" applyFont="1" applyFill="1" applyBorder="1" applyAlignment="1" applyProtection="1">
      <alignment horizontal="right"/>
      <protection hidden="1"/>
    </xf>
    <xf numFmtId="38" fontId="19" fillId="5" borderId="0" xfId="0" applyNumberFormat="1" applyFont="1" applyFill="1" applyBorder="1" applyAlignment="1" applyProtection="1">
      <alignment horizontal="right"/>
      <protection hidden="1"/>
    </xf>
    <xf numFmtId="38" fontId="0" fillId="5" borderId="0" xfId="0" applyNumberFormat="1" applyFill="1" applyBorder="1" applyAlignment="1" applyProtection="1">
      <alignment horizontal="right"/>
      <protection hidden="1"/>
    </xf>
    <xf numFmtId="0" fontId="14" fillId="5" borderId="0" xfId="0" applyFont="1" applyFill="1" applyAlignment="1" applyProtection="1">
      <protection hidden="1"/>
    </xf>
    <xf numFmtId="0" fontId="14" fillId="2" borderId="24" xfId="0" applyFont="1" applyFill="1" applyBorder="1" applyAlignment="1" applyProtection="1">
      <protection hidden="1"/>
    </xf>
    <xf numFmtId="0" fontId="0" fillId="2" borderId="27" xfId="0" applyFill="1" applyBorder="1" applyProtection="1">
      <protection hidden="1"/>
    </xf>
    <xf numFmtId="164" fontId="4" fillId="16" borderId="0" xfId="0" applyNumberFormat="1" applyFont="1" applyFill="1" applyAlignment="1" applyProtection="1">
      <protection locked="0" hidden="1"/>
    </xf>
    <xf numFmtId="164" fontId="4" fillId="16" borderId="0" xfId="0" applyNumberFormat="1" applyFont="1" applyFill="1" applyBorder="1" applyAlignment="1" applyProtection="1">
      <protection locked="0" hidden="1"/>
    </xf>
    <xf numFmtId="0" fontId="0" fillId="16" borderId="0" xfId="0" applyFill="1" applyBorder="1" applyAlignment="1" applyProtection="1">
      <alignment wrapText="1"/>
      <protection locked="0" hidden="1"/>
    </xf>
    <xf numFmtId="40" fontId="13" fillId="16" borderId="0" xfId="0" applyNumberFormat="1" applyFont="1" applyFill="1" applyAlignment="1" applyProtection="1">
      <alignment horizontal="right"/>
      <protection locked="0" hidden="1"/>
    </xf>
    <xf numFmtId="40" fontId="21" fillId="16" borderId="0" xfId="0" applyNumberFormat="1" applyFont="1" applyFill="1" applyAlignment="1" applyProtection="1">
      <alignment horizontal="right"/>
      <protection locked="0" hidden="1"/>
    </xf>
    <xf numFmtId="40" fontId="79" fillId="5" borderId="0" xfId="0" applyNumberFormat="1" applyFont="1" applyFill="1" applyAlignment="1" applyProtection="1">
      <alignment horizontal="right"/>
      <protection hidden="1"/>
    </xf>
    <xf numFmtId="0" fontId="14" fillId="5" borderId="0" xfId="0" applyFont="1" applyFill="1" applyBorder="1" applyAlignment="1" applyProtection="1">
      <alignment vertical="center"/>
      <protection hidden="1"/>
    </xf>
    <xf numFmtId="0" fontId="0" fillId="16" borderId="0" xfId="0" applyFill="1" applyBorder="1" applyProtection="1">
      <protection locked="0" hidden="1"/>
    </xf>
    <xf numFmtId="40" fontId="1" fillId="5" borderId="0" xfId="0" applyNumberFormat="1" applyFont="1" applyFill="1" applyBorder="1" applyProtection="1">
      <protection hidden="1"/>
    </xf>
    <xf numFmtId="38" fontId="0" fillId="5" borderId="0" xfId="0" applyNumberFormat="1" applyFill="1" applyBorder="1" applyProtection="1">
      <protection hidden="1"/>
    </xf>
    <xf numFmtId="38" fontId="0" fillId="5" borderId="0" xfId="0" applyNumberFormat="1" applyFill="1" applyBorder="1" applyProtection="1">
      <protection locked="0"/>
    </xf>
    <xf numFmtId="40" fontId="1" fillId="2" borderId="0" xfId="0" applyNumberFormat="1" applyFont="1" applyFill="1" applyBorder="1" applyAlignment="1" applyProtection="1">
      <alignment horizontal="left"/>
      <protection hidden="1"/>
    </xf>
    <xf numFmtId="0" fontId="29" fillId="2" borderId="6" xfId="0" applyFont="1" applyFill="1" applyBorder="1" applyAlignment="1" applyProtection="1">
      <alignment vertical="center"/>
      <protection hidden="1"/>
    </xf>
    <xf numFmtId="0" fontId="14" fillId="2" borderId="0" xfId="0" applyFont="1" applyFill="1" applyBorder="1" applyAlignment="1" applyProtection="1">
      <alignment horizontal="centerContinuous" vertical="center"/>
      <protection hidden="1"/>
    </xf>
    <xf numFmtId="164" fontId="4" fillId="2" borderId="0" xfId="0" applyNumberFormat="1" applyFont="1" applyFill="1" applyBorder="1" applyAlignment="1" applyProtection="1">
      <alignment horizontal="center"/>
      <protection locked="0"/>
    </xf>
    <xf numFmtId="164" fontId="4" fillId="2" borderId="0" xfId="0" applyNumberFormat="1" applyFont="1" applyFill="1" applyBorder="1" applyAlignment="1" applyProtection="1">
      <alignment horizontal="centerContinuous" vertical="center"/>
      <protection hidden="1"/>
    </xf>
    <xf numFmtId="164" fontId="4" fillId="2" borderId="0" xfId="0" applyNumberFormat="1" applyFont="1" applyFill="1" applyBorder="1" applyAlignment="1" applyProtection="1">
      <alignment horizontal="center" vertical="center"/>
      <protection hidden="1"/>
    </xf>
    <xf numFmtId="40" fontId="1" fillId="2" borderId="0" xfId="0" applyNumberFormat="1" applyFont="1" applyFill="1" applyBorder="1" applyAlignment="1" applyProtection="1">
      <alignment horizontal="centerContinuous" vertical="center"/>
      <protection hidden="1"/>
    </xf>
    <xf numFmtId="0" fontId="0" fillId="4" borderId="0" xfId="0" applyFill="1" applyAlignment="1" applyProtection="1">
      <alignment vertical="center"/>
      <protection locked="0"/>
    </xf>
    <xf numFmtId="0" fontId="0" fillId="2" borderId="0" xfId="0" applyFill="1" applyAlignment="1">
      <alignment vertical="center"/>
    </xf>
    <xf numFmtId="0" fontId="32" fillId="2" borderId="0" xfId="0" applyFont="1" applyFill="1" applyBorder="1" applyAlignment="1" applyProtection="1">
      <protection hidden="1"/>
    </xf>
    <xf numFmtId="40" fontId="66" fillId="2" borderId="0" xfId="0" applyNumberFormat="1" applyFont="1" applyFill="1" applyBorder="1" applyAlignment="1" applyProtection="1">
      <alignment horizontal="left"/>
      <protection hidden="1"/>
    </xf>
    <xf numFmtId="0" fontId="23" fillId="2" borderId="0" xfId="0" applyFont="1" applyFill="1" applyBorder="1" applyAlignment="1" applyProtection="1">
      <protection hidden="1"/>
    </xf>
    <xf numFmtId="49" fontId="7" fillId="2" borderId="24" xfId="0" applyNumberFormat="1" applyFont="1" applyFill="1" applyBorder="1" applyAlignment="1" applyProtection="1">
      <alignment horizontal="right"/>
      <protection hidden="1"/>
    </xf>
    <xf numFmtId="0" fontId="47" fillId="2" borderId="8" xfId="0" applyFont="1" applyFill="1" applyBorder="1" applyProtection="1">
      <protection hidden="1"/>
    </xf>
    <xf numFmtId="0" fontId="98" fillId="2" borderId="0" xfId="0" applyFont="1" applyFill="1" applyBorder="1" applyAlignment="1" applyProtection="1">
      <alignment horizontal="center"/>
      <protection hidden="1"/>
    </xf>
    <xf numFmtId="49" fontId="25" fillId="2" borderId="8" xfId="0" applyNumberFormat="1" applyFont="1" applyFill="1" applyBorder="1" applyAlignment="1" applyProtection="1">
      <alignment horizontal="right"/>
      <protection hidden="1"/>
    </xf>
    <xf numFmtId="40" fontId="21" fillId="2" borderId="8" xfId="0" applyNumberFormat="1" applyFont="1" applyFill="1" applyBorder="1" applyAlignment="1" applyProtection="1">
      <alignment horizontal="right"/>
      <protection hidden="1"/>
    </xf>
    <xf numFmtId="40" fontId="21" fillId="2" borderId="20" xfId="0" applyNumberFormat="1" applyFont="1" applyFill="1" applyBorder="1" applyAlignment="1" applyProtection="1">
      <alignment horizontal="right"/>
      <protection hidden="1"/>
    </xf>
    <xf numFmtId="49" fontId="7" fillId="2" borderId="6" xfId="0" applyNumberFormat="1" applyFont="1" applyFill="1" applyBorder="1" applyAlignment="1" applyProtection="1">
      <alignment horizontal="right"/>
      <protection hidden="1"/>
    </xf>
    <xf numFmtId="49" fontId="25" fillId="2" borderId="0" xfId="0" applyNumberFormat="1" applyFont="1" applyFill="1" applyBorder="1" applyAlignment="1" applyProtection="1">
      <alignment horizontal="right"/>
      <protection hidden="1"/>
    </xf>
    <xf numFmtId="40" fontId="21" fillId="2" borderId="0" xfId="0" applyNumberFormat="1" applyFont="1" applyFill="1" applyBorder="1" applyAlignment="1" applyProtection="1">
      <alignment horizontal="right"/>
      <protection hidden="1"/>
    </xf>
    <xf numFmtId="40" fontId="21" fillId="2" borderId="21" xfId="0" applyNumberFormat="1" applyFont="1" applyFill="1" applyBorder="1" applyAlignment="1" applyProtection="1">
      <alignment horizontal="right"/>
      <protection hidden="1"/>
    </xf>
    <xf numFmtId="40" fontId="72" fillId="2" borderId="0" xfId="0" applyNumberFormat="1" applyFont="1" applyFill="1" applyBorder="1" applyAlignment="1" applyProtection="1">
      <alignment horizontal="right"/>
      <protection hidden="1"/>
    </xf>
    <xf numFmtId="40" fontId="83" fillId="2" borderId="0" xfId="0" applyNumberFormat="1" applyFont="1" applyFill="1" applyBorder="1" applyAlignment="1" applyProtection="1">
      <alignment horizontal="left"/>
      <protection hidden="1"/>
    </xf>
    <xf numFmtId="49" fontId="7" fillId="2" borderId="22" xfId="0" applyNumberFormat="1" applyFont="1" applyFill="1" applyBorder="1" applyAlignment="1" applyProtection="1">
      <alignment horizontal="left" vertical="center"/>
      <protection hidden="1"/>
    </xf>
    <xf numFmtId="0" fontId="0" fillId="2" borderId="5" xfId="0" applyFill="1" applyBorder="1" applyAlignment="1" applyProtection="1">
      <alignment horizontal="center" vertical="center"/>
      <protection hidden="1"/>
    </xf>
    <xf numFmtId="0" fontId="0" fillId="2" borderId="23" xfId="0" applyFill="1" applyBorder="1" applyAlignment="1" applyProtection="1">
      <alignment horizontal="left" vertical="center"/>
      <protection hidden="1"/>
    </xf>
    <xf numFmtId="0" fontId="5" fillId="2" borderId="8" xfId="0" applyFont="1" applyFill="1" applyBorder="1" applyAlignment="1" applyProtection="1">
      <protection hidden="1"/>
    </xf>
    <xf numFmtId="0" fontId="5" fillId="2" borderId="21" xfId="0" applyFont="1" applyFill="1" applyBorder="1" applyProtection="1">
      <protection hidden="1"/>
    </xf>
    <xf numFmtId="37" fontId="5" fillId="2" borderId="0" xfId="0" applyNumberFormat="1" applyFont="1" applyFill="1" applyBorder="1" applyProtection="1">
      <protection hidden="1"/>
    </xf>
    <xf numFmtId="0" fontId="31" fillId="2" borderId="0" xfId="0" applyFont="1" applyFill="1" applyBorder="1" applyProtection="1">
      <protection hidden="1"/>
    </xf>
    <xf numFmtId="49" fontId="45" fillId="2" borderId="0" xfId="0" applyNumberFormat="1" applyFont="1" applyFill="1" applyBorder="1" applyAlignment="1" applyProtection="1">
      <alignment horizontal="center"/>
      <protection hidden="1"/>
    </xf>
    <xf numFmtId="3" fontId="5" fillId="2" borderId="21" xfId="0" applyNumberFormat="1" applyFont="1" applyFill="1" applyBorder="1" applyProtection="1">
      <protection hidden="1"/>
    </xf>
    <xf numFmtId="4" fontId="5" fillId="2" borderId="21" xfId="0" applyNumberFormat="1" applyFont="1" applyFill="1" applyBorder="1" applyProtection="1">
      <protection hidden="1"/>
    </xf>
    <xf numFmtId="0" fontId="5" fillId="2" borderId="6" xfId="0" applyFont="1" applyFill="1" applyBorder="1" applyProtection="1">
      <protection hidden="1"/>
    </xf>
    <xf numFmtId="49" fontId="7" fillId="2" borderId="0" xfId="0" quotePrefix="1" applyNumberFormat="1" applyFont="1" applyFill="1" applyBorder="1" applyAlignment="1" applyProtection="1">
      <alignment horizontal="right"/>
      <protection hidden="1"/>
    </xf>
    <xf numFmtId="0" fontId="7" fillId="2" borderId="21" xfId="0" applyFont="1" applyFill="1" applyBorder="1" applyAlignment="1" applyProtection="1">
      <alignment horizontal="center"/>
      <protection hidden="1"/>
    </xf>
    <xf numFmtId="49" fontId="7" fillId="2" borderId="22" xfId="0" applyNumberFormat="1" applyFont="1" applyFill="1" applyBorder="1" applyAlignment="1" applyProtection="1">
      <alignment horizontal="right"/>
      <protection hidden="1"/>
    </xf>
    <xf numFmtId="4" fontId="50" fillId="2" borderId="23" xfId="0" applyNumberFormat="1" applyFont="1" applyFill="1" applyBorder="1" applyProtection="1">
      <protection hidden="1"/>
    </xf>
    <xf numFmtId="0" fontId="0" fillId="5" borderId="0" xfId="0" applyFill="1" applyAlignment="1" applyProtection="1">
      <alignment horizontal="left" vertical="center"/>
      <protection hidden="1"/>
    </xf>
    <xf numFmtId="0" fontId="84" fillId="7" borderId="0" xfId="0" applyFont="1" applyFill="1" applyAlignment="1" applyProtection="1">
      <alignment horizontal="left"/>
      <protection hidden="1"/>
    </xf>
    <xf numFmtId="0" fontId="71" fillId="7" borderId="0" xfId="0" applyFont="1" applyFill="1" applyAlignment="1" applyProtection="1">
      <alignment horizontal="left"/>
      <protection hidden="1"/>
    </xf>
    <xf numFmtId="0" fontId="0" fillId="7" borderId="0" xfId="0" applyFill="1" applyAlignment="1" applyProtection="1">
      <alignment wrapText="1"/>
      <protection hidden="1"/>
    </xf>
    <xf numFmtId="164" fontId="13" fillId="7" borderId="0" xfId="0" applyNumberFormat="1" applyFont="1" applyFill="1" applyProtection="1">
      <protection hidden="1"/>
    </xf>
    <xf numFmtId="40" fontId="0" fillId="7" borderId="0" xfId="0" applyNumberFormat="1" applyFill="1" applyProtection="1">
      <protection hidden="1"/>
    </xf>
    <xf numFmtId="0" fontId="13" fillId="7" borderId="0" xfId="0" applyFont="1" applyFill="1" applyAlignment="1" applyProtection="1">
      <alignment horizontal="right"/>
      <protection hidden="1"/>
    </xf>
    <xf numFmtId="0" fontId="16" fillId="7" borderId="0" xfId="0" applyFont="1" applyFill="1" applyAlignment="1" applyProtection="1">
      <alignment horizontal="center"/>
      <protection hidden="1"/>
    </xf>
    <xf numFmtId="0" fontId="13" fillId="7" borderId="0" xfId="0" applyFont="1" applyFill="1" applyProtection="1">
      <protection hidden="1"/>
    </xf>
    <xf numFmtId="0" fontId="84" fillId="7" borderId="0" xfId="0" applyFont="1" applyFill="1" applyAlignment="1" applyProtection="1">
      <alignment horizontal="right"/>
      <protection hidden="1"/>
    </xf>
    <xf numFmtId="49" fontId="7" fillId="5" borderId="0" xfId="0" applyNumberFormat="1" applyFont="1" applyFill="1" applyAlignment="1" applyProtection="1">
      <alignment horizontal="right"/>
      <protection hidden="1"/>
    </xf>
    <xf numFmtId="40" fontId="83" fillId="2" borderId="0" xfId="0" applyNumberFormat="1" applyFont="1" applyFill="1" applyBorder="1" applyAlignment="1" applyProtection="1">
      <alignment horizontal="center"/>
      <protection hidden="1"/>
    </xf>
    <xf numFmtId="37" fontId="5" fillId="2" borderId="9" xfId="0" applyNumberFormat="1" applyFont="1" applyFill="1" applyBorder="1" applyProtection="1">
      <protection hidden="1"/>
    </xf>
    <xf numFmtId="40" fontId="79" fillId="2" borderId="0" xfId="0" applyNumberFormat="1" applyFont="1" applyFill="1" applyAlignment="1" applyProtection="1">
      <alignment horizontal="center"/>
      <protection hidden="1"/>
    </xf>
    <xf numFmtId="0" fontId="0" fillId="2" borderId="8" xfId="0" applyFill="1" applyBorder="1" applyAlignment="1" applyProtection="1">
      <alignment vertical="center"/>
      <protection hidden="1"/>
    </xf>
    <xf numFmtId="0" fontId="0" fillId="2" borderId="6" xfId="0" applyFill="1" applyBorder="1" applyAlignment="1" applyProtection="1">
      <alignment horizontal="left" vertical="center"/>
      <protection hidden="1"/>
    </xf>
    <xf numFmtId="0" fontId="23" fillId="2" borderId="24" xfId="0" applyFont="1" applyFill="1" applyBorder="1" applyAlignment="1" applyProtection="1">
      <alignment vertical="center"/>
      <protection hidden="1"/>
    </xf>
    <xf numFmtId="0" fontId="41" fillId="2" borderId="0" xfId="0" applyFont="1" applyFill="1" applyBorder="1" applyAlignment="1" applyProtection="1">
      <alignment vertical="center"/>
      <protection hidden="1"/>
    </xf>
    <xf numFmtId="0" fontId="41" fillId="2" borderId="0" xfId="0" applyFont="1" applyFill="1" applyBorder="1" applyAlignment="1" applyProtection="1">
      <alignment horizontal="left" vertical="center"/>
      <protection hidden="1"/>
    </xf>
    <xf numFmtId="0" fontId="0" fillId="2" borderId="5" xfId="0" applyFill="1" applyBorder="1" applyAlignment="1" applyProtection="1">
      <alignment vertical="top"/>
      <protection hidden="1"/>
    </xf>
    <xf numFmtId="0" fontId="0" fillId="2" borderId="8" xfId="0" applyFill="1" applyBorder="1" applyAlignment="1" applyProtection="1">
      <alignment horizontal="left" vertical="center"/>
      <protection hidden="1"/>
    </xf>
    <xf numFmtId="3" fontId="19" fillId="2" borderId="1" xfId="0" applyNumberFormat="1" applyFont="1" applyFill="1" applyBorder="1" applyAlignment="1" applyProtection="1">
      <alignment horizontal="right"/>
      <protection hidden="1"/>
    </xf>
    <xf numFmtId="0" fontId="63" fillId="2" borderId="0" xfId="0" applyFont="1" applyFill="1" applyBorder="1" applyAlignment="1" applyProtection="1">
      <alignment horizontal="center"/>
      <protection hidden="1"/>
    </xf>
    <xf numFmtId="3" fontId="19" fillId="3" borderId="0" xfId="0" applyNumberFormat="1" applyFont="1" applyFill="1" applyBorder="1" applyProtection="1">
      <protection hidden="1"/>
    </xf>
    <xf numFmtId="7" fontId="19" fillId="3" borderId="0" xfId="0" applyNumberFormat="1" applyFont="1" applyFill="1" applyBorder="1" applyAlignment="1" applyProtection="1">
      <alignment horizontal="left"/>
      <protection hidden="1"/>
    </xf>
    <xf numFmtId="0" fontId="36" fillId="6" borderId="24" xfId="0" applyFont="1" applyFill="1" applyBorder="1" applyAlignment="1" applyProtection="1">
      <alignment horizontal="centerContinuous"/>
      <protection hidden="1"/>
    </xf>
    <xf numFmtId="0" fontId="36" fillId="6" borderId="8" xfId="0" applyFont="1" applyFill="1" applyBorder="1" applyAlignment="1" applyProtection="1">
      <alignment horizontal="centerContinuous"/>
      <protection hidden="1"/>
    </xf>
    <xf numFmtId="0" fontId="36" fillId="6" borderId="0" xfId="0" applyFont="1" applyFill="1" applyBorder="1" applyAlignment="1" applyProtection="1">
      <alignment horizontal="centerContinuous"/>
      <protection hidden="1"/>
    </xf>
    <xf numFmtId="0" fontId="0" fillId="6" borderId="0" xfId="0" applyFill="1" applyBorder="1" applyAlignment="1" applyProtection="1">
      <alignment horizontal="centerContinuous"/>
      <protection hidden="1"/>
    </xf>
    <xf numFmtId="0" fontId="78" fillId="0" borderId="0" xfId="2" applyAlignment="1" applyProtection="1"/>
    <xf numFmtId="0" fontId="4" fillId="2" borderId="0" xfId="0" applyFont="1" applyFill="1" applyBorder="1" applyAlignment="1" applyProtection="1">
      <alignment horizontal="center" vertical="center"/>
      <protection locked="0"/>
    </xf>
    <xf numFmtId="14" fontId="12" fillId="5" borderId="0" xfId="0" applyNumberFormat="1" applyFont="1" applyFill="1" applyBorder="1" applyAlignment="1" applyProtection="1">
      <alignment horizontal="center"/>
      <protection hidden="1"/>
    </xf>
    <xf numFmtId="0" fontId="0" fillId="14" borderId="40" xfId="0" applyFill="1" applyBorder="1" applyProtection="1">
      <protection hidden="1"/>
    </xf>
    <xf numFmtId="0" fontId="0" fillId="14" borderId="55" xfId="0" applyFill="1" applyBorder="1" applyProtection="1">
      <protection hidden="1"/>
    </xf>
    <xf numFmtId="0" fontId="90" fillId="2" borderId="0" xfId="0" applyFont="1" applyFill="1" applyProtection="1">
      <protection hidden="1"/>
    </xf>
    <xf numFmtId="37" fontId="8" fillId="3" borderId="0" xfId="0" applyNumberFormat="1" applyFont="1" applyFill="1" applyBorder="1" applyAlignment="1" applyProtection="1">
      <alignment horizontal="right"/>
      <protection hidden="1"/>
    </xf>
    <xf numFmtId="4" fontId="23" fillId="2" borderId="8" xfId="0" applyNumberFormat="1" applyFont="1" applyFill="1" applyBorder="1" applyProtection="1">
      <protection hidden="1"/>
    </xf>
    <xf numFmtId="4" fontId="23" fillId="2" borderId="20" xfId="0" applyNumberFormat="1" applyFont="1" applyFill="1" applyBorder="1" applyProtection="1">
      <protection hidden="1"/>
    </xf>
    <xf numFmtId="4" fontId="23" fillId="2" borderId="21" xfId="0" applyNumberFormat="1" applyFont="1" applyFill="1" applyBorder="1" applyProtection="1">
      <protection hidden="1"/>
    </xf>
    <xf numFmtId="4" fontId="23" fillId="2" borderId="5" xfId="0" applyNumberFormat="1" applyFont="1" applyFill="1" applyBorder="1" applyProtection="1">
      <protection hidden="1"/>
    </xf>
    <xf numFmtId="4" fontId="23" fillId="2" borderId="23" xfId="0" applyNumberFormat="1" applyFont="1" applyFill="1" applyBorder="1" applyProtection="1">
      <protection hidden="1"/>
    </xf>
    <xf numFmtId="37" fontId="0" fillId="0" borderId="0" xfId="0" applyNumberFormat="1" applyProtection="1">
      <protection hidden="1"/>
    </xf>
    <xf numFmtId="0" fontId="23" fillId="10" borderId="0" xfId="0" applyFont="1" applyFill="1" applyProtection="1">
      <protection hidden="1"/>
    </xf>
    <xf numFmtId="0" fontId="23" fillId="0" borderId="0" xfId="0" applyFont="1"/>
    <xf numFmtId="0" fontId="8" fillId="2" borderId="1" xfId="0" applyFont="1" applyFill="1" applyBorder="1" applyAlignment="1" applyProtection="1">
      <protection locked="0"/>
    </xf>
    <xf numFmtId="4" fontId="19" fillId="2" borderId="54" xfId="0" applyNumberFormat="1" applyFont="1" applyFill="1" applyBorder="1" applyProtection="1">
      <protection hidden="1"/>
    </xf>
    <xf numFmtId="1" fontId="12" fillId="3" borderId="3" xfId="0" applyNumberFormat="1" applyFont="1" applyFill="1" applyBorder="1" applyAlignment="1" applyProtection="1">
      <alignment horizontal="center" vertical="center"/>
      <protection hidden="1"/>
    </xf>
    <xf numFmtId="4" fontId="8" fillId="3" borderId="10" xfId="0" applyNumberFormat="1" applyFont="1" applyFill="1" applyBorder="1" applyAlignment="1" applyProtection="1">
      <alignment horizontal="center"/>
      <protection hidden="1"/>
    </xf>
    <xf numFmtId="0" fontId="1" fillId="9" borderId="7" xfId="0" applyFont="1" applyFill="1" applyBorder="1" applyAlignment="1" applyProtection="1">
      <alignment horizontal="center"/>
      <protection hidden="1"/>
    </xf>
    <xf numFmtId="0" fontId="1" fillId="9" borderId="11" xfId="0" applyFont="1" applyFill="1" applyBorder="1" applyAlignment="1" applyProtection="1">
      <alignment horizontal="center"/>
      <protection hidden="1"/>
    </xf>
    <xf numFmtId="0" fontId="1" fillId="9" borderId="3" xfId="0" applyFont="1" applyFill="1" applyBorder="1" applyAlignment="1" applyProtection="1">
      <alignment horizontal="center"/>
      <protection hidden="1"/>
    </xf>
    <xf numFmtId="0" fontId="1" fillId="0" borderId="0" xfId="0" applyFont="1" applyAlignment="1">
      <alignment horizontal="center"/>
    </xf>
    <xf numFmtId="0" fontId="1" fillId="3" borderId="5" xfId="0" applyFont="1" applyFill="1" applyBorder="1" applyAlignment="1" applyProtection="1">
      <alignment vertical="center"/>
      <protection hidden="1"/>
    </xf>
    <xf numFmtId="0" fontId="15" fillId="3" borderId="0" xfId="0" applyFont="1" applyFill="1" applyBorder="1" applyAlignment="1" applyProtection="1">
      <alignment horizontal="center" vertical="center"/>
      <protection locked="0"/>
    </xf>
    <xf numFmtId="4" fontId="15" fillId="3" borderId="0" xfId="0" applyNumberFormat="1" applyFont="1" applyFill="1" applyBorder="1" applyAlignment="1" applyProtection="1">
      <alignment horizontal="center" vertical="center"/>
      <protection locked="0"/>
    </xf>
    <xf numFmtId="4" fontId="15" fillId="3" borderId="0" xfId="0" applyNumberFormat="1" applyFont="1" applyFill="1" applyBorder="1" applyAlignment="1" applyProtection="1">
      <protection locked="0"/>
    </xf>
    <xf numFmtId="0" fontId="7" fillId="3" borderId="6" xfId="0" applyFont="1" applyFill="1" applyBorder="1" applyAlignment="1" applyProtection="1">
      <alignment horizontal="right"/>
      <protection hidden="1"/>
    </xf>
    <xf numFmtId="0" fontId="19" fillId="3" borderId="25" xfId="0" applyFont="1" applyFill="1" applyBorder="1" applyAlignment="1" applyProtection="1">
      <alignment horizontal="left"/>
      <protection hidden="1"/>
    </xf>
    <xf numFmtId="164" fontId="4" fillId="3" borderId="3" xfId="0" applyNumberFormat="1" applyFont="1" applyFill="1" applyBorder="1" applyAlignment="1" applyProtection="1">
      <alignment horizontal="right"/>
      <protection hidden="1"/>
    </xf>
    <xf numFmtId="164" fontId="4" fillId="3" borderId="0" xfId="0" applyNumberFormat="1" applyFont="1" applyFill="1" applyBorder="1" applyAlignment="1" applyProtection="1">
      <alignment horizontal="right"/>
      <protection hidden="1"/>
    </xf>
    <xf numFmtId="164" fontId="4" fillId="3" borderId="3" xfId="0" quotePrefix="1" applyNumberFormat="1" applyFont="1" applyFill="1" applyBorder="1" applyAlignment="1" applyProtection="1">
      <alignment horizontal="right"/>
      <protection hidden="1"/>
    </xf>
    <xf numFmtId="0" fontId="4" fillId="3" borderId="3" xfId="0" quotePrefix="1" applyFont="1" applyFill="1" applyBorder="1" applyAlignment="1" applyProtection="1">
      <alignment horizontal="right"/>
      <protection hidden="1"/>
    </xf>
    <xf numFmtId="0" fontId="1" fillId="3" borderId="3" xfId="0" quotePrefix="1" applyFont="1" applyFill="1" applyBorder="1" applyAlignment="1" applyProtection="1">
      <alignment horizontal="right"/>
      <protection hidden="1"/>
    </xf>
    <xf numFmtId="164" fontId="4" fillId="2" borderId="0" xfId="0" quotePrefix="1" applyNumberFormat="1" applyFont="1" applyFill="1" applyBorder="1" applyAlignment="1" applyProtection="1">
      <protection hidden="1"/>
    </xf>
    <xf numFmtId="0" fontId="0" fillId="2" borderId="8" xfId="0" applyFill="1" applyBorder="1" applyAlignment="1" applyProtection="1">
      <alignment wrapText="1"/>
      <protection hidden="1"/>
    </xf>
    <xf numFmtId="164" fontId="25" fillId="2" borderId="8" xfId="0" applyNumberFormat="1" applyFont="1" applyFill="1" applyBorder="1" applyAlignment="1" applyProtection="1">
      <alignment horizontal="center"/>
      <protection hidden="1"/>
    </xf>
    <xf numFmtId="164" fontId="25" fillId="2" borderId="8" xfId="0" applyNumberFormat="1" applyFont="1" applyFill="1" applyBorder="1" applyAlignment="1" applyProtection="1">
      <alignment horizontal="right"/>
      <protection hidden="1"/>
    </xf>
    <xf numFmtId="0" fontId="115" fillId="2" borderId="8" xfId="0" applyFont="1" applyFill="1" applyBorder="1" applyProtection="1">
      <protection hidden="1"/>
    </xf>
    <xf numFmtId="164" fontId="4" fillId="2" borderId="27" xfId="0" applyNumberFormat="1" applyFont="1" applyFill="1" applyBorder="1" applyAlignment="1" applyProtection="1">
      <protection hidden="1"/>
    </xf>
    <xf numFmtId="164" fontId="4" fillId="2" borderId="1" xfId="0" applyNumberFormat="1" applyFont="1" applyFill="1" applyBorder="1" applyAlignment="1" applyProtection="1">
      <alignment vertical="top"/>
      <protection hidden="1"/>
    </xf>
    <xf numFmtId="0" fontId="0" fillId="2" borderId="1" xfId="0" applyFill="1" applyBorder="1" applyAlignment="1" applyProtection="1">
      <alignment wrapText="1"/>
      <protection hidden="1"/>
    </xf>
    <xf numFmtId="0" fontId="115" fillId="2" borderId="1" xfId="0" applyFont="1" applyFill="1" applyBorder="1" applyProtection="1">
      <protection hidden="1"/>
    </xf>
    <xf numFmtId="164" fontId="25" fillId="2" borderId="1" xfId="0" applyNumberFormat="1" applyFont="1" applyFill="1" applyBorder="1" applyAlignment="1" applyProtection="1">
      <alignment horizontal="center"/>
      <protection hidden="1"/>
    </xf>
    <xf numFmtId="164" fontId="25" fillId="2" borderId="1" xfId="0" applyNumberFormat="1" applyFont="1" applyFill="1" applyBorder="1" applyAlignment="1" applyProtection="1">
      <alignment horizontal="right"/>
      <protection hidden="1"/>
    </xf>
    <xf numFmtId="40" fontId="21" fillId="2" borderId="1" xfId="0" applyNumberFormat="1" applyFont="1" applyFill="1" applyBorder="1" applyAlignment="1" applyProtection="1">
      <alignment horizontal="right"/>
      <protection hidden="1"/>
    </xf>
    <xf numFmtId="40" fontId="21" fillId="2" borderId="30" xfId="0" applyNumberFormat="1" applyFont="1" applyFill="1" applyBorder="1" applyAlignment="1" applyProtection="1">
      <alignment horizontal="right"/>
      <protection hidden="1"/>
    </xf>
    <xf numFmtId="0" fontId="0" fillId="2" borderId="1" xfId="0" applyFill="1" applyBorder="1" applyAlignment="1" applyProtection="1">
      <alignment vertical="top"/>
      <protection hidden="1"/>
    </xf>
    <xf numFmtId="3" fontId="23" fillId="2" borderId="0" xfId="0" applyNumberFormat="1" applyFont="1" applyFill="1" applyBorder="1" applyAlignment="1" applyProtection="1">
      <alignment horizontal="right"/>
      <protection hidden="1"/>
    </xf>
    <xf numFmtId="0" fontId="80" fillId="2" borderId="0" xfId="0" applyFont="1" applyFill="1" applyBorder="1" applyAlignment="1" applyProtection="1">
      <protection hidden="1"/>
    </xf>
    <xf numFmtId="0" fontId="23" fillId="4" borderId="0" xfId="0" applyFont="1" applyFill="1" applyProtection="1">
      <protection locked="0"/>
    </xf>
    <xf numFmtId="3" fontId="0" fillId="2" borderId="1" xfId="0" applyNumberFormat="1" applyFill="1" applyBorder="1" applyProtection="1">
      <protection locked="0"/>
    </xf>
    <xf numFmtId="38" fontId="0" fillId="2" borderId="0" xfId="0" applyNumberFormat="1" applyFill="1" applyBorder="1" applyAlignment="1" applyProtection="1">
      <protection hidden="1"/>
    </xf>
    <xf numFmtId="0" fontId="80" fillId="2" borderId="0" xfId="0" applyFont="1" applyFill="1" applyProtection="1">
      <protection hidden="1"/>
    </xf>
    <xf numFmtId="0" fontId="19" fillId="0" borderId="0" xfId="0" quotePrefix="1" applyFont="1" applyAlignment="1" applyProtection="1">
      <alignment horizontal="right"/>
      <protection hidden="1"/>
    </xf>
    <xf numFmtId="3" fontId="0" fillId="0" borderId="0" xfId="0" applyNumberFormat="1" applyProtection="1">
      <protection hidden="1"/>
    </xf>
    <xf numFmtId="0" fontId="26" fillId="0" borderId="0" xfId="0" applyFont="1"/>
    <xf numFmtId="0" fontId="19" fillId="0" borderId="9" xfId="0" applyFont="1" applyBorder="1" applyAlignment="1" applyProtection="1">
      <alignment horizontal="right"/>
      <protection hidden="1"/>
    </xf>
    <xf numFmtId="0" fontId="67" fillId="2" borderId="2" xfId="0" applyFont="1" applyFill="1" applyBorder="1" applyAlignment="1" applyProtection="1">
      <alignment horizontal="center"/>
      <protection locked="0" hidden="1"/>
    </xf>
    <xf numFmtId="0" fontId="31" fillId="3" borderId="0" xfId="0" applyFont="1" applyFill="1" applyBorder="1" applyAlignment="1" applyProtection="1">
      <alignment horizontal="center"/>
      <protection hidden="1"/>
    </xf>
    <xf numFmtId="0" fontId="31" fillId="3" borderId="0" xfId="0" applyFont="1" applyFill="1" applyBorder="1" applyAlignment="1" applyProtection="1">
      <alignment horizontal="left"/>
      <protection hidden="1"/>
    </xf>
    <xf numFmtId="0" fontId="67" fillId="2" borderId="5" xfId="0" applyFont="1" applyFill="1" applyBorder="1" applyAlignment="1" applyProtection="1">
      <alignment vertical="center"/>
      <protection hidden="1"/>
    </xf>
    <xf numFmtId="0" fontId="13" fillId="2" borderId="0" xfId="0" applyFont="1" applyFill="1" applyBorder="1" applyAlignment="1" applyProtection="1">
      <alignment horizontal="center" wrapText="1"/>
      <protection locked="0"/>
    </xf>
    <xf numFmtId="0" fontId="6" fillId="3" borderId="25" xfId="0" applyFont="1" applyFill="1" applyBorder="1" applyProtection="1">
      <protection hidden="1"/>
    </xf>
    <xf numFmtId="39" fontId="8" fillId="3" borderId="0" xfId="0" applyNumberFormat="1" applyFont="1" applyFill="1" applyBorder="1" applyAlignment="1" applyProtection="1">
      <alignment horizontal="left"/>
      <protection hidden="1"/>
    </xf>
    <xf numFmtId="0" fontId="15" fillId="3" borderId="5" xfId="0" applyFont="1" applyFill="1" applyBorder="1" applyAlignment="1" applyProtection="1">
      <alignment horizontal="centerContinuous"/>
      <protection hidden="1"/>
    </xf>
    <xf numFmtId="0" fontId="0" fillId="3" borderId="5" xfId="0" applyFill="1" applyBorder="1" applyAlignment="1" applyProtection="1">
      <alignment horizontal="centerContinuous"/>
      <protection hidden="1"/>
    </xf>
    <xf numFmtId="4" fontId="0" fillId="3" borderId="5" xfId="0" applyNumberFormat="1" applyFill="1" applyBorder="1" applyAlignment="1" applyProtection="1">
      <alignment horizontal="centerContinuous"/>
      <protection hidden="1"/>
    </xf>
    <xf numFmtId="0" fontId="1" fillId="3" borderId="5" xfId="0" applyFont="1" applyFill="1" applyBorder="1" applyAlignment="1" applyProtection="1">
      <alignment horizontal="centerContinuous"/>
      <protection hidden="1"/>
    </xf>
    <xf numFmtId="0" fontId="87" fillId="2" borderId="0" xfId="0" applyFont="1" applyFill="1" applyAlignment="1" applyProtection="1">
      <alignment horizontal="left" vertical="top"/>
      <protection hidden="1"/>
    </xf>
    <xf numFmtId="0" fontId="1" fillId="3" borderId="31" xfId="0" applyFont="1" applyFill="1" applyBorder="1" applyAlignment="1" applyProtection="1">
      <alignment horizontal="right"/>
      <protection hidden="1"/>
    </xf>
    <xf numFmtId="38" fontId="5" fillId="2" borderId="0" xfId="0" applyNumberFormat="1" applyFont="1" applyFill="1" applyBorder="1" applyProtection="1">
      <protection locked="0"/>
    </xf>
    <xf numFmtId="1" fontId="34" fillId="2" borderId="0" xfId="0" applyNumberFormat="1" applyFont="1" applyFill="1" applyBorder="1" applyProtection="1">
      <protection locked="0"/>
    </xf>
    <xf numFmtId="164" fontId="4" fillId="2" borderId="6" xfId="0" quotePrefix="1" applyNumberFormat="1" applyFont="1" applyFill="1" applyBorder="1" applyAlignment="1" applyProtection="1">
      <alignment horizontal="right"/>
      <protection hidden="1"/>
    </xf>
    <xf numFmtId="40" fontId="6" fillId="2" borderId="0" xfId="0" applyNumberFormat="1" applyFont="1" applyFill="1" applyBorder="1" applyProtection="1">
      <protection hidden="1"/>
    </xf>
    <xf numFmtId="164" fontId="19" fillId="2" borderId="0" xfId="0" applyNumberFormat="1" applyFont="1" applyFill="1" applyBorder="1" applyAlignment="1" applyProtection="1">
      <alignment horizontal="left" vertical="top"/>
      <protection locked="0" hidden="1"/>
    </xf>
    <xf numFmtId="164" fontId="19" fillId="2" borderId="1" xfId="0" applyNumberFormat="1" applyFont="1" applyFill="1" applyBorder="1" applyAlignment="1" applyProtection="1">
      <alignment horizontal="left" vertical="top"/>
      <protection locked="0" hidden="1"/>
    </xf>
    <xf numFmtId="0" fontId="0" fillId="4" borderId="8" xfId="0" applyFill="1" applyBorder="1" applyProtection="1">
      <protection locked="0" hidden="1"/>
    </xf>
    <xf numFmtId="40" fontId="0" fillId="5" borderId="0" xfId="0" applyNumberFormat="1" applyFill="1" applyBorder="1" applyAlignment="1" applyProtection="1">
      <protection hidden="1"/>
    </xf>
    <xf numFmtId="38" fontId="99" fillId="2" borderId="0" xfId="0" applyNumberFormat="1" applyFont="1" applyFill="1" applyBorder="1" applyAlignment="1" applyProtection="1">
      <alignment horizontal="right"/>
      <protection hidden="1"/>
    </xf>
    <xf numFmtId="40" fontId="63" fillId="2" borderId="0" xfId="0" applyNumberFormat="1" applyFont="1" applyFill="1" applyBorder="1" applyAlignment="1" applyProtection="1">
      <protection hidden="1"/>
    </xf>
    <xf numFmtId="40" fontId="63" fillId="2" borderId="21" xfId="0" applyNumberFormat="1" applyFont="1" applyFill="1" applyBorder="1" applyAlignment="1" applyProtection="1">
      <protection hidden="1"/>
    </xf>
    <xf numFmtId="40" fontId="63" fillId="5" borderId="0" xfId="0" applyNumberFormat="1" applyFont="1" applyFill="1" applyBorder="1" applyAlignment="1" applyProtection="1">
      <protection hidden="1"/>
    </xf>
    <xf numFmtId="0" fontId="0" fillId="0" borderId="0" xfId="0" applyFill="1" applyAlignment="1" applyProtection="1">
      <protection hidden="1"/>
    </xf>
    <xf numFmtId="4" fontId="5" fillId="5" borderId="0" xfId="0" applyNumberFormat="1" applyFont="1" applyFill="1" applyAlignment="1" applyProtection="1">
      <alignment horizontal="center"/>
      <protection hidden="1"/>
    </xf>
    <xf numFmtId="0" fontId="4" fillId="0" borderId="0" xfId="0" quotePrefix="1" applyFont="1" applyAlignment="1" applyProtection="1">
      <alignment horizontal="center"/>
      <protection hidden="1"/>
    </xf>
    <xf numFmtId="4" fontId="0" fillId="5" borderId="0" xfId="0" applyNumberFormat="1" applyFill="1" applyAlignment="1" applyProtection="1">
      <alignment horizontal="center"/>
      <protection hidden="1"/>
    </xf>
    <xf numFmtId="0" fontId="4" fillId="5" borderId="0" xfId="0" quotePrefix="1" applyFont="1" applyFill="1" applyAlignment="1" applyProtection="1">
      <alignment horizontal="center"/>
      <protection hidden="1"/>
    </xf>
    <xf numFmtId="0" fontId="4" fillId="5" borderId="0" xfId="0" applyFont="1" applyFill="1" applyAlignment="1">
      <alignment horizontal="center"/>
    </xf>
    <xf numFmtId="0" fontId="8" fillId="5" borderId="0" xfId="0" applyFont="1" applyFill="1" applyAlignment="1">
      <alignment horizontal="center"/>
    </xf>
    <xf numFmtId="4" fontId="0" fillId="2" borderId="1" xfId="0" applyNumberFormat="1" applyFill="1" applyBorder="1" applyAlignment="1" applyProtection="1">
      <alignment horizontal="center"/>
      <protection locked="0"/>
    </xf>
    <xf numFmtId="1" fontId="0" fillId="5" borderId="0" xfId="0" applyNumberFormat="1" applyFill="1" applyAlignment="1" applyProtection="1">
      <protection hidden="1"/>
    </xf>
    <xf numFmtId="1" fontId="0" fillId="2" borderId="0" xfId="0" applyNumberFormat="1" applyFill="1" applyBorder="1" applyAlignment="1" applyProtection="1">
      <protection hidden="1"/>
    </xf>
    <xf numFmtId="1" fontId="4" fillId="2" borderId="0" xfId="0" applyNumberFormat="1" applyFont="1" applyFill="1" applyBorder="1" applyAlignment="1" applyProtection="1">
      <protection hidden="1"/>
    </xf>
    <xf numFmtId="1" fontId="4" fillId="2" borderId="0" xfId="0" applyNumberFormat="1" applyFont="1" applyFill="1" applyBorder="1" applyAlignment="1" applyProtection="1">
      <alignment horizontal="right"/>
      <protection hidden="1"/>
    </xf>
    <xf numFmtId="1" fontId="99" fillId="2" borderId="0" xfId="0" applyNumberFormat="1" applyFont="1" applyFill="1" applyBorder="1" applyAlignment="1" applyProtection="1">
      <alignment horizontal="right"/>
      <protection hidden="1"/>
    </xf>
    <xf numFmtId="1" fontId="0" fillId="2" borderId="0" xfId="0" applyNumberFormat="1" applyFill="1" applyBorder="1" applyAlignment="1" applyProtection="1">
      <alignment horizontal="right"/>
      <protection hidden="1"/>
    </xf>
    <xf numFmtId="1" fontId="0" fillId="2" borderId="21" xfId="0" applyNumberFormat="1" applyFill="1" applyBorder="1" applyAlignment="1" applyProtection="1">
      <alignment horizontal="right"/>
      <protection hidden="1"/>
    </xf>
    <xf numFmtId="1" fontId="0" fillId="5" borderId="0" xfId="0" applyNumberFormat="1" applyFill="1" applyBorder="1" applyAlignment="1" applyProtection="1">
      <alignment horizontal="right"/>
      <protection hidden="1"/>
    </xf>
    <xf numFmtId="1" fontId="0" fillId="2" borderId="0" xfId="0" applyNumberFormat="1" applyFill="1" applyAlignment="1" applyProtection="1">
      <protection hidden="1"/>
    </xf>
    <xf numFmtId="1" fontId="0" fillId="0" borderId="0" xfId="0" applyNumberFormat="1" applyAlignment="1" applyProtection="1">
      <protection hidden="1"/>
    </xf>
    <xf numFmtId="0" fontId="23" fillId="2" borderId="0" xfId="0" applyNumberFormat="1" applyFont="1" applyFill="1" applyProtection="1">
      <protection hidden="1"/>
    </xf>
    <xf numFmtId="0" fontId="23" fillId="4" borderId="0" xfId="0" applyFont="1" applyFill="1" applyAlignment="1" applyProtection="1">
      <protection locked="0"/>
    </xf>
    <xf numFmtId="0" fontId="5" fillId="2" borderId="0" xfId="0" applyFont="1" applyFill="1" applyBorder="1" applyAlignment="1" applyProtection="1">
      <alignment horizontal="left" vertical="center"/>
      <protection hidden="1"/>
    </xf>
    <xf numFmtId="0" fontId="32" fillId="2" borderId="1" xfId="0" applyFont="1" applyFill="1" applyBorder="1" applyProtection="1">
      <protection hidden="1"/>
    </xf>
    <xf numFmtId="0" fontId="1" fillId="3" borderId="0" xfId="0" applyFont="1" applyFill="1" applyBorder="1" applyProtection="1">
      <protection locked="0"/>
    </xf>
    <xf numFmtId="39" fontId="31" fillId="3" borderId="0" xfId="0" applyNumberFormat="1" applyFont="1" applyFill="1" applyBorder="1" applyAlignment="1" applyProtection="1">
      <alignment horizontal="center"/>
      <protection hidden="1"/>
    </xf>
    <xf numFmtId="0" fontId="31" fillId="2" borderId="0" xfId="0" applyFont="1" applyFill="1" applyAlignment="1" applyProtection="1">
      <alignment horizontal="center"/>
      <protection hidden="1"/>
    </xf>
    <xf numFmtId="4" fontId="33" fillId="3" borderId="0" xfId="0" applyNumberFormat="1" applyFont="1" applyFill="1" applyBorder="1" applyAlignment="1" applyProtection="1">
      <alignment horizontal="center"/>
      <protection hidden="1"/>
    </xf>
    <xf numFmtId="3" fontId="50" fillId="3" borderId="0" xfId="0" applyNumberFormat="1" applyFont="1" applyFill="1" applyBorder="1" applyAlignment="1" applyProtection="1">
      <alignment horizontal="center"/>
      <protection hidden="1"/>
    </xf>
    <xf numFmtId="4" fontId="23" fillId="2" borderId="0" xfId="0" applyNumberFormat="1" applyFont="1" applyFill="1" applyAlignment="1" applyProtection="1">
      <alignment horizontal="center"/>
      <protection hidden="1"/>
    </xf>
    <xf numFmtId="4" fontId="74" fillId="3" borderId="0" xfId="0" applyNumberFormat="1" applyFont="1" applyFill="1" applyBorder="1" applyAlignment="1" applyProtection="1">
      <alignment horizontal="right"/>
      <protection hidden="1"/>
    </xf>
    <xf numFmtId="39" fontId="31" fillId="3" borderId="6" xfId="0" applyNumberFormat="1" applyFont="1" applyFill="1" applyBorder="1" applyAlignment="1" applyProtection="1">
      <alignment horizontal="right" vertical="center"/>
      <protection hidden="1"/>
    </xf>
    <xf numFmtId="39" fontId="23" fillId="3" borderId="6" xfId="0" applyNumberFormat="1" applyFont="1" applyFill="1" applyBorder="1" applyAlignment="1" applyProtection="1">
      <alignment horizontal="right"/>
      <protection hidden="1"/>
    </xf>
    <xf numFmtId="40" fontId="23" fillId="2" borderId="0" xfId="0" applyNumberFormat="1" applyFont="1" applyFill="1" applyBorder="1" applyAlignment="1" applyProtection="1">
      <protection hidden="1"/>
    </xf>
    <xf numFmtId="0" fontId="0" fillId="0" borderId="0" xfId="0" applyBorder="1" applyAlignment="1">
      <alignment horizontal="right"/>
    </xf>
    <xf numFmtId="0" fontId="0" fillId="0" borderId="0" xfId="0" applyBorder="1" applyAlignment="1" applyProtection="1">
      <protection locked="0"/>
    </xf>
    <xf numFmtId="0" fontId="76" fillId="2" borderId="0" xfId="0" applyFont="1" applyFill="1" applyBorder="1" applyAlignment="1" applyProtection="1">
      <alignment horizontal="center"/>
      <protection hidden="1"/>
    </xf>
    <xf numFmtId="0" fontId="0" fillId="0" borderId="1" xfId="0" applyBorder="1" applyAlignment="1" applyProtection="1">
      <alignment horizontal="center"/>
      <protection hidden="1"/>
    </xf>
    <xf numFmtId="0" fontId="4" fillId="2" borderId="29" xfId="0" applyFont="1" applyFill="1" applyBorder="1" applyAlignment="1" applyProtection="1">
      <alignment horizontal="center"/>
      <protection hidden="1"/>
    </xf>
    <xf numFmtId="0" fontId="67" fillId="2" borderId="1" xfId="0" applyFont="1" applyFill="1" applyBorder="1" applyAlignment="1" applyProtection="1">
      <alignment horizontal="center"/>
      <protection hidden="1"/>
    </xf>
    <xf numFmtId="0" fontId="67" fillId="2" borderId="1" xfId="0" applyFont="1" applyFill="1" applyBorder="1" applyAlignment="1" applyProtection="1">
      <alignment horizontal="left"/>
      <protection hidden="1"/>
    </xf>
    <xf numFmtId="0" fontId="6" fillId="2" borderId="0" xfId="0" applyFont="1" applyFill="1" applyBorder="1" applyAlignment="1" applyProtection="1">
      <alignment horizontal="center" vertical="center"/>
      <protection locked="0"/>
    </xf>
    <xf numFmtId="0" fontId="4" fillId="2" borderId="1" xfId="0" applyFont="1" applyFill="1" applyBorder="1" applyAlignment="1" applyProtection="1">
      <alignment horizontal="center" wrapText="1"/>
      <protection locked="0"/>
    </xf>
    <xf numFmtId="0" fontId="23" fillId="0" borderId="0" xfId="0" applyFont="1" applyAlignment="1" applyProtection="1">
      <alignment vertical="center" wrapText="1"/>
      <protection hidden="1"/>
    </xf>
    <xf numFmtId="0" fontId="23" fillId="0" borderId="0" xfId="0" applyFont="1" applyAlignment="1" applyProtection="1">
      <alignment wrapText="1"/>
      <protection hidden="1"/>
    </xf>
    <xf numFmtId="0" fontId="63" fillId="0" borderId="0" xfId="0" applyFont="1" applyProtection="1">
      <protection hidden="1"/>
    </xf>
    <xf numFmtId="0" fontId="63" fillId="0" borderId="0" xfId="0" applyFont="1" applyFill="1" applyBorder="1" applyAlignment="1" applyProtection="1">
      <alignment horizontal="center" wrapText="1"/>
      <protection hidden="1"/>
    </xf>
    <xf numFmtId="1" fontId="63" fillId="0" borderId="0" xfId="0" applyNumberFormat="1" applyFont="1" applyFill="1" applyBorder="1" applyProtection="1">
      <protection hidden="1"/>
    </xf>
    <xf numFmtId="0" fontId="23" fillId="2" borderId="0" xfId="0" applyFont="1" applyFill="1" applyAlignment="1" applyProtection="1">
      <alignment vertical="center" wrapText="1"/>
      <protection hidden="1"/>
    </xf>
    <xf numFmtId="4" fontId="23" fillId="0" borderId="0" xfId="0" applyNumberFormat="1" applyFont="1" applyFill="1" applyBorder="1" applyProtection="1">
      <protection hidden="1"/>
    </xf>
    <xf numFmtId="0" fontId="23" fillId="0" borderId="0" xfId="0" applyFont="1" applyFill="1" applyBorder="1" applyProtection="1">
      <protection hidden="1"/>
    </xf>
    <xf numFmtId="4" fontId="63" fillId="0" borderId="0" xfId="0" applyNumberFormat="1" applyFont="1" applyFill="1" applyBorder="1" applyProtection="1">
      <protection hidden="1"/>
    </xf>
    <xf numFmtId="4" fontId="19" fillId="0" borderId="2" xfId="0" applyNumberFormat="1" applyFont="1" applyBorder="1" applyProtection="1">
      <protection hidden="1"/>
    </xf>
    <xf numFmtId="0" fontId="4" fillId="2" borderId="1" xfId="0" applyFont="1" applyFill="1" applyBorder="1" applyAlignment="1" applyProtection="1">
      <alignment horizontal="center" wrapText="1"/>
      <protection hidden="1"/>
    </xf>
    <xf numFmtId="0" fontId="4" fillId="0" borderId="0" xfId="0" applyFont="1" applyBorder="1" applyAlignment="1" applyProtection="1">
      <alignment horizontal="center"/>
      <protection hidden="1"/>
    </xf>
    <xf numFmtId="0" fontId="4" fillId="2" borderId="9" xfId="0" applyFont="1" applyFill="1" applyBorder="1" applyAlignment="1" applyProtection="1">
      <alignment horizontal="center" wrapText="1"/>
      <protection hidden="1"/>
    </xf>
    <xf numFmtId="0" fontId="23" fillId="0" borderId="0" xfId="0" applyFont="1" applyBorder="1" applyAlignment="1" applyProtection="1">
      <alignment wrapText="1"/>
      <protection hidden="1"/>
    </xf>
    <xf numFmtId="0" fontId="4" fillId="2" borderId="1" xfId="0" applyFont="1" applyFill="1" applyBorder="1" applyAlignment="1" applyProtection="1">
      <alignment horizontal="left" wrapText="1"/>
      <protection hidden="1"/>
    </xf>
    <xf numFmtId="3" fontId="0" fillId="2" borderId="1" xfId="0" applyNumberFormat="1" applyFill="1" applyBorder="1" applyProtection="1">
      <protection hidden="1"/>
    </xf>
    <xf numFmtId="3" fontId="0" fillId="2" borderId="0" xfId="0" applyNumberFormat="1" applyFill="1" applyBorder="1" applyProtection="1">
      <protection hidden="1"/>
    </xf>
    <xf numFmtId="0" fontId="119" fillId="3" borderId="3" xfId="0" applyFont="1" applyFill="1" applyBorder="1" applyAlignment="1" applyProtection="1">
      <alignment horizontal="right"/>
      <protection hidden="1"/>
    </xf>
    <xf numFmtId="0" fontId="0" fillId="0" borderId="0" xfId="0" applyAlignment="1" applyProtection="1">
      <alignment horizontal="left"/>
      <protection hidden="1"/>
    </xf>
    <xf numFmtId="40" fontId="80" fillId="2" borderId="0" xfId="0" applyNumberFormat="1" applyFont="1" applyFill="1" applyBorder="1" applyAlignment="1" applyProtection="1">
      <protection hidden="1"/>
    </xf>
    <xf numFmtId="0" fontId="78" fillId="14" borderId="64" xfId="2" applyFill="1" applyBorder="1" applyAlignment="1" applyProtection="1">
      <alignment horizontal="centerContinuous"/>
    </xf>
    <xf numFmtId="0" fontId="78" fillId="14" borderId="65" xfId="2" applyFill="1" applyBorder="1" applyAlignment="1" applyProtection="1">
      <alignment horizontal="centerContinuous"/>
    </xf>
    <xf numFmtId="0" fontId="78" fillId="14" borderId="66" xfId="2" applyFill="1" applyBorder="1" applyAlignment="1" applyProtection="1">
      <alignment horizontal="centerContinuous"/>
    </xf>
    <xf numFmtId="3" fontId="7" fillId="3" borderId="16" xfId="0" applyNumberFormat="1" applyFont="1" applyFill="1" applyBorder="1" applyProtection="1">
      <protection hidden="1"/>
    </xf>
    <xf numFmtId="0" fontId="63" fillId="3" borderId="0" xfId="0" applyFont="1" applyFill="1" applyBorder="1" applyAlignment="1" applyProtection="1">
      <alignment horizontal="center"/>
      <protection hidden="1"/>
    </xf>
    <xf numFmtId="0" fontId="4" fillId="0" borderId="0" xfId="0" applyFont="1" applyAlignment="1">
      <alignment horizontal="left"/>
    </xf>
    <xf numFmtId="0" fontId="107" fillId="0" borderId="0" xfId="0" applyFont="1" applyProtection="1">
      <protection hidden="1"/>
    </xf>
    <xf numFmtId="0" fontId="13" fillId="0" borderId="0" xfId="0" applyFont="1" applyProtection="1">
      <protection hidden="1"/>
    </xf>
    <xf numFmtId="0" fontId="8" fillId="2" borderId="23" xfId="0" applyFont="1" applyFill="1" applyBorder="1" applyProtection="1">
      <protection hidden="1"/>
    </xf>
    <xf numFmtId="0" fontId="67" fillId="5" borderId="0" xfId="0" applyFont="1" applyFill="1" applyAlignment="1">
      <alignment horizontal="center"/>
    </xf>
    <xf numFmtId="3" fontId="6" fillId="2" borderId="0" xfId="0" applyNumberFormat="1" applyFont="1" applyFill="1" applyBorder="1" applyProtection="1">
      <protection hidden="1"/>
    </xf>
    <xf numFmtId="0" fontId="6" fillId="2" borderId="6" xfId="0" applyFont="1" applyFill="1" applyBorder="1" applyAlignment="1" applyProtection="1">
      <protection hidden="1"/>
    </xf>
    <xf numFmtId="38" fontId="5" fillId="2" borderId="9" xfId="0" applyNumberFormat="1" applyFont="1" applyFill="1" applyBorder="1" applyProtection="1">
      <protection hidden="1"/>
    </xf>
    <xf numFmtId="164" fontId="4" fillId="4" borderId="0" xfId="0" applyNumberFormat="1" applyFont="1" applyFill="1" applyAlignment="1" applyProtection="1">
      <protection locked="0" hidden="1"/>
    </xf>
    <xf numFmtId="164" fontId="4" fillId="4" borderId="0" xfId="0" applyNumberFormat="1" applyFont="1" applyFill="1" applyBorder="1" applyAlignment="1" applyProtection="1">
      <protection locked="0" hidden="1"/>
    </xf>
    <xf numFmtId="40" fontId="13" fillId="4" borderId="0" xfId="0" applyNumberFormat="1" applyFont="1" applyFill="1" applyAlignment="1" applyProtection="1">
      <alignment horizontal="right"/>
      <protection locked="0" hidden="1"/>
    </xf>
    <xf numFmtId="40" fontId="21" fillId="4" borderId="0" xfId="0" applyNumberFormat="1" applyFont="1" applyFill="1" applyAlignment="1" applyProtection="1">
      <alignment horizontal="right"/>
      <protection locked="0" hidden="1"/>
    </xf>
    <xf numFmtId="0" fontId="0" fillId="4" borderId="0" xfId="0" applyFill="1" applyBorder="1" applyAlignment="1" applyProtection="1">
      <protection locked="0" hidden="1"/>
    </xf>
    <xf numFmtId="40" fontId="79" fillId="2" borderId="0" xfId="0" applyNumberFormat="1" applyFont="1" applyFill="1" applyBorder="1" applyAlignment="1" applyProtection="1">
      <alignment horizontal="right"/>
      <protection hidden="1"/>
    </xf>
    <xf numFmtId="40" fontId="79" fillId="5" borderId="0" xfId="0" applyNumberFormat="1" applyFont="1" applyFill="1" applyBorder="1" applyAlignment="1" applyProtection="1">
      <alignment horizontal="right"/>
      <protection hidden="1"/>
    </xf>
    <xf numFmtId="0" fontId="0" fillId="4" borderId="0" xfId="0" applyFill="1" applyBorder="1" applyProtection="1">
      <protection locked="0"/>
    </xf>
    <xf numFmtId="0" fontId="32" fillId="4" borderId="0" xfId="0" applyFont="1" applyFill="1" applyBorder="1" applyProtection="1">
      <protection locked="0" hidden="1"/>
    </xf>
    <xf numFmtId="0" fontId="23" fillId="4" borderId="0" xfId="0" applyFont="1" applyFill="1" applyAlignment="1" applyProtection="1">
      <alignment vertical="center"/>
      <protection locked="0"/>
    </xf>
    <xf numFmtId="0" fontId="69" fillId="2" borderId="0" xfId="0" applyFont="1" applyFill="1" applyBorder="1" applyAlignment="1" applyProtection="1">
      <alignment horizontal="right"/>
      <protection hidden="1"/>
    </xf>
    <xf numFmtId="0" fontId="4" fillId="2" borderId="0" xfId="0" applyFont="1" applyFill="1"/>
    <xf numFmtId="164" fontId="19" fillId="2" borderId="6" xfId="0" applyNumberFormat="1" applyFont="1" applyFill="1" applyBorder="1" applyAlignment="1" applyProtection="1">
      <alignment horizontal="center"/>
      <protection hidden="1"/>
    </xf>
    <xf numFmtId="0" fontId="107" fillId="2" borderId="0" xfId="0" applyFont="1" applyFill="1" applyBorder="1" applyProtection="1">
      <protection hidden="1"/>
    </xf>
    <xf numFmtId="40" fontId="67" fillId="2" borderId="0" xfId="0" applyNumberFormat="1" applyFont="1" applyFill="1" applyBorder="1" applyProtection="1">
      <protection hidden="1"/>
    </xf>
    <xf numFmtId="38" fontId="0" fillId="2" borderId="0" xfId="0" applyNumberFormat="1" applyFill="1" applyBorder="1" applyAlignment="1" applyProtection="1">
      <protection locked="0"/>
    </xf>
    <xf numFmtId="0" fontId="23" fillId="2" borderId="0" xfId="0" applyFont="1" applyFill="1" applyBorder="1" applyAlignment="1">
      <alignment horizontal="right"/>
    </xf>
    <xf numFmtId="4" fontId="31" fillId="2" borderId="0" xfId="0" applyNumberFormat="1" applyFont="1" applyFill="1" applyBorder="1" applyAlignment="1" applyProtection="1">
      <alignment horizontal="center"/>
      <protection hidden="1"/>
    </xf>
    <xf numFmtId="164" fontId="13" fillId="4" borderId="6" xfId="0" applyNumberFormat="1" applyFont="1" applyFill="1" applyBorder="1" applyAlignment="1" applyProtection="1">
      <protection locked="0" hidden="1"/>
    </xf>
    <xf numFmtId="40" fontId="79" fillId="2" borderId="21" xfId="0" applyNumberFormat="1" applyFont="1" applyFill="1" applyBorder="1" applyAlignment="1" applyProtection="1">
      <alignment horizontal="right"/>
      <protection hidden="1"/>
    </xf>
    <xf numFmtId="164" fontId="4" fillId="2" borderId="22" xfId="0" applyNumberFormat="1" applyFont="1" applyFill="1" applyBorder="1" applyAlignment="1" applyProtection="1">
      <alignment horizontal="center"/>
      <protection hidden="1"/>
    </xf>
    <xf numFmtId="0" fontId="1" fillId="2" borderId="5" xfId="0" applyFont="1" applyFill="1" applyBorder="1" applyAlignment="1" applyProtection="1">
      <alignment horizontal="center"/>
      <protection hidden="1"/>
    </xf>
    <xf numFmtId="0" fontId="19" fillId="2" borderId="5" xfId="0" applyFont="1" applyFill="1" applyBorder="1" applyAlignment="1" applyProtection="1">
      <protection hidden="1"/>
    </xf>
    <xf numFmtId="164" fontId="63" fillId="2" borderId="5" xfId="0" applyNumberFormat="1" applyFont="1" applyFill="1" applyBorder="1" applyAlignment="1" applyProtection="1">
      <alignment horizontal="right"/>
      <protection hidden="1"/>
    </xf>
    <xf numFmtId="3" fontId="63" fillId="2" borderId="5" xfId="0" applyNumberFormat="1" applyFont="1" applyFill="1" applyBorder="1" applyAlignment="1" applyProtection="1">
      <protection hidden="1"/>
    </xf>
    <xf numFmtId="3" fontId="23" fillId="2" borderId="5" xfId="0" applyNumberFormat="1" applyFont="1" applyFill="1" applyBorder="1" applyAlignment="1"/>
    <xf numFmtId="38" fontId="0" fillId="2" borderId="23" xfId="0" applyNumberFormat="1" applyFill="1" applyBorder="1" applyAlignment="1" applyProtection="1">
      <alignment horizontal="right"/>
      <protection hidden="1"/>
    </xf>
    <xf numFmtId="164" fontId="4" fillId="17" borderId="6" xfId="0" applyNumberFormat="1" applyFont="1" applyFill="1" applyBorder="1" applyAlignment="1" applyProtection="1">
      <alignment horizontal="center"/>
      <protection hidden="1"/>
    </xf>
    <xf numFmtId="0" fontId="1" fillId="17" borderId="0" xfId="0" applyFont="1" applyFill="1" applyBorder="1" applyAlignment="1" applyProtection="1">
      <alignment horizontal="center"/>
      <protection hidden="1"/>
    </xf>
    <xf numFmtId="0" fontId="19" fillId="17" borderId="0" xfId="0" applyFont="1" applyFill="1" applyBorder="1" applyAlignment="1" applyProtection="1">
      <protection hidden="1"/>
    </xf>
    <xf numFmtId="0" fontId="0" fillId="17" borderId="0" xfId="0" applyFill="1" applyBorder="1" applyAlignment="1" applyProtection="1">
      <protection hidden="1"/>
    </xf>
    <xf numFmtId="164" fontId="63" fillId="17" borderId="0" xfId="0" applyNumberFormat="1" applyFont="1" applyFill="1" applyBorder="1" applyProtection="1">
      <protection hidden="1"/>
    </xf>
    <xf numFmtId="164" fontId="63" fillId="17" borderId="0" xfId="0" applyNumberFormat="1" applyFont="1" applyFill="1" applyBorder="1" applyAlignment="1" applyProtection="1">
      <alignment horizontal="right"/>
      <protection hidden="1"/>
    </xf>
    <xf numFmtId="3" fontId="63" fillId="17" borderId="0" xfId="0" applyNumberFormat="1" applyFont="1" applyFill="1" applyBorder="1" applyAlignment="1" applyProtection="1">
      <protection hidden="1"/>
    </xf>
    <xf numFmtId="3" fontId="23" fillId="17" borderId="0" xfId="0" applyNumberFormat="1" applyFont="1" applyFill="1" applyBorder="1" applyAlignment="1"/>
    <xf numFmtId="38" fontId="0" fillId="17" borderId="21" xfId="0" applyNumberFormat="1" applyFill="1" applyBorder="1" applyAlignment="1" applyProtection="1">
      <alignment horizontal="right"/>
      <protection hidden="1"/>
    </xf>
    <xf numFmtId="40" fontId="76" fillId="2" borderId="0" xfId="0" applyNumberFormat="1" applyFont="1" applyFill="1" applyBorder="1" applyAlignment="1" applyProtection="1">
      <alignment horizontal="right"/>
      <protection hidden="1"/>
    </xf>
    <xf numFmtId="40" fontId="26" fillId="2" borderId="0" xfId="0" applyNumberFormat="1" applyFont="1" applyFill="1" applyBorder="1" applyAlignment="1" applyProtection="1">
      <alignment horizontal="right" vertical="center"/>
      <protection hidden="1"/>
    </xf>
    <xf numFmtId="0" fontId="67" fillId="2" borderId="9" xfId="0" applyFont="1" applyFill="1" applyBorder="1" applyAlignment="1" applyProtection="1">
      <alignment horizontal="left"/>
      <protection hidden="1"/>
    </xf>
    <xf numFmtId="49" fontId="61" fillId="3" borderId="18" xfId="0" applyNumberFormat="1" applyFont="1" applyFill="1" applyBorder="1" applyAlignment="1" applyProtection="1">
      <alignment horizontal="right" vertical="center"/>
      <protection hidden="1"/>
    </xf>
    <xf numFmtId="49" fontId="1" fillId="3" borderId="14" xfId="0" applyNumberFormat="1" applyFont="1" applyFill="1" applyBorder="1" applyAlignment="1" applyProtection="1">
      <alignment horizontal="center"/>
      <protection hidden="1"/>
    </xf>
    <xf numFmtId="4" fontId="50" fillId="3" borderId="3" xfId="0" applyNumberFormat="1" applyFont="1" applyFill="1" applyBorder="1" applyProtection="1">
      <protection hidden="1"/>
    </xf>
    <xf numFmtId="4" fontId="5" fillId="3" borderId="1" xfId="0" applyNumberFormat="1" applyFont="1" applyFill="1" applyBorder="1" applyAlignment="1" applyProtection="1">
      <alignment horizontal="right"/>
      <protection hidden="1"/>
    </xf>
    <xf numFmtId="4" fontId="6" fillId="3" borderId="15" xfId="0" applyNumberFormat="1" applyFont="1" applyFill="1" applyBorder="1" applyAlignment="1" applyProtection="1">
      <alignment horizontal="right" vertical="center"/>
      <protection hidden="1"/>
    </xf>
    <xf numFmtId="164" fontId="96" fillId="2" borderId="0" xfId="0" applyNumberFormat="1" applyFont="1" applyFill="1" applyBorder="1" applyProtection="1">
      <protection hidden="1"/>
    </xf>
    <xf numFmtId="38" fontId="122" fillId="2" borderId="21" xfId="0" applyNumberFormat="1" applyFont="1" applyFill="1" applyBorder="1" applyAlignment="1" applyProtection="1">
      <alignment horizontal="right"/>
      <protection hidden="1"/>
    </xf>
    <xf numFmtId="40" fontId="122" fillId="5" borderId="0" xfId="0" applyNumberFormat="1" applyFont="1" applyFill="1" applyBorder="1" applyProtection="1">
      <protection hidden="1"/>
    </xf>
    <xf numFmtId="0" fontId="122" fillId="2" borderId="0" xfId="0" applyFont="1" applyFill="1" applyProtection="1">
      <protection hidden="1"/>
    </xf>
    <xf numFmtId="40" fontId="122" fillId="2" borderId="21" xfId="0" applyNumberFormat="1" applyFont="1" applyFill="1" applyBorder="1" applyProtection="1">
      <protection hidden="1"/>
    </xf>
    <xf numFmtId="40" fontId="122" fillId="2" borderId="0" xfId="0" applyNumberFormat="1" applyFont="1" applyFill="1" applyBorder="1" applyProtection="1">
      <protection hidden="1"/>
    </xf>
    <xf numFmtId="40" fontId="122" fillId="2" borderId="0" xfId="0" applyNumberFormat="1" applyFont="1" applyFill="1" applyBorder="1" applyAlignment="1" applyProtection="1">
      <protection hidden="1"/>
    </xf>
    <xf numFmtId="4" fontId="6" fillId="3" borderId="1" xfId="0" applyNumberFormat="1" applyFont="1" applyFill="1" applyBorder="1" applyAlignment="1" applyProtection="1">
      <alignment horizontal="right"/>
      <protection hidden="1"/>
    </xf>
    <xf numFmtId="0" fontId="5" fillId="3" borderId="67" xfId="0" applyFont="1" applyFill="1" applyBorder="1" applyAlignment="1" applyProtection="1">
      <protection hidden="1"/>
    </xf>
    <xf numFmtId="0" fontId="122" fillId="4" borderId="0" xfId="0" applyFont="1" applyFill="1" applyAlignment="1" applyProtection="1">
      <protection locked="0"/>
    </xf>
    <xf numFmtId="0" fontId="122" fillId="4" borderId="0" xfId="0" applyFont="1" applyFill="1" applyBorder="1" applyProtection="1">
      <protection locked="0"/>
    </xf>
    <xf numFmtId="0" fontId="122" fillId="4" borderId="0" xfId="0" applyFont="1" applyFill="1" applyProtection="1">
      <protection locked="0"/>
    </xf>
    <xf numFmtId="0" fontId="122" fillId="4" borderId="0" xfId="0" applyFont="1" applyFill="1" applyAlignment="1" applyProtection="1">
      <alignment vertical="center"/>
      <protection locked="0"/>
    </xf>
    <xf numFmtId="0" fontId="67" fillId="5" borderId="0" xfId="0" applyFont="1" applyFill="1"/>
    <xf numFmtId="4" fontId="34" fillId="0" borderId="0" xfId="0" applyNumberFormat="1" applyFont="1" applyFill="1" applyBorder="1" applyProtection="1">
      <protection hidden="1"/>
    </xf>
    <xf numFmtId="0" fontId="4" fillId="0" borderId="0" xfId="0" applyFont="1" applyFill="1" applyAlignment="1" applyProtection="1">
      <alignment horizontal="center"/>
      <protection hidden="1"/>
    </xf>
    <xf numFmtId="1" fontId="34" fillId="2" borderId="13" xfId="0" applyNumberFormat="1" applyFont="1" applyFill="1" applyBorder="1" applyAlignment="1" applyProtection="1">
      <alignment horizontal="center"/>
      <protection locked="0"/>
    </xf>
    <xf numFmtId="4" fontId="118" fillId="2" borderId="0" xfId="0" applyNumberFormat="1" applyFont="1" applyFill="1" applyBorder="1" applyAlignment="1" applyProtection="1">
      <alignment horizontal="center"/>
      <protection hidden="1"/>
    </xf>
    <xf numFmtId="0" fontId="0" fillId="0" borderId="9" xfId="0" applyBorder="1" applyProtection="1">
      <protection hidden="1"/>
    </xf>
    <xf numFmtId="4" fontId="0" fillId="0" borderId="0" xfId="0" applyNumberFormat="1" applyBorder="1" applyAlignment="1" applyProtection="1">
      <alignment vertical="center"/>
      <protection hidden="1"/>
    </xf>
    <xf numFmtId="2" fontId="0" fillId="0" borderId="0" xfId="0" applyNumberFormat="1" applyProtection="1">
      <protection hidden="1"/>
    </xf>
    <xf numFmtId="4" fontId="23" fillId="2" borderId="3" xfId="0" applyNumberFormat="1" applyFont="1" applyFill="1" applyBorder="1" applyProtection="1">
      <protection hidden="1"/>
    </xf>
    <xf numFmtId="4" fontId="23" fillId="2" borderId="3" xfId="0" applyNumberFormat="1" applyFont="1" applyFill="1" applyBorder="1" applyAlignment="1" applyProtection="1">
      <alignment horizontal="left" vertical="center" wrapText="1"/>
      <protection hidden="1"/>
    </xf>
    <xf numFmtId="4" fontId="23" fillId="2" borderId="25" xfId="0" applyNumberFormat="1" applyFont="1" applyFill="1" applyBorder="1" applyProtection="1">
      <protection hidden="1"/>
    </xf>
    <xf numFmtId="0" fontId="107" fillId="2" borderId="3" xfId="0" applyFont="1" applyFill="1" applyBorder="1" applyAlignment="1" applyProtection="1">
      <alignment horizontal="left"/>
      <protection hidden="1"/>
    </xf>
    <xf numFmtId="0" fontId="107" fillId="2" borderId="0" xfId="0" applyFont="1" applyFill="1" applyAlignment="1" applyProtection="1">
      <alignment horizontal="left"/>
      <protection hidden="1"/>
    </xf>
    <xf numFmtId="0" fontId="19" fillId="2" borderId="8" xfId="0" applyFont="1" applyFill="1" applyBorder="1" applyProtection="1">
      <protection hidden="1"/>
    </xf>
    <xf numFmtId="37" fontId="19" fillId="2" borderId="0" xfId="0" applyNumberFormat="1" applyFont="1" applyFill="1" applyBorder="1" applyProtection="1">
      <protection hidden="1"/>
    </xf>
    <xf numFmtId="0" fontId="0" fillId="2" borderId="0" xfId="0" quotePrefix="1" applyFill="1" applyBorder="1" applyProtection="1">
      <protection hidden="1"/>
    </xf>
    <xf numFmtId="37" fontId="23" fillId="2" borderId="0" xfId="0" applyNumberFormat="1" applyFont="1" applyFill="1" applyBorder="1" applyProtection="1">
      <protection hidden="1"/>
    </xf>
    <xf numFmtId="0" fontId="13" fillId="2" borderId="24" xfId="0" applyFont="1" applyFill="1" applyBorder="1" applyProtection="1">
      <protection hidden="1"/>
    </xf>
    <xf numFmtId="0" fontId="26" fillId="2" borderId="8" xfId="0" applyFont="1" applyFill="1" applyBorder="1" applyProtection="1">
      <protection hidden="1"/>
    </xf>
    <xf numFmtId="0" fontId="26" fillId="2" borderId="0" xfId="0" applyFont="1" applyFill="1" applyBorder="1" applyProtection="1">
      <protection hidden="1"/>
    </xf>
    <xf numFmtId="0" fontId="23" fillId="2" borderId="0" xfId="0" applyFont="1" applyFill="1" applyBorder="1" applyAlignment="1" applyProtection="1">
      <alignment horizontal="center"/>
      <protection hidden="1"/>
    </xf>
    <xf numFmtId="3" fontId="9" fillId="3" borderId="9" xfId="0" applyNumberFormat="1" applyFont="1" applyFill="1" applyBorder="1" applyAlignment="1" applyProtection="1">
      <alignment horizontal="center"/>
      <protection hidden="1"/>
    </xf>
    <xf numFmtId="0" fontId="9" fillId="3" borderId="16" xfId="0" applyFont="1" applyFill="1" applyBorder="1" applyAlignment="1" applyProtection="1">
      <alignment horizontal="center"/>
      <protection hidden="1"/>
    </xf>
    <xf numFmtId="4" fontId="15" fillId="3" borderId="0" xfId="0" applyNumberFormat="1" applyFont="1" applyFill="1" applyBorder="1" applyAlignment="1" applyProtection="1">
      <alignment horizontal="left" vertical="center"/>
      <protection hidden="1"/>
    </xf>
    <xf numFmtId="39" fontId="8" fillId="3" borderId="6" xfId="0" applyNumberFormat="1" applyFont="1" applyFill="1" applyBorder="1" applyAlignment="1" applyProtection="1">
      <alignment horizontal="right"/>
      <protection hidden="1"/>
    </xf>
    <xf numFmtId="0" fontId="123" fillId="0" borderId="0" xfId="0" applyFont="1" applyProtection="1">
      <protection hidden="1"/>
    </xf>
    <xf numFmtId="0" fontId="123" fillId="0" borderId="0" xfId="0" applyFont="1"/>
    <xf numFmtId="0" fontId="0" fillId="2" borderId="9" xfId="0" applyFill="1" applyBorder="1" applyAlignment="1" applyProtection="1">
      <alignment vertical="center"/>
      <protection hidden="1"/>
    </xf>
    <xf numFmtId="0" fontId="4" fillId="2" borderId="16" xfId="0" applyFont="1" applyFill="1" applyBorder="1" applyAlignment="1" applyProtection="1">
      <alignment horizontal="center" vertical="center"/>
      <protection hidden="1"/>
    </xf>
    <xf numFmtId="3" fontId="0" fillId="2" borderId="31" xfId="0" applyNumberFormat="1" applyFill="1" applyBorder="1" applyAlignment="1" applyProtection="1">
      <alignment vertical="center"/>
      <protection hidden="1"/>
    </xf>
    <xf numFmtId="0" fontId="0" fillId="2" borderId="5" xfId="0" applyFill="1" applyBorder="1" applyAlignment="1" applyProtection="1">
      <alignment vertical="center"/>
      <protection hidden="1"/>
    </xf>
    <xf numFmtId="0" fontId="0" fillId="5" borderId="68" xfId="0" applyFill="1" applyBorder="1"/>
    <xf numFmtId="0" fontId="0" fillId="2" borderId="68" xfId="0" applyFill="1" applyBorder="1" applyProtection="1">
      <protection hidden="1"/>
    </xf>
    <xf numFmtId="0" fontId="4" fillId="2" borderId="68" xfId="0" applyFont="1" applyFill="1" applyBorder="1" applyAlignment="1" applyProtection="1">
      <alignment horizontal="center"/>
      <protection hidden="1"/>
    </xf>
    <xf numFmtId="0" fontId="8" fillId="2" borderId="68" xfId="0" applyFont="1" applyFill="1" applyBorder="1" applyAlignment="1" applyProtection="1">
      <alignment horizontal="center"/>
      <protection hidden="1"/>
    </xf>
    <xf numFmtId="0" fontId="0" fillId="5" borderId="68" xfId="0" applyFill="1" applyBorder="1" applyProtection="1">
      <protection hidden="1"/>
    </xf>
    <xf numFmtId="0" fontId="0" fillId="10" borderId="68" xfId="0" applyFill="1" applyBorder="1" applyProtection="1">
      <protection hidden="1"/>
    </xf>
    <xf numFmtId="0" fontId="0" fillId="0" borderId="68" xfId="0" applyBorder="1"/>
    <xf numFmtId="173" fontId="50" fillId="3" borderId="31" xfId="0" applyNumberFormat="1" applyFont="1" applyFill="1" applyBorder="1" applyAlignment="1" applyProtection="1">
      <alignment horizontal="right"/>
      <protection hidden="1"/>
    </xf>
    <xf numFmtId="0" fontId="23" fillId="2" borderId="0" xfId="0" applyFont="1" applyFill="1"/>
    <xf numFmtId="4" fontId="5" fillId="2" borderId="0" xfId="0" applyNumberFormat="1" applyFont="1" applyFill="1" applyBorder="1" applyAlignment="1" applyProtection="1">
      <alignment vertical="center" wrapText="1"/>
      <protection hidden="1"/>
    </xf>
    <xf numFmtId="0" fontId="76" fillId="2" borderId="0" xfId="0" applyFont="1" applyFill="1" applyBorder="1" applyAlignment="1" applyProtection="1">
      <alignment horizontal="center" vertical="center"/>
      <protection hidden="1"/>
    </xf>
    <xf numFmtId="0" fontId="69" fillId="4" borderId="8" xfId="0" applyFont="1" applyFill="1" applyBorder="1" applyAlignment="1" applyProtection="1">
      <alignment horizontal="right"/>
      <protection locked="0" hidden="1"/>
    </xf>
    <xf numFmtId="164" fontId="19" fillId="2" borderId="0" xfId="0" applyNumberFormat="1" applyFont="1" applyFill="1" applyBorder="1" applyAlignment="1" applyProtection="1">
      <alignment horizontal="left" vertical="center"/>
      <protection hidden="1"/>
    </xf>
    <xf numFmtId="0" fontId="69" fillId="4" borderId="0" xfId="0" applyFont="1" applyFill="1" applyBorder="1" applyAlignment="1" applyProtection="1">
      <alignment horizontal="right"/>
      <protection locked="0" hidden="1"/>
    </xf>
    <xf numFmtId="0" fontId="99" fillId="2" borderId="0" xfId="0" applyFont="1" applyFill="1" applyBorder="1" applyProtection="1">
      <protection hidden="1"/>
    </xf>
    <xf numFmtId="49" fontId="7" fillId="2" borderId="6" xfId="0" applyNumberFormat="1" applyFont="1" applyFill="1" applyBorder="1" applyAlignment="1" applyProtection="1">
      <alignment horizontal="left" vertical="center"/>
      <protection hidden="1"/>
    </xf>
    <xf numFmtId="0" fontId="0" fillId="2" borderId="21" xfId="0" applyFill="1" applyBorder="1" applyAlignment="1" applyProtection="1">
      <alignment horizontal="left" vertical="center"/>
      <protection hidden="1"/>
    </xf>
    <xf numFmtId="0" fontId="0" fillId="2" borderId="20" xfId="0" applyFill="1" applyBorder="1" applyAlignment="1" applyProtection="1">
      <alignment horizontal="left" vertical="center"/>
      <protection hidden="1"/>
    </xf>
    <xf numFmtId="49" fontId="42" fillId="2" borderId="0" xfId="0" quotePrefix="1" applyNumberFormat="1" applyFont="1" applyFill="1" applyBorder="1" applyAlignment="1" applyProtection="1">
      <alignment horizontal="left"/>
      <protection hidden="1"/>
    </xf>
    <xf numFmtId="40" fontId="76" fillId="2" borderId="0" xfId="0" applyNumberFormat="1" applyFont="1" applyFill="1" applyBorder="1" applyAlignment="1" applyProtection="1">
      <alignment horizontal="center"/>
      <protection hidden="1"/>
    </xf>
    <xf numFmtId="0" fontId="22" fillId="2" borderId="5" xfId="0" applyFont="1" applyFill="1" applyBorder="1" applyAlignment="1" applyProtection="1">
      <alignment horizontal="left" vertical="center"/>
      <protection hidden="1"/>
    </xf>
    <xf numFmtId="0" fontId="4" fillId="2" borderId="5" xfId="0" applyFont="1" applyFill="1" applyBorder="1" applyAlignment="1" applyProtection="1">
      <alignment horizontal="right" wrapText="1"/>
      <protection hidden="1"/>
    </xf>
    <xf numFmtId="0" fontId="4" fillId="2" borderId="0" xfId="0" applyFont="1" applyFill="1" applyBorder="1" applyAlignment="1" applyProtection="1">
      <alignment horizontal="right" wrapText="1"/>
      <protection hidden="1"/>
    </xf>
    <xf numFmtId="0" fontId="0" fillId="0" borderId="0" xfId="0" applyAlignment="1" applyProtection="1">
      <alignment vertical="top"/>
      <protection hidden="1"/>
    </xf>
    <xf numFmtId="0" fontId="0" fillId="0" borderId="0" xfId="0" applyAlignment="1" applyProtection="1">
      <alignment vertical="top" wrapText="1"/>
      <protection hidden="1"/>
    </xf>
    <xf numFmtId="0" fontId="14" fillId="2" borderId="8" xfId="0" applyFont="1" applyFill="1" applyBorder="1" applyProtection="1">
      <protection hidden="1"/>
    </xf>
    <xf numFmtId="0" fontId="14" fillId="2" borderId="8" xfId="0" applyFont="1" applyFill="1" applyBorder="1" applyAlignment="1" applyProtection="1">
      <alignment horizontal="right"/>
      <protection hidden="1"/>
    </xf>
    <xf numFmtId="0" fontId="13" fillId="2" borderId="5" xfId="0" applyFont="1" applyFill="1" applyBorder="1" applyProtection="1">
      <protection hidden="1"/>
    </xf>
    <xf numFmtId="0" fontId="13" fillId="2" borderId="5" xfId="0" applyFont="1" applyFill="1" applyBorder="1" applyAlignment="1" applyProtection="1">
      <alignment horizontal="right"/>
      <protection hidden="1"/>
    </xf>
    <xf numFmtId="0" fontId="4" fillId="2" borderId="6" xfId="0" applyFont="1" applyFill="1" applyBorder="1" applyAlignment="1" applyProtection="1">
      <alignment horizontal="right" vertical="top"/>
      <protection hidden="1"/>
    </xf>
    <xf numFmtId="0" fontId="0" fillId="2" borderId="1" xfId="0" applyFill="1" applyBorder="1" applyAlignment="1" applyProtection="1">
      <alignment vertical="top" wrapText="1"/>
      <protection hidden="1"/>
    </xf>
    <xf numFmtId="0" fontId="0" fillId="2" borderId="0" xfId="0" applyFill="1" applyBorder="1" applyAlignment="1" applyProtection="1">
      <alignment vertical="top" wrapText="1"/>
      <protection hidden="1"/>
    </xf>
    <xf numFmtId="0" fontId="51" fillId="2" borderId="5" xfId="0" applyFont="1" applyFill="1" applyBorder="1" applyAlignment="1" applyProtection="1">
      <alignment horizontal="left" vertical="center"/>
      <protection hidden="1"/>
    </xf>
    <xf numFmtId="4" fontId="19" fillId="2" borderId="69" xfId="0" applyNumberFormat="1" applyFont="1" applyFill="1" applyBorder="1" applyProtection="1">
      <protection locked="0"/>
    </xf>
    <xf numFmtId="4" fontId="19" fillId="2" borderId="50" xfId="0" applyNumberFormat="1" applyFont="1" applyFill="1" applyBorder="1" applyAlignment="1" applyProtection="1">
      <alignment horizontal="right"/>
      <protection locked="0"/>
    </xf>
    <xf numFmtId="4" fontId="19" fillId="2" borderId="54" xfId="0" applyNumberFormat="1" applyFont="1" applyFill="1" applyBorder="1" applyAlignment="1" applyProtection="1">
      <alignment horizontal="right"/>
      <protection locked="0"/>
    </xf>
    <xf numFmtId="3" fontId="0" fillId="2" borderId="13" xfId="0" applyNumberFormat="1" applyFill="1" applyBorder="1" applyProtection="1">
      <protection locked="0"/>
    </xf>
    <xf numFmtId="0" fontId="0" fillId="2" borderId="21" xfId="0" applyFill="1" applyBorder="1" applyAlignment="1" applyProtection="1">
      <alignment vertical="top" wrapText="1"/>
      <protection hidden="1"/>
    </xf>
    <xf numFmtId="0" fontId="0" fillId="2" borderId="0" xfId="0" applyFill="1" applyAlignment="1" applyProtection="1">
      <alignment vertical="top" wrapText="1"/>
      <protection hidden="1"/>
    </xf>
    <xf numFmtId="1" fontId="50" fillId="2" borderId="0" xfId="0" applyNumberFormat="1" applyFont="1" applyFill="1" applyBorder="1" applyProtection="1">
      <protection locked="0"/>
    </xf>
    <xf numFmtId="164" fontId="67" fillId="2" borderId="0" xfId="0" applyNumberFormat="1" applyFont="1" applyFill="1" applyBorder="1" applyProtection="1">
      <protection hidden="1"/>
    </xf>
    <xf numFmtId="40" fontId="122" fillId="2" borderId="0" xfId="0" applyNumberFormat="1" applyFont="1" applyFill="1" applyBorder="1" applyAlignment="1" applyProtection="1">
      <alignment horizontal="right"/>
      <protection hidden="1"/>
    </xf>
    <xf numFmtId="4" fontId="5" fillId="9" borderId="0" xfId="0" applyNumberFormat="1" applyFont="1" applyFill="1" applyBorder="1" applyProtection="1">
      <protection hidden="1"/>
    </xf>
    <xf numFmtId="4" fontId="19" fillId="0" borderId="1" xfId="0" applyNumberFormat="1" applyFont="1" applyFill="1" applyBorder="1" applyProtection="1">
      <protection hidden="1"/>
    </xf>
    <xf numFmtId="0" fontId="0" fillId="5" borderId="0" xfId="0" applyFill="1" applyAlignment="1">
      <alignment horizontal="centerContinuous"/>
    </xf>
    <xf numFmtId="0" fontId="67" fillId="5" borderId="0" xfId="0" applyFont="1" applyFill="1" applyAlignment="1">
      <alignment horizontal="centerContinuous"/>
    </xf>
    <xf numFmtId="0" fontId="77" fillId="5" borderId="0" xfId="0" applyFont="1" applyFill="1" applyAlignment="1" applyProtection="1">
      <alignment horizontal="centerContinuous"/>
      <protection hidden="1"/>
    </xf>
    <xf numFmtId="0" fontId="67" fillId="5" borderId="0" xfId="0" applyFont="1" applyFill="1" applyAlignment="1" applyProtection="1">
      <alignment vertical="center"/>
      <protection hidden="1"/>
    </xf>
    <xf numFmtId="4" fontId="6" fillId="2" borderId="2" xfId="0" applyNumberFormat="1" applyFont="1" applyFill="1" applyBorder="1" applyAlignment="1" applyProtection="1">
      <alignment horizontal="center"/>
      <protection locked="0"/>
    </xf>
    <xf numFmtId="0" fontId="4" fillId="2" borderId="22" xfId="0" applyFont="1" applyFill="1" applyBorder="1" applyAlignment="1" applyProtection="1">
      <alignment horizontal="right" vertical="top"/>
      <protection hidden="1"/>
    </xf>
    <xf numFmtId="0" fontId="0" fillId="2" borderId="5" xfId="0" applyFill="1" applyBorder="1" applyAlignment="1" applyProtection="1">
      <alignment vertical="top" wrapText="1"/>
      <protection hidden="1"/>
    </xf>
    <xf numFmtId="0" fontId="0" fillId="2" borderId="23" xfId="0" applyFill="1" applyBorder="1" applyAlignment="1" applyProtection="1">
      <alignment vertical="top"/>
      <protection hidden="1"/>
    </xf>
    <xf numFmtId="0" fontId="4" fillId="2" borderId="5" xfId="0" applyFont="1" applyFill="1" applyBorder="1" applyAlignment="1" applyProtection="1">
      <alignment horizontal="center" wrapText="1"/>
      <protection hidden="1"/>
    </xf>
    <xf numFmtId="3" fontId="0" fillId="2" borderId="26" xfId="0" applyNumberFormat="1" applyFill="1" applyBorder="1" applyAlignment="1" applyProtection="1">
      <alignment wrapText="1"/>
      <protection hidden="1"/>
    </xf>
    <xf numFmtId="3" fontId="0" fillId="2" borderId="26" xfId="0" applyNumberFormat="1" applyFill="1" applyBorder="1" applyAlignment="1" applyProtection="1">
      <alignment vertical="top" wrapText="1"/>
      <protection hidden="1"/>
    </xf>
    <xf numFmtId="4" fontId="90" fillId="2" borderId="0" xfId="0" applyNumberFormat="1" applyFont="1" applyFill="1" applyBorder="1" applyProtection="1">
      <protection hidden="1"/>
    </xf>
    <xf numFmtId="0" fontId="19" fillId="5" borderId="0" xfId="0" applyFont="1" applyFill="1" applyAlignment="1" applyProtection="1">
      <alignment horizontal="left"/>
      <protection hidden="1"/>
    </xf>
    <xf numFmtId="4" fontId="4" fillId="2" borderId="0" xfId="0" applyNumberFormat="1" applyFont="1" applyFill="1" applyBorder="1" applyAlignment="1" applyProtection="1">
      <alignment horizontal="center" vertical="center"/>
      <protection locked="0"/>
    </xf>
    <xf numFmtId="0" fontId="4" fillId="2" borderId="2" xfId="0" applyFont="1" applyFill="1" applyBorder="1" applyAlignment="1" applyProtection="1">
      <alignment horizontal="center"/>
      <protection locked="0"/>
    </xf>
    <xf numFmtId="0" fontId="67" fillId="10" borderId="0" xfId="0" applyFont="1" applyFill="1" applyAlignment="1" applyProtection="1">
      <alignment horizontal="center"/>
      <protection hidden="1"/>
    </xf>
    <xf numFmtId="0" fontId="0" fillId="0" borderId="0" xfId="0" applyFill="1" applyAlignment="1" applyProtection="1">
      <alignment horizontal="right"/>
      <protection hidden="1"/>
    </xf>
    <xf numFmtId="0" fontId="0" fillId="0" borderId="0" xfId="0" applyFill="1" applyAlignment="1" applyProtection="1">
      <alignment horizontal="center"/>
      <protection hidden="1"/>
    </xf>
    <xf numFmtId="4" fontId="0" fillId="0" borderId="0" xfId="0" applyNumberFormat="1" applyAlignment="1" applyProtection="1">
      <alignment horizontal="center"/>
      <protection hidden="1"/>
    </xf>
    <xf numFmtId="4" fontId="34" fillId="0" borderId="0" xfId="0" applyNumberFormat="1" applyFont="1" applyFill="1" applyBorder="1" applyAlignment="1" applyProtection="1">
      <alignment horizontal="center"/>
      <protection hidden="1"/>
    </xf>
    <xf numFmtId="0" fontId="23" fillId="0" borderId="0" xfId="0" applyFont="1" applyAlignment="1" applyProtection="1">
      <alignment horizontal="center"/>
      <protection hidden="1"/>
    </xf>
    <xf numFmtId="0" fontId="124" fillId="2" borderId="0" xfId="0" applyFont="1" applyFill="1" applyBorder="1" applyAlignment="1" applyProtection="1">
      <alignment wrapText="1"/>
      <protection hidden="1"/>
    </xf>
    <xf numFmtId="0" fontId="13" fillId="2" borderId="8" xfId="0" applyFont="1" applyFill="1" applyBorder="1" applyProtection="1">
      <protection hidden="1"/>
    </xf>
    <xf numFmtId="0" fontId="19" fillId="2" borderId="0" xfId="0" quotePrefix="1" applyFont="1" applyFill="1" applyBorder="1" applyAlignment="1" applyProtection="1">
      <alignment horizontal="right"/>
      <protection hidden="1"/>
    </xf>
    <xf numFmtId="0" fontId="4" fillId="2" borderId="13" xfId="0" quotePrefix="1" applyFont="1" applyFill="1" applyBorder="1" applyAlignment="1" applyProtection="1">
      <alignment horizontal="center"/>
      <protection hidden="1"/>
    </xf>
    <xf numFmtId="0" fontId="4" fillId="2" borderId="6" xfId="0" applyFont="1" applyFill="1" applyBorder="1" applyProtection="1">
      <protection hidden="1"/>
    </xf>
    <xf numFmtId="0" fontId="4" fillId="2" borderId="6" xfId="0" quotePrefix="1" applyFont="1" applyFill="1" applyBorder="1" applyAlignment="1" applyProtection="1">
      <alignment horizontal="right"/>
      <protection hidden="1"/>
    </xf>
    <xf numFmtId="0" fontId="63" fillId="2" borderId="6" xfId="0" applyFont="1" applyFill="1" applyBorder="1" applyProtection="1">
      <protection hidden="1"/>
    </xf>
    <xf numFmtId="0" fontId="0" fillId="0" borderId="8" xfId="0" applyBorder="1" applyProtection="1">
      <protection hidden="1"/>
    </xf>
    <xf numFmtId="0" fontId="8" fillId="2" borderId="0" xfId="0" applyFont="1" applyFill="1" applyAlignment="1" applyProtection="1">
      <alignment vertical="top"/>
      <protection hidden="1"/>
    </xf>
    <xf numFmtId="0" fontId="21" fillId="3" borderId="0" xfId="0" applyFont="1" applyFill="1" applyAlignment="1" applyProtection="1">
      <alignment horizontal="center"/>
      <protection hidden="1"/>
    </xf>
    <xf numFmtId="0" fontId="16" fillId="3" borderId="0" xfId="0" applyFont="1" applyFill="1" applyBorder="1" applyProtection="1">
      <protection hidden="1"/>
    </xf>
    <xf numFmtId="0" fontId="17" fillId="3" borderId="1" xfId="0" applyFont="1" applyFill="1" applyBorder="1" applyAlignment="1" applyProtection="1">
      <alignment vertical="top"/>
      <protection hidden="1"/>
    </xf>
    <xf numFmtId="3" fontId="0" fillId="0" borderId="0" xfId="0" applyNumberFormat="1"/>
    <xf numFmtId="3" fontId="0" fillId="0" borderId="0" xfId="0" applyNumberFormat="1" applyAlignment="1" applyProtection="1">
      <alignment horizontal="center"/>
      <protection hidden="1"/>
    </xf>
    <xf numFmtId="3" fontId="1" fillId="2" borderId="0" xfId="0" applyNumberFormat="1" applyFont="1" applyFill="1" applyProtection="1">
      <protection hidden="1"/>
    </xf>
    <xf numFmtId="3" fontId="0" fillId="10" borderId="0" xfId="0" applyNumberFormat="1" applyFill="1" applyAlignment="1" applyProtection="1">
      <alignment horizontal="center"/>
      <protection hidden="1"/>
    </xf>
    <xf numFmtId="3" fontId="5" fillId="2" borderId="2" xfId="0" applyNumberFormat="1" applyFont="1" applyFill="1" applyBorder="1" applyAlignment="1" applyProtection="1">
      <alignment horizontal="center"/>
      <protection locked="0"/>
    </xf>
    <xf numFmtId="3" fontId="0" fillId="10" borderId="0" xfId="0" applyNumberFormat="1" applyFill="1" applyBorder="1" applyAlignment="1" applyProtection="1">
      <alignment horizontal="center"/>
      <protection hidden="1"/>
    </xf>
    <xf numFmtId="3" fontId="76" fillId="0" borderId="0" xfId="0" applyNumberFormat="1" applyFont="1" applyFill="1" applyBorder="1" applyAlignment="1">
      <alignment horizontal="right"/>
    </xf>
    <xf numFmtId="3" fontId="5" fillId="0" borderId="0" xfId="0" applyNumberFormat="1" applyFont="1" applyBorder="1"/>
    <xf numFmtId="3" fontId="5" fillId="0" borderId="0" xfId="0" applyNumberFormat="1" applyFont="1" applyBorder="1" applyAlignment="1"/>
    <xf numFmtId="0" fontId="54" fillId="2" borderId="0" xfId="0" applyFont="1" applyFill="1" applyBorder="1" applyProtection="1">
      <protection hidden="1"/>
    </xf>
    <xf numFmtId="0" fontId="54" fillId="2" borderId="5" xfId="0" applyFont="1" applyFill="1" applyBorder="1" applyProtection="1">
      <protection hidden="1"/>
    </xf>
    <xf numFmtId="3" fontId="6" fillId="3" borderId="9" xfId="0" applyNumberFormat="1" applyFont="1" applyFill="1" applyBorder="1" applyAlignment="1" applyProtection="1">
      <alignment horizontal="right"/>
      <protection locked="0"/>
    </xf>
    <xf numFmtId="3" fontId="6" fillId="0" borderId="15" xfId="0" applyNumberFormat="1" applyFont="1" applyBorder="1" applyAlignment="1" applyProtection="1">
      <alignment horizontal="right"/>
      <protection locked="0"/>
    </xf>
    <xf numFmtId="0" fontId="15" fillId="3" borderId="0" xfId="0" applyFont="1" applyFill="1" applyAlignment="1" applyProtection="1">
      <alignment horizontal="right"/>
      <protection hidden="1"/>
    </xf>
    <xf numFmtId="0" fontId="8" fillId="3" borderId="0" xfId="0" applyFont="1" applyFill="1" applyBorder="1" applyAlignment="1" applyProtection="1">
      <alignment horizontal="left"/>
      <protection locked="0"/>
    </xf>
    <xf numFmtId="0" fontId="6" fillId="3" borderId="0" xfId="0" applyFont="1" applyFill="1" applyBorder="1" applyAlignment="1" applyProtection="1">
      <alignment horizontal="center" vertical="top"/>
      <protection hidden="1"/>
    </xf>
    <xf numFmtId="4" fontId="6" fillId="2" borderId="0" xfId="0" applyNumberFormat="1" applyFont="1" applyFill="1" applyBorder="1" applyAlignment="1" applyProtection="1">
      <alignment horizontal="right"/>
      <protection hidden="1"/>
    </xf>
    <xf numFmtId="3" fontId="8" fillId="0" borderId="0" xfId="0" applyNumberFormat="1" applyFont="1" applyAlignment="1" applyProtection="1">
      <alignment horizontal="center"/>
      <protection hidden="1"/>
    </xf>
    <xf numFmtId="3" fontId="8" fillId="0" borderId="0" xfId="0" applyNumberFormat="1" applyFont="1" applyBorder="1" applyAlignment="1" applyProtection="1">
      <alignment horizontal="center"/>
      <protection hidden="1"/>
    </xf>
    <xf numFmtId="0" fontId="15" fillId="0" borderId="0" xfId="0" applyFont="1" applyAlignment="1" applyProtection="1">
      <alignment horizontal="center"/>
      <protection hidden="1"/>
    </xf>
    <xf numFmtId="0" fontId="55" fillId="0" borderId="0" xfId="0" applyFont="1" applyAlignment="1" applyProtection="1">
      <alignment horizontal="center"/>
      <protection hidden="1"/>
    </xf>
    <xf numFmtId="0" fontId="8" fillId="0" borderId="0" xfId="0" applyFont="1" applyFill="1" applyAlignment="1" applyProtection="1">
      <alignment horizontal="center"/>
      <protection hidden="1"/>
    </xf>
    <xf numFmtId="0" fontId="31" fillId="0" borderId="0" xfId="0" applyFont="1"/>
    <xf numFmtId="40" fontId="31" fillId="2" borderId="0" xfId="0" applyNumberFormat="1" applyFont="1" applyFill="1" applyBorder="1" applyProtection="1">
      <protection hidden="1"/>
    </xf>
    <xf numFmtId="40" fontId="31" fillId="2" borderId="0" xfId="0" applyNumberFormat="1" applyFont="1" applyFill="1" applyBorder="1" applyAlignment="1" applyProtection="1">
      <alignment horizontal="center"/>
      <protection hidden="1"/>
    </xf>
    <xf numFmtId="38" fontId="107" fillId="2" borderId="0" xfId="0" applyNumberFormat="1" applyFont="1" applyFill="1" applyBorder="1" applyProtection="1">
      <protection hidden="1"/>
    </xf>
    <xf numFmtId="3" fontId="23" fillId="0" borderId="0" xfId="0" applyNumberFormat="1" applyFont="1" applyAlignment="1" applyProtection="1">
      <alignment horizontal="center"/>
      <protection hidden="1"/>
    </xf>
    <xf numFmtId="0" fontId="4" fillId="2" borderId="0" xfId="0" applyFont="1" applyFill="1" applyBorder="1" applyAlignment="1" applyProtection="1">
      <alignment horizontal="right" vertical="center"/>
      <protection locked="0"/>
    </xf>
    <xf numFmtId="0" fontId="21" fillId="2" borderId="0" xfId="0" applyFont="1" applyFill="1" applyBorder="1" applyAlignment="1" applyProtection="1">
      <alignment horizontal="center" vertical="center"/>
      <protection hidden="1"/>
    </xf>
    <xf numFmtId="4" fontId="97" fillId="5" borderId="0" xfId="0" applyNumberFormat="1" applyFont="1" applyFill="1" applyBorder="1" applyProtection="1">
      <protection hidden="1"/>
    </xf>
    <xf numFmtId="0" fontId="5" fillId="3" borderId="26" xfId="0" applyFont="1" applyFill="1" applyBorder="1" applyProtection="1">
      <protection hidden="1"/>
    </xf>
    <xf numFmtId="0" fontId="6" fillId="3" borderId="13" xfId="0" applyFont="1" applyFill="1" applyBorder="1" applyAlignment="1" applyProtection="1">
      <alignment horizontal="center"/>
      <protection hidden="1"/>
    </xf>
    <xf numFmtId="4" fontId="74" fillId="2" borderId="0" xfId="0" applyNumberFormat="1" applyFont="1" applyFill="1" applyBorder="1" applyAlignment="1" applyProtection="1">
      <alignment horizontal="center"/>
      <protection locked="0"/>
    </xf>
    <xf numFmtId="0" fontId="126" fillId="0" borderId="0" xfId="0" applyFont="1" applyAlignment="1" applyProtection="1">
      <alignment horizontal="right"/>
      <protection hidden="1"/>
    </xf>
    <xf numFmtId="0" fontId="105" fillId="12" borderId="25" xfId="0" applyFont="1" applyFill="1" applyBorder="1" applyAlignment="1">
      <alignment horizontal="center"/>
    </xf>
    <xf numFmtId="0" fontId="0" fillId="2" borderId="1" xfId="0" applyFill="1" applyBorder="1" applyAlignment="1"/>
    <xf numFmtId="0" fontId="3" fillId="2" borderId="0" xfId="0" applyFont="1" applyFill="1" applyProtection="1">
      <protection hidden="1"/>
    </xf>
    <xf numFmtId="0" fontId="0" fillId="2" borderId="5" xfId="0" applyFill="1" applyBorder="1" applyAlignment="1"/>
    <xf numFmtId="0" fontId="124" fillId="2" borderId="0" xfId="0" applyFont="1" applyFill="1" applyBorder="1" applyAlignment="1" applyProtection="1">
      <alignment vertical="top" wrapText="1"/>
      <protection hidden="1"/>
    </xf>
    <xf numFmtId="0" fontId="4" fillId="10" borderId="0" xfId="0" applyFont="1" applyFill="1" applyBorder="1" applyAlignment="1" applyProtection="1">
      <alignment horizontal="right"/>
      <protection hidden="1"/>
    </xf>
    <xf numFmtId="0" fontId="8" fillId="2" borderId="9" xfId="0" applyFont="1" applyFill="1" applyBorder="1" applyAlignment="1" applyProtection="1">
      <alignment horizontal="right" vertical="center"/>
      <protection hidden="1"/>
    </xf>
    <xf numFmtId="0" fontId="17" fillId="2" borderId="1" xfId="0" applyFont="1" applyFill="1" applyBorder="1" applyAlignment="1" applyProtection="1">
      <alignment horizontal="left"/>
      <protection locked="0"/>
    </xf>
    <xf numFmtId="0" fontId="5" fillId="3" borderId="0" xfId="0" applyFont="1" applyFill="1" applyBorder="1" applyAlignment="1" applyProtection="1">
      <protection locked="0"/>
    </xf>
    <xf numFmtId="0" fontId="5" fillId="3" borderId="5" xfId="0" applyFont="1" applyFill="1" applyBorder="1" applyAlignment="1" applyProtection="1">
      <alignment vertical="top"/>
      <protection hidden="1"/>
    </xf>
    <xf numFmtId="0" fontId="10" fillId="2" borderId="6" xfId="0" applyFont="1" applyFill="1" applyBorder="1" applyProtection="1">
      <protection hidden="1"/>
    </xf>
    <xf numFmtId="0" fontId="3" fillId="0" borderId="0" xfId="0" applyFont="1" applyProtection="1">
      <protection hidden="1"/>
    </xf>
    <xf numFmtId="2" fontId="3" fillId="0" borderId="0" xfId="0" applyNumberFormat="1" applyFont="1" applyProtection="1">
      <protection hidden="1"/>
    </xf>
    <xf numFmtId="4" fontId="0" fillId="0" borderId="0" xfId="0" applyNumberFormat="1" applyBorder="1" applyProtection="1">
      <protection hidden="1"/>
    </xf>
    <xf numFmtId="3" fontId="0" fillId="0" borderId="3" xfId="0" applyNumberFormat="1" applyBorder="1" applyProtection="1">
      <protection hidden="1"/>
    </xf>
    <xf numFmtId="3" fontId="0" fillId="0" borderId="10" xfId="0" applyNumberFormat="1" applyBorder="1" applyProtection="1">
      <protection hidden="1"/>
    </xf>
    <xf numFmtId="4" fontId="0" fillId="0" borderId="0" xfId="0" applyNumberFormat="1"/>
    <xf numFmtId="3" fontId="19" fillId="0" borderId="3" xfId="0" applyNumberFormat="1" applyFont="1" applyBorder="1" applyProtection="1">
      <protection hidden="1"/>
    </xf>
    <xf numFmtId="3" fontId="0" fillId="0" borderId="3" xfId="0" applyNumberFormat="1" applyFill="1" applyBorder="1" applyProtection="1">
      <protection hidden="1"/>
    </xf>
    <xf numFmtId="4" fontId="0" fillId="0" borderId="15" xfId="0" applyNumberFormat="1" applyBorder="1" applyProtection="1">
      <protection hidden="1"/>
    </xf>
    <xf numFmtId="4" fontId="0" fillId="0" borderId="25" xfId="0" applyNumberFormat="1" applyBorder="1" applyProtection="1">
      <protection hidden="1"/>
    </xf>
    <xf numFmtId="4" fontId="0" fillId="0" borderId="25" xfId="0" applyNumberFormat="1" applyBorder="1" applyAlignment="1" applyProtection="1">
      <alignment vertical="center"/>
      <protection hidden="1"/>
    </xf>
    <xf numFmtId="0" fontId="0" fillId="0" borderId="1" xfId="0" applyBorder="1" applyProtection="1">
      <protection hidden="1"/>
    </xf>
    <xf numFmtId="4" fontId="0" fillId="0" borderId="12" xfId="0" applyNumberFormat="1" applyBorder="1" applyProtection="1">
      <protection hidden="1"/>
    </xf>
    <xf numFmtId="0" fontId="3" fillId="0" borderId="0" xfId="0" quotePrefix="1" applyFont="1" applyAlignment="1" applyProtection="1">
      <alignment horizontal="center"/>
      <protection hidden="1"/>
    </xf>
    <xf numFmtId="3" fontId="0" fillId="0" borderId="10" xfId="0" applyNumberFormat="1" applyFill="1" applyBorder="1" applyProtection="1">
      <protection hidden="1"/>
    </xf>
    <xf numFmtId="0" fontId="0" fillId="0" borderId="9" xfId="0" applyBorder="1" applyAlignment="1" applyProtection="1">
      <alignment horizontal="center"/>
      <protection hidden="1"/>
    </xf>
    <xf numFmtId="0" fontId="6" fillId="3" borderId="74" xfId="0" applyFont="1" applyFill="1" applyBorder="1" applyProtection="1">
      <protection hidden="1"/>
    </xf>
    <xf numFmtId="49" fontId="61" fillId="3" borderId="75" xfId="0" applyNumberFormat="1" applyFont="1" applyFill="1" applyBorder="1" applyAlignment="1" applyProtection="1">
      <alignment horizontal="right" vertical="center"/>
      <protection hidden="1"/>
    </xf>
    <xf numFmtId="39" fontId="5" fillId="3" borderId="0" xfId="0" applyNumberFormat="1" applyFont="1" applyFill="1" applyBorder="1" applyProtection="1">
      <protection hidden="1"/>
    </xf>
    <xf numFmtId="0" fontId="3" fillId="0" borderId="0" xfId="0" applyFont="1" applyBorder="1" applyAlignment="1" applyProtection="1">
      <alignment horizontal="right"/>
      <protection hidden="1"/>
    </xf>
    <xf numFmtId="3" fontId="4" fillId="2" borderId="0" xfId="0" applyNumberFormat="1" applyFont="1" applyFill="1" applyAlignment="1" applyProtection="1">
      <alignment horizontal="right" vertical="center"/>
      <protection locked="0"/>
    </xf>
    <xf numFmtId="0" fontId="0" fillId="10" borderId="3" xfId="0" applyFill="1" applyBorder="1" applyAlignment="1" applyProtection="1">
      <protection hidden="1"/>
    </xf>
    <xf numFmtId="0" fontId="4" fillId="3" borderId="13" xfId="0" applyFont="1" applyFill="1" applyBorder="1" applyAlignment="1" applyProtection="1">
      <alignment horizontal="center" vertical="center"/>
      <protection hidden="1"/>
    </xf>
    <xf numFmtId="0" fontId="3" fillId="3" borderId="0" xfId="0" applyFont="1" applyFill="1" applyBorder="1" applyAlignment="1" applyProtection="1">
      <alignment vertical="top"/>
      <protection hidden="1"/>
    </xf>
    <xf numFmtId="0" fontId="128" fillId="2" borderId="0" xfId="0" applyFont="1" applyFill="1" applyAlignment="1" applyProtection="1">
      <alignment horizontal="left"/>
      <protection hidden="1"/>
    </xf>
    <xf numFmtId="0" fontId="3" fillId="2" borderId="0" xfId="0" applyFont="1" applyFill="1" applyAlignment="1" applyProtection="1">
      <alignment vertical="center"/>
      <protection hidden="1"/>
    </xf>
    <xf numFmtId="0" fontId="41" fillId="2" borderId="0" xfId="0" applyFont="1" applyFill="1" applyAlignment="1" applyProtection="1">
      <alignment horizontal="center" vertical="center"/>
      <protection hidden="1"/>
    </xf>
    <xf numFmtId="0" fontId="0" fillId="17" borderId="26" xfId="0" applyFill="1" applyBorder="1" applyProtection="1">
      <protection hidden="1"/>
    </xf>
    <xf numFmtId="0" fontId="89" fillId="17" borderId="26" xfId="0" applyFont="1" applyFill="1" applyBorder="1" applyAlignment="1" applyProtection="1">
      <alignment horizontal="center" vertical="center"/>
      <protection hidden="1"/>
    </xf>
    <xf numFmtId="0" fontId="4" fillId="17" borderId="26" xfId="0" applyFont="1" applyFill="1" applyBorder="1" applyProtection="1">
      <protection hidden="1"/>
    </xf>
    <xf numFmtId="0" fontId="13" fillId="2" borderId="26" xfId="0" applyFont="1" applyFill="1" applyBorder="1" applyAlignment="1" applyProtection="1">
      <alignment vertical="center"/>
      <protection hidden="1"/>
    </xf>
    <xf numFmtId="0" fontId="0" fillId="2" borderId="26" xfId="0" applyFill="1" applyBorder="1" applyProtection="1">
      <protection hidden="1"/>
    </xf>
    <xf numFmtId="0" fontId="4" fillId="2" borderId="16" xfId="0" applyFont="1" applyFill="1" applyBorder="1" applyAlignment="1" applyProtection="1">
      <alignment horizontal="center"/>
      <protection hidden="1"/>
    </xf>
    <xf numFmtId="0" fontId="3" fillId="2" borderId="0" xfId="0" applyFont="1" applyFill="1" applyAlignment="1" applyProtection="1">
      <alignment vertical="top"/>
      <protection hidden="1"/>
    </xf>
    <xf numFmtId="0" fontId="129" fillId="2" borderId="0" xfId="0" applyFont="1" applyFill="1" applyProtection="1">
      <protection hidden="1"/>
    </xf>
    <xf numFmtId="0" fontId="23" fillId="2" borderId="0" xfId="0" applyFont="1" applyFill="1" applyAlignment="1" applyProtection="1">
      <alignment vertical="center"/>
      <protection hidden="1"/>
    </xf>
    <xf numFmtId="164" fontId="3" fillId="2" borderId="8" xfId="0" applyNumberFormat="1" applyFont="1" applyFill="1" applyBorder="1" applyAlignment="1" applyProtection="1">
      <protection hidden="1"/>
    </xf>
    <xf numFmtId="0" fontId="3" fillId="2" borderId="0" xfId="0" applyFont="1" applyFill="1" applyBorder="1" applyAlignment="1" applyProtection="1">
      <alignment vertical="top"/>
      <protection hidden="1"/>
    </xf>
    <xf numFmtId="0" fontId="129" fillId="2" borderId="6" xfId="0" applyFont="1" applyFill="1" applyBorder="1" applyAlignment="1" applyProtection="1">
      <alignment horizontal="center"/>
      <protection hidden="1"/>
    </xf>
    <xf numFmtId="0" fontId="3" fillId="5" borderId="0" xfId="0" applyFont="1" applyFill="1" applyProtection="1">
      <protection hidden="1"/>
    </xf>
    <xf numFmtId="0" fontId="5" fillId="3" borderId="0" xfId="0" applyFont="1" applyFill="1" applyBorder="1" applyAlignment="1" applyProtection="1">
      <alignment horizontal="left" vertical="top"/>
      <protection hidden="1"/>
    </xf>
    <xf numFmtId="1" fontId="5" fillId="3" borderId="8" xfId="0" applyNumberFormat="1" applyFont="1" applyFill="1" applyBorder="1" applyAlignment="1" applyProtection="1">
      <alignment horizontal="left"/>
      <protection hidden="1"/>
    </xf>
    <xf numFmtId="0" fontId="5" fillId="2" borderId="27" xfId="0" applyFont="1" applyFill="1" applyBorder="1" applyAlignment="1" applyProtection="1">
      <protection hidden="1"/>
    </xf>
    <xf numFmtId="40" fontId="19" fillId="2" borderId="1" xfId="0" applyNumberFormat="1" applyFont="1" applyFill="1" applyBorder="1" applyProtection="1">
      <protection hidden="1"/>
    </xf>
    <xf numFmtId="40" fontId="19" fillId="2" borderId="30" xfId="0" applyNumberFormat="1" applyFont="1" applyFill="1" applyBorder="1" applyProtection="1">
      <protection hidden="1"/>
    </xf>
    <xf numFmtId="0" fontId="42" fillId="2" borderId="0" xfId="0" applyFont="1" applyFill="1" applyBorder="1" applyAlignment="1" applyProtection="1">
      <protection hidden="1"/>
    </xf>
    <xf numFmtId="38" fontId="7" fillId="2" borderId="0" xfId="0" applyNumberFormat="1" applyFont="1" applyFill="1" applyBorder="1" applyAlignment="1" applyProtection="1">
      <alignment horizontal="left" vertical="center"/>
      <protection hidden="1"/>
    </xf>
    <xf numFmtId="40" fontId="82" fillId="2" borderId="21" xfId="0" applyNumberFormat="1" applyFont="1" applyFill="1" applyBorder="1" applyAlignment="1" applyProtection="1">
      <alignment horizontal="left" vertical="center"/>
      <protection hidden="1"/>
    </xf>
    <xf numFmtId="3" fontId="0" fillId="2" borderId="60" xfId="0" applyNumberFormat="1" applyFill="1" applyBorder="1" applyProtection="1">
      <protection locked="0"/>
    </xf>
    <xf numFmtId="0" fontId="32" fillId="4" borderId="0" xfId="0" applyFont="1" applyFill="1" applyBorder="1" applyProtection="1">
      <protection hidden="1"/>
    </xf>
    <xf numFmtId="0" fontId="32" fillId="4" borderId="0" xfId="0" applyFont="1" applyFill="1" applyBorder="1" applyAlignment="1" applyProtection="1">
      <alignment horizontal="left"/>
      <protection hidden="1"/>
    </xf>
    <xf numFmtId="164" fontId="3" fillId="2" borderId="8" xfId="0" applyNumberFormat="1" applyFont="1" applyFill="1" applyBorder="1" applyAlignment="1" applyProtection="1">
      <alignment horizontal="left" vertical="center"/>
      <protection hidden="1"/>
    </xf>
    <xf numFmtId="0" fontId="23" fillId="4" borderId="0" xfId="0" applyFont="1" applyFill="1" applyAlignment="1" applyProtection="1">
      <alignment horizontal="center"/>
      <protection hidden="1"/>
    </xf>
    <xf numFmtId="0" fontId="3" fillId="2" borderId="8" xfId="0" applyFont="1" applyFill="1" applyBorder="1" applyProtection="1">
      <protection hidden="1"/>
    </xf>
    <xf numFmtId="0" fontId="4" fillId="2" borderId="0" xfId="0" applyFont="1" applyFill="1" applyAlignment="1" applyProtection="1">
      <alignment wrapText="1"/>
      <protection hidden="1"/>
    </xf>
    <xf numFmtId="0" fontId="3" fillId="15" borderId="0" xfId="0" applyFont="1" applyFill="1" applyBorder="1" applyAlignment="1" applyProtection="1">
      <alignment horizontal="left"/>
      <protection hidden="1"/>
    </xf>
    <xf numFmtId="0" fontId="3" fillId="2" borderId="0" xfId="0" quotePrefix="1" applyFont="1" applyFill="1" applyAlignment="1">
      <alignment horizontal="right"/>
    </xf>
    <xf numFmtId="3" fontId="130" fillId="2" borderId="0" xfId="0" applyNumberFormat="1" applyFont="1" applyFill="1" applyAlignment="1" applyProtection="1">
      <alignment horizontal="left"/>
      <protection hidden="1"/>
    </xf>
    <xf numFmtId="3" fontId="0" fillId="2" borderId="3" xfId="0" applyNumberFormat="1" applyFill="1" applyBorder="1" applyAlignment="1" applyProtection="1">
      <protection hidden="1"/>
    </xf>
    <xf numFmtId="0" fontId="3" fillId="5" borderId="0" xfId="0" applyFont="1" applyFill="1" applyAlignment="1" applyProtection="1">
      <alignment horizontal="center"/>
      <protection hidden="1"/>
    </xf>
    <xf numFmtId="3" fontId="19" fillId="2" borderId="0" xfId="0" applyNumberFormat="1" applyFont="1" applyFill="1" applyBorder="1" applyAlignment="1" applyProtection="1">
      <alignment horizontal="center"/>
      <protection hidden="1"/>
    </xf>
    <xf numFmtId="1" fontId="4" fillId="2" borderId="0" xfId="0" applyNumberFormat="1" applyFont="1" applyFill="1" applyBorder="1" applyAlignment="1" applyProtection="1">
      <alignment horizontal="center" vertical="center" wrapText="1"/>
      <protection locked="0"/>
    </xf>
    <xf numFmtId="0" fontId="1" fillId="0" borderId="10" xfId="0" applyFont="1" applyBorder="1" applyProtection="1">
      <protection hidden="1"/>
    </xf>
    <xf numFmtId="4" fontId="23" fillId="2" borderId="30" xfId="0" applyNumberFormat="1" applyFont="1" applyFill="1" applyBorder="1" applyProtection="1">
      <protection hidden="1"/>
    </xf>
    <xf numFmtId="0" fontId="140" fillId="5" borderId="0" xfId="0" applyFont="1" applyFill="1" applyProtection="1">
      <protection hidden="1"/>
    </xf>
    <xf numFmtId="0" fontId="3" fillId="3" borderId="0" xfId="0" applyFont="1" applyFill="1" applyBorder="1" applyProtection="1">
      <protection hidden="1"/>
    </xf>
    <xf numFmtId="0" fontId="141" fillId="3" borderId="26" xfId="0" applyFont="1" applyFill="1" applyBorder="1" applyAlignment="1" applyProtection="1">
      <alignment horizontal="center"/>
      <protection hidden="1"/>
    </xf>
    <xf numFmtId="0" fontId="6" fillId="3" borderId="26" xfId="0" applyFont="1" applyFill="1" applyBorder="1" applyAlignment="1" applyProtection="1">
      <alignment horizontal="right"/>
      <protection hidden="1"/>
    </xf>
    <xf numFmtId="0" fontId="15" fillId="2" borderId="0" xfId="0" applyFont="1" applyFill="1" applyBorder="1" applyAlignment="1" applyProtection="1">
      <alignment horizontal="center" vertical="center" wrapText="1"/>
      <protection hidden="1"/>
    </xf>
    <xf numFmtId="0" fontId="15" fillId="2" borderId="35" xfId="0" applyFont="1" applyFill="1" applyBorder="1" applyAlignment="1" applyProtection="1">
      <alignment horizontal="center" vertical="center" wrapText="1"/>
      <protection hidden="1"/>
    </xf>
    <xf numFmtId="0" fontId="9" fillId="2" borderId="15" xfId="0" applyFont="1" applyFill="1" applyBorder="1" applyProtection="1">
      <protection hidden="1"/>
    </xf>
    <xf numFmtId="0" fontId="51" fillId="2" borderId="9" xfId="0" applyFont="1" applyFill="1" applyBorder="1" applyAlignment="1" applyProtection="1">
      <alignment vertical="center"/>
      <protection hidden="1"/>
    </xf>
    <xf numFmtId="0" fontId="15" fillId="2" borderId="9" xfId="0" applyFont="1" applyFill="1" applyBorder="1" applyAlignment="1">
      <alignment horizontal="center" wrapText="1"/>
    </xf>
    <xf numFmtId="0" fontId="0" fillId="2" borderId="9" xfId="0" applyFill="1" applyBorder="1" applyAlignment="1">
      <alignment horizontal="center" wrapText="1"/>
    </xf>
    <xf numFmtId="0" fontId="14" fillId="2" borderId="9" xfId="0" applyFont="1" applyFill="1" applyBorder="1" applyAlignment="1" applyProtection="1">
      <alignment horizontal="left" vertical="center" wrapText="1"/>
      <protection hidden="1"/>
    </xf>
    <xf numFmtId="0" fontId="9" fillId="2" borderId="15" xfId="0" applyFont="1" applyFill="1" applyBorder="1" applyAlignment="1" applyProtection="1">
      <alignment horizontal="right" wrapText="1"/>
      <protection hidden="1"/>
    </xf>
    <xf numFmtId="0" fontId="8" fillId="2" borderId="9" xfId="0" applyFont="1" applyFill="1" applyBorder="1" applyAlignment="1" applyProtection="1">
      <alignment vertical="top"/>
      <protection hidden="1"/>
    </xf>
    <xf numFmtId="0" fontId="8" fillId="2" borderId="31" xfId="0" applyFont="1" applyFill="1" applyBorder="1" applyAlignment="1" applyProtection="1">
      <alignment vertical="top"/>
      <protection hidden="1"/>
    </xf>
    <xf numFmtId="0" fontId="17" fillId="2" borderId="9" xfId="0" applyFont="1" applyFill="1" applyBorder="1" applyAlignment="1" applyProtection="1">
      <alignment horizontal="left"/>
      <protection hidden="1"/>
    </xf>
    <xf numFmtId="0" fontId="134" fillId="0" borderId="0" xfId="0" applyFont="1" applyAlignment="1">
      <alignment vertical="center"/>
    </xf>
    <xf numFmtId="3" fontId="135" fillId="0" borderId="0" xfId="0" applyNumberFormat="1" applyFont="1" applyProtection="1">
      <protection hidden="1"/>
    </xf>
    <xf numFmtId="0" fontId="135" fillId="0" borderId="0" xfId="0" applyFont="1" applyProtection="1">
      <protection hidden="1"/>
    </xf>
    <xf numFmtId="0" fontId="134" fillId="0" borderId="0" xfId="0" applyFont="1"/>
    <xf numFmtId="0" fontId="135" fillId="0" borderId="0" xfId="0" applyFont="1"/>
    <xf numFmtId="3" fontId="134" fillId="0" borderId="0" xfId="0" applyNumberFormat="1" applyFont="1" applyProtection="1">
      <protection hidden="1"/>
    </xf>
    <xf numFmtId="3" fontId="135" fillId="0" borderId="0" xfId="0" applyNumberFormat="1" applyFont="1" applyBorder="1" applyProtection="1">
      <protection hidden="1"/>
    </xf>
    <xf numFmtId="0" fontId="3" fillId="2" borderId="0" xfId="0" applyFont="1" applyFill="1" applyAlignment="1"/>
    <xf numFmtId="0" fontId="4" fillId="2" borderId="31" xfId="0" applyFont="1" applyFill="1" applyBorder="1" applyAlignment="1" applyProtection="1">
      <protection hidden="1"/>
    </xf>
    <xf numFmtId="0" fontId="0" fillId="2" borderId="15" xfId="0" applyFill="1" applyBorder="1" applyAlignment="1"/>
    <xf numFmtId="0" fontId="4" fillId="2" borderId="3" xfId="0" applyFont="1" applyFill="1" applyBorder="1" applyAlignment="1" applyProtection="1">
      <protection hidden="1"/>
    </xf>
    <xf numFmtId="0" fontId="0" fillId="2" borderId="25" xfId="0" applyFill="1" applyBorder="1" applyAlignment="1"/>
    <xf numFmtId="0" fontId="35" fillId="2" borderId="3" xfId="0" applyFont="1" applyFill="1" applyBorder="1" applyProtection="1">
      <protection hidden="1"/>
    </xf>
    <xf numFmtId="0" fontId="5" fillId="2" borderId="3" xfId="0" quotePrefix="1" applyFont="1" applyFill="1" applyBorder="1" applyAlignment="1" applyProtection="1">
      <alignment horizontal="right"/>
      <protection hidden="1"/>
    </xf>
    <xf numFmtId="6" fontId="5" fillId="2" borderId="3" xfId="0" applyNumberFormat="1" applyFont="1" applyFill="1" applyBorder="1" applyAlignment="1" applyProtection="1">
      <alignment horizontal="left"/>
      <protection hidden="1"/>
    </xf>
    <xf numFmtId="6" fontId="5" fillId="2" borderId="10" xfId="0" applyNumberFormat="1" applyFont="1" applyFill="1" applyBorder="1" applyAlignment="1" applyProtection="1">
      <alignment horizontal="left"/>
      <protection hidden="1"/>
    </xf>
    <xf numFmtId="6" fontId="8" fillId="2" borderId="0" xfId="0" applyNumberFormat="1" applyFont="1" applyFill="1" applyBorder="1" applyAlignment="1" applyProtection="1">
      <alignment horizontal="left" vertical="top"/>
      <protection hidden="1"/>
    </xf>
    <xf numFmtId="6" fontId="8" fillId="2" borderId="1" xfId="0" applyNumberFormat="1" applyFont="1" applyFill="1" applyBorder="1" applyAlignment="1" applyProtection="1">
      <alignment horizontal="left" vertical="top"/>
      <protection hidden="1"/>
    </xf>
    <xf numFmtId="0" fontId="8" fillId="2" borderId="59" xfId="0" applyFont="1" applyFill="1" applyBorder="1" applyProtection="1">
      <protection hidden="1"/>
    </xf>
    <xf numFmtId="0" fontId="8" fillId="2" borderId="8" xfId="0" applyFont="1" applyFill="1" applyBorder="1" applyProtection="1">
      <protection hidden="1"/>
    </xf>
    <xf numFmtId="0" fontId="4" fillId="2" borderId="8" xfId="0" applyFont="1" applyFill="1" applyBorder="1" applyAlignment="1" applyProtection="1">
      <alignment horizontal="right"/>
      <protection hidden="1"/>
    </xf>
    <xf numFmtId="0" fontId="8" fillId="2" borderId="15" xfId="0" applyFont="1" applyFill="1" applyBorder="1" applyAlignment="1" applyProtection="1">
      <alignment vertical="center"/>
      <protection hidden="1"/>
    </xf>
    <xf numFmtId="14" fontId="8" fillId="2" borderId="9" xfId="0" applyNumberFormat="1" applyFont="1" applyFill="1" applyBorder="1" applyAlignment="1" applyProtection="1">
      <protection hidden="1"/>
    </xf>
    <xf numFmtId="0" fontId="0" fillId="2" borderId="1" xfId="0" applyFill="1" applyBorder="1" applyAlignment="1" applyProtection="1">
      <protection locked="0"/>
    </xf>
    <xf numFmtId="0" fontId="8" fillId="2" borderId="31" xfId="0" applyFont="1" applyFill="1" applyBorder="1" applyAlignment="1" applyProtection="1">
      <alignment horizontal="left" vertical="center"/>
      <protection hidden="1"/>
    </xf>
    <xf numFmtId="0" fontId="4" fillId="2" borderId="0" xfId="0" quotePrefix="1" applyFont="1" applyFill="1" applyBorder="1" applyAlignment="1" applyProtection="1">
      <alignment horizontal="right"/>
      <protection hidden="1"/>
    </xf>
    <xf numFmtId="0" fontId="4" fillId="2" borderId="0" xfId="0" applyFont="1" applyFill="1" applyBorder="1" applyAlignment="1" applyProtection="1">
      <alignment horizontal="right" vertical="top"/>
      <protection hidden="1"/>
    </xf>
    <xf numFmtId="0" fontId="3" fillId="2" borderId="0" xfId="0" quotePrefix="1" applyFont="1" applyFill="1" applyBorder="1" applyAlignment="1" applyProtection="1">
      <alignment horizontal="right"/>
      <protection hidden="1"/>
    </xf>
    <xf numFmtId="6" fontId="142" fillId="2" borderId="3" xfId="0" applyNumberFormat="1" applyFont="1" applyFill="1" applyBorder="1" applyAlignment="1" applyProtection="1">
      <alignment horizontal="center" vertical="center"/>
      <protection hidden="1"/>
    </xf>
    <xf numFmtId="0" fontId="3" fillId="2" borderId="0" xfId="0" applyFont="1" applyFill="1" applyBorder="1" applyAlignment="1" applyProtection="1">
      <alignment horizontal="right"/>
      <protection hidden="1"/>
    </xf>
    <xf numFmtId="3" fontId="3" fillId="2" borderId="0" xfId="0" applyNumberFormat="1" applyFont="1" applyFill="1" applyBorder="1" applyProtection="1">
      <protection hidden="1"/>
    </xf>
    <xf numFmtId="3" fontId="4" fillId="2" borderId="0" xfId="0" applyNumberFormat="1" applyFont="1" applyFill="1" applyBorder="1" applyAlignment="1" applyProtection="1">
      <alignment horizontal="right"/>
      <protection hidden="1"/>
    </xf>
    <xf numFmtId="0" fontId="42" fillId="2" borderId="6" xfId="0" quotePrefix="1" applyFont="1" applyFill="1" applyBorder="1" applyAlignment="1" applyProtection="1">
      <alignment horizontal="left"/>
      <protection hidden="1"/>
    </xf>
    <xf numFmtId="0" fontId="42" fillId="2" borderId="6" xfId="0" quotePrefix="1" applyFont="1" applyFill="1" applyBorder="1" applyAlignment="1" applyProtection="1">
      <alignment horizontal="left" vertical="center"/>
      <protection hidden="1"/>
    </xf>
    <xf numFmtId="0" fontId="42" fillId="2" borderId="22" xfId="0" quotePrefix="1" applyFont="1" applyFill="1" applyBorder="1" applyAlignment="1" applyProtection="1">
      <alignment horizontal="left" vertical="center"/>
      <protection hidden="1"/>
    </xf>
    <xf numFmtId="0" fontId="4" fillId="2" borderId="70" xfId="0" applyFont="1" applyFill="1" applyBorder="1" applyProtection="1">
      <protection hidden="1"/>
    </xf>
    <xf numFmtId="0" fontId="3" fillId="2" borderId="26" xfId="0" applyFont="1" applyFill="1" applyBorder="1" applyProtection="1">
      <protection hidden="1"/>
    </xf>
    <xf numFmtId="0" fontId="19" fillId="2" borderId="26" xfId="0" applyFont="1" applyFill="1" applyBorder="1" applyProtection="1">
      <protection hidden="1"/>
    </xf>
    <xf numFmtId="0" fontId="67" fillId="2" borderId="26" xfId="0" applyFont="1" applyFill="1" applyBorder="1" applyProtection="1">
      <protection hidden="1"/>
    </xf>
    <xf numFmtId="0" fontId="4" fillId="2" borderId="26" xfId="0" applyFont="1" applyFill="1" applyBorder="1" applyAlignment="1" applyProtection="1">
      <alignment horizontal="center"/>
      <protection hidden="1"/>
    </xf>
    <xf numFmtId="0" fontId="23" fillId="2" borderId="26" xfId="0" applyFont="1" applyFill="1" applyBorder="1" applyProtection="1">
      <protection hidden="1"/>
    </xf>
    <xf numFmtId="0" fontId="0" fillId="2" borderId="71" xfId="0" applyFill="1" applyBorder="1" applyProtection="1">
      <protection hidden="1"/>
    </xf>
    <xf numFmtId="0" fontId="3" fillId="2" borderId="26" xfId="0" applyFont="1" applyFill="1" applyBorder="1" applyAlignment="1" applyProtection="1">
      <alignment horizontal="left" vertical="center"/>
      <protection hidden="1"/>
    </xf>
    <xf numFmtId="0" fontId="26" fillId="2" borderId="0" xfId="0" applyFont="1" applyFill="1" applyBorder="1" applyAlignment="1" applyProtection="1">
      <alignment horizontal="center" vertical="center"/>
      <protection hidden="1"/>
    </xf>
    <xf numFmtId="37" fontId="143" fillId="2" borderId="0" xfId="0" applyNumberFormat="1" applyFont="1" applyFill="1" applyBorder="1" applyAlignment="1" applyProtection="1">
      <alignment horizontal="right"/>
      <protection hidden="1"/>
    </xf>
    <xf numFmtId="3" fontId="143" fillId="2" borderId="0" xfId="0" applyNumberFormat="1" applyFont="1" applyFill="1" applyBorder="1" applyProtection="1">
      <protection hidden="1"/>
    </xf>
    <xf numFmtId="0" fontId="143" fillId="2" borderId="0" xfId="0" applyFont="1" applyFill="1" applyBorder="1" applyProtection="1">
      <protection hidden="1"/>
    </xf>
    <xf numFmtId="0" fontId="1" fillId="2" borderId="0" xfId="0" applyFont="1" applyFill="1"/>
    <xf numFmtId="0" fontId="1" fillId="2" borderId="0" xfId="0" applyFont="1" applyFill="1" applyAlignment="1"/>
    <xf numFmtId="0" fontId="1" fillId="2" borderId="0" xfId="0" applyFont="1" applyFill="1" applyBorder="1"/>
    <xf numFmtId="4" fontId="5" fillId="2" borderId="0" xfId="0" applyNumberFormat="1" applyFont="1" applyFill="1"/>
    <xf numFmtId="0" fontId="1" fillId="2" borderId="0" xfId="0" applyFont="1" applyFill="1" applyAlignment="1">
      <alignment horizontal="center"/>
    </xf>
    <xf numFmtId="4" fontId="11" fillId="2" borderId="0" xfId="0" applyNumberFormat="1" applyFont="1" applyFill="1" applyBorder="1" applyAlignment="1">
      <alignment horizontal="right"/>
    </xf>
    <xf numFmtId="0" fontId="8" fillId="2" borderId="0" xfId="0" applyFont="1" applyFill="1"/>
    <xf numFmtId="4" fontId="6" fillId="3" borderId="23" xfId="0" applyNumberFormat="1" applyFont="1" applyFill="1" applyBorder="1" applyAlignment="1" applyProtection="1">
      <alignment horizontal="right"/>
      <protection hidden="1"/>
    </xf>
    <xf numFmtId="0" fontId="11" fillId="2" borderId="0" xfId="0" applyFont="1" applyFill="1"/>
    <xf numFmtId="0" fontId="17" fillId="2" borderId="5" xfId="0" applyFont="1" applyFill="1" applyBorder="1" applyAlignment="1" applyProtection="1">
      <alignment horizontal="left" vertical="center"/>
      <protection hidden="1"/>
    </xf>
    <xf numFmtId="0" fontId="11" fillId="3" borderId="0" xfId="0" applyFont="1" applyFill="1" applyAlignment="1" applyProtection="1">
      <alignment horizontal="right"/>
      <protection hidden="1"/>
    </xf>
    <xf numFmtId="4" fontId="3" fillId="0" borderId="12" xfId="0" applyNumberFormat="1" applyFont="1" applyBorder="1" applyProtection="1">
      <protection hidden="1"/>
    </xf>
    <xf numFmtId="4" fontId="0" fillId="18" borderId="0" xfId="0" applyNumberFormat="1" applyFill="1" applyBorder="1" applyProtection="1">
      <protection hidden="1"/>
    </xf>
    <xf numFmtId="4" fontId="0" fillId="18" borderId="3" xfId="0" applyNumberFormat="1" applyFill="1" applyBorder="1" applyProtection="1">
      <protection hidden="1"/>
    </xf>
    <xf numFmtId="4" fontId="0" fillId="18" borderId="25" xfId="0" applyNumberFormat="1" applyFill="1" applyBorder="1" applyProtection="1">
      <protection hidden="1"/>
    </xf>
    <xf numFmtId="4" fontId="0" fillId="3" borderId="3" xfId="0" applyNumberFormat="1" applyFill="1" applyBorder="1" applyProtection="1">
      <protection hidden="1"/>
    </xf>
    <xf numFmtId="0" fontId="8" fillId="3" borderId="0" xfId="0" applyFont="1" applyFill="1" applyAlignment="1" applyProtection="1">
      <alignment vertical="top"/>
      <protection hidden="1"/>
    </xf>
    <xf numFmtId="0" fontId="6" fillId="3" borderId="0" xfId="0" applyNumberFormat="1" applyFont="1" applyFill="1" applyBorder="1" applyAlignment="1" applyProtection="1">
      <alignment horizontal="right"/>
      <protection hidden="1"/>
    </xf>
    <xf numFmtId="4" fontId="4" fillId="3" borderId="0" xfId="0" applyNumberFormat="1" applyFont="1" applyFill="1" applyBorder="1" applyAlignment="1" applyProtection="1">
      <alignment horizontal="center"/>
      <protection hidden="1"/>
    </xf>
    <xf numFmtId="4" fontId="4" fillId="3" borderId="31" xfId="0" applyNumberFormat="1" applyFont="1" applyFill="1" applyBorder="1" applyAlignment="1" applyProtection="1">
      <alignment horizontal="right"/>
      <protection locked="0"/>
    </xf>
    <xf numFmtId="4" fontId="4" fillId="3" borderId="9" xfId="0" applyNumberFormat="1" applyFont="1" applyFill="1" applyBorder="1" applyAlignment="1" applyProtection="1">
      <alignment horizontal="right"/>
      <protection locked="0"/>
    </xf>
    <xf numFmtId="0" fontId="4" fillId="0" borderId="15" xfId="0" applyFont="1" applyBorder="1" applyAlignment="1" applyProtection="1">
      <alignment horizontal="right"/>
      <protection locked="0"/>
    </xf>
    <xf numFmtId="4" fontId="0" fillId="18" borderId="31" xfId="0" applyNumberFormat="1" applyFill="1" applyBorder="1" applyProtection="1">
      <protection hidden="1"/>
    </xf>
    <xf numFmtId="4" fontId="0" fillId="18" borderId="9" xfId="0" applyNumberFormat="1" applyFill="1" applyBorder="1" applyProtection="1">
      <protection hidden="1"/>
    </xf>
    <xf numFmtId="4" fontId="0" fillId="18" borderId="15" xfId="0" applyNumberFormat="1" applyFill="1" applyBorder="1" applyProtection="1">
      <protection hidden="1"/>
    </xf>
    <xf numFmtId="0" fontId="11" fillId="3" borderId="8" xfId="0" applyNumberFormat="1" applyFont="1" applyFill="1" applyBorder="1" applyAlignment="1" applyProtection="1">
      <alignment horizontal="right"/>
      <protection hidden="1"/>
    </xf>
    <xf numFmtId="0" fontId="6" fillId="3" borderId="32" xfId="0" applyFont="1" applyFill="1" applyBorder="1" applyAlignment="1" applyProtection="1">
      <alignment horizontal="right"/>
      <protection hidden="1"/>
    </xf>
    <xf numFmtId="0" fontId="5" fillId="3" borderId="32" xfId="0" applyFont="1" applyFill="1" applyBorder="1" applyProtection="1">
      <protection hidden="1"/>
    </xf>
    <xf numFmtId="0" fontId="8" fillId="3" borderId="32" xfId="0" applyFont="1" applyFill="1" applyBorder="1" applyProtection="1">
      <protection hidden="1"/>
    </xf>
    <xf numFmtId="0" fontId="1" fillId="3" borderId="32" xfId="0" applyFont="1" applyFill="1" applyBorder="1" applyAlignment="1" applyProtection="1">
      <alignment horizontal="center"/>
      <protection hidden="1"/>
    </xf>
    <xf numFmtId="4" fontId="0" fillId="3" borderId="32" xfId="0" applyNumberFormat="1" applyFill="1" applyBorder="1" applyProtection="1">
      <protection hidden="1"/>
    </xf>
    <xf numFmtId="4" fontId="0" fillId="3" borderId="77" xfId="0" applyNumberFormat="1" applyFill="1" applyBorder="1" applyProtection="1">
      <protection hidden="1"/>
    </xf>
    <xf numFmtId="0" fontId="17" fillId="2" borderId="6" xfId="0" applyFont="1" applyFill="1" applyBorder="1" applyProtection="1">
      <protection hidden="1"/>
    </xf>
    <xf numFmtId="0" fontId="17" fillId="2" borderId="22" xfId="0" applyFont="1" applyFill="1" applyBorder="1" applyAlignment="1" applyProtection="1">
      <alignment horizontal="left" vertical="center"/>
      <protection hidden="1"/>
    </xf>
    <xf numFmtId="0" fontId="17" fillId="3" borderId="8" xfId="0" applyFont="1" applyFill="1" applyBorder="1" applyAlignment="1" applyProtection="1">
      <alignment horizontal="right"/>
      <protection hidden="1"/>
    </xf>
    <xf numFmtId="0" fontId="6" fillId="3" borderId="0" xfId="0" applyFont="1" applyFill="1" applyBorder="1" applyAlignment="1" applyProtection="1">
      <alignment vertical="top"/>
      <protection hidden="1"/>
    </xf>
    <xf numFmtId="0" fontId="9" fillId="3" borderId="0" xfId="0" quotePrefix="1" applyFont="1" applyFill="1" applyBorder="1" applyAlignment="1" applyProtection="1">
      <alignment horizontal="left"/>
      <protection hidden="1"/>
    </xf>
    <xf numFmtId="39" fontId="15" fillId="3" borderId="0" xfId="0" applyNumberFormat="1" applyFont="1" applyFill="1" applyBorder="1" applyAlignment="1" applyProtection="1">
      <alignment horizontal="left"/>
      <protection locked="0"/>
    </xf>
    <xf numFmtId="0" fontId="0" fillId="0" borderId="0" xfId="0" applyBorder="1" applyAlignment="1" applyProtection="1">
      <alignment horizontal="left"/>
      <protection locked="0"/>
    </xf>
    <xf numFmtId="0" fontId="0" fillId="3" borderId="6" xfId="0" applyFill="1" applyBorder="1" applyProtection="1">
      <protection hidden="1"/>
    </xf>
    <xf numFmtId="0" fontId="0" fillId="3" borderId="32" xfId="0" applyFill="1" applyBorder="1" applyProtection="1">
      <protection hidden="1"/>
    </xf>
    <xf numFmtId="0" fontId="0" fillId="2" borderId="9" xfId="0" applyFill="1" applyBorder="1" applyAlignment="1" applyProtection="1">
      <alignment horizontal="left"/>
      <protection locked="0"/>
    </xf>
    <xf numFmtId="39" fontId="6" fillId="3" borderId="0" xfId="0" applyNumberFormat="1" applyFont="1" applyFill="1" applyBorder="1" applyProtection="1">
      <protection hidden="1"/>
    </xf>
    <xf numFmtId="0" fontId="1" fillId="3" borderId="78" xfId="0" applyFont="1" applyFill="1" applyBorder="1" applyAlignment="1" applyProtection="1">
      <alignment horizontal="center"/>
      <protection locked="0"/>
    </xf>
    <xf numFmtId="0" fontId="6" fillId="3" borderId="11" xfId="0" applyFont="1" applyFill="1" applyBorder="1" applyAlignment="1" applyProtection="1">
      <alignment horizontal="center"/>
      <protection hidden="1"/>
    </xf>
    <xf numFmtId="4" fontId="3" fillId="3" borderId="0" xfId="0" applyNumberFormat="1" applyFont="1" applyFill="1" applyBorder="1" applyAlignment="1" applyProtection="1">
      <alignment horizontal="left"/>
      <protection hidden="1"/>
    </xf>
    <xf numFmtId="0" fontId="6" fillId="3" borderId="10" xfId="0" applyFont="1" applyFill="1" applyBorder="1" applyAlignment="1" applyProtection="1">
      <alignment horizontal="center"/>
      <protection hidden="1"/>
    </xf>
    <xf numFmtId="0" fontId="3" fillId="3" borderId="5" xfId="0" applyFont="1" applyFill="1" applyBorder="1" applyProtection="1">
      <protection hidden="1"/>
    </xf>
    <xf numFmtId="0" fontId="9" fillId="3" borderId="5" xfId="0" applyFont="1" applyFill="1" applyBorder="1" applyAlignment="1" applyProtection="1">
      <alignment horizontal="right"/>
      <protection hidden="1"/>
    </xf>
    <xf numFmtId="0" fontId="7" fillId="3" borderId="22" xfId="0" applyFont="1" applyFill="1" applyBorder="1" applyAlignment="1" applyProtection="1">
      <alignment horizontal="right"/>
      <protection hidden="1"/>
    </xf>
    <xf numFmtId="0" fontId="6" fillId="3" borderId="5" xfId="0" applyFont="1" applyFill="1" applyBorder="1" applyAlignment="1" applyProtection="1">
      <alignment horizontal="left"/>
      <protection hidden="1"/>
    </xf>
    <xf numFmtId="0" fontId="6" fillId="3" borderId="52" xfId="0" applyFont="1" applyFill="1" applyBorder="1" applyAlignment="1" applyProtection="1">
      <alignment horizontal="center"/>
      <protection hidden="1"/>
    </xf>
    <xf numFmtId="39" fontId="6" fillId="3" borderId="5" xfId="0" applyNumberFormat="1" applyFont="1" applyFill="1" applyBorder="1" applyProtection="1">
      <protection hidden="1"/>
    </xf>
    <xf numFmtId="4" fontId="8" fillId="3" borderId="8" xfId="0" applyNumberFormat="1" applyFont="1" applyFill="1" applyBorder="1" applyAlignment="1" applyProtection="1">
      <alignment horizontal="center" vertical="top"/>
      <protection hidden="1"/>
    </xf>
    <xf numFmtId="3" fontId="139" fillId="0" borderId="0" xfId="0" applyNumberFormat="1" applyFont="1" applyAlignment="1" applyProtection="1">
      <alignment horizontal="center" wrapText="1"/>
      <protection hidden="1"/>
    </xf>
    <xf numFmtId="3" fontId="139" fillId="0" borderId="8" xfId="0" applyNumberFormat="1" applyFont="1" applyFill="1" applyBorder="1" applyAlignment="1" applyProtection="1">
      <alignment horizontal="center" wrapText="1"/>
      <protection hidden="1"/>
    </xf>
    <xf numFmtId="0" fontId="11" fillId="3" borderId="22" xfId="0" applyFont="1" applyFill="1" applyBorder="1" applyAlignment="1" applyProtection="1">
      <alignment horizontal="centerContinuous"/>
      <protection hidden="1"/>
    </xf>
    <xf numFmtId="0" fontId="8" fillId="3" borderId="5" xfId="0" applyFont="1" applyFill="1" applyBorder="1" applyAlignment="1" applyProtection="1">
      <alignment vertical="top"/>
      <protection hidden="1"/>
    </xf>
    <xf numFmtId="0" fontId="16" fillId="2" borderId="0" xfId="0" applyFont="1" applyFill="1" applyProtection="1">
      <protection hidden="1"/>
    </xf>
    <xf numFmtId="174" fontId="3" fillId="0" borderId="0" xfId="0" applyNumberFormat="1" applyFont="1" applyAlignment="1" applyProtection="1">
      <alignment horizontal="center"/>
      <protection hidden="1"/>
    </xf>
    <xf numFmtId="0" fontId="143" fillId="0" borderId="0" xfId="0" applyFont="1" applyAlignment="1" applyProtection="1">
      <alignment horizontal="center"/>
      <protection hidden="1"/>
    </xf>
    <xf numFmtId="174" fontId="143" fillId="0" borderId="0" xfId="0" applyNumberFormat="1" applyFont="1" applyAlignment="1" applyProtection="1">
      <alignment horizontal="center"/>
      <protection hidden="1"/>
    </xf>
    <xf numFmtId="0" fontId="0" fillId="2" borderId="0" xfId="0" applyFill="1" applyBorder="1" applyAlignment="1"/>
    <xf numFmtId="0" fontId="5" fillId="2" borderId="1" xfId="0" applyFont="1" applyFill="1" applyBorder="1" applyAlignment="1" applyProtection="1">
      <alignment vertical="center"/>
      <protection hidden="1"/>
    </xf>
    <xf numFmtId="0" fontId="3" fillId="2" borderId="1" xfId="0" applyFont="1" applyFill="1" applyBorder="1" applyAlignment="1" applyProtection="1">
      <alignment horizontal="right"/>
      <protection hidden="1"/>
    </xf>
    <xf numFmtId="0" fontId="1" fillId="3" borderId="0" xfId="0" applyFont="1" applyFill="1" applyBorder="1" applyAlignment="1" applyProtection="1">
      <alignment horizontal="right" vertical="top"/>
      <protection hidden="1"/>
    </xf>
    <xf numFmtId="4" fontId="0" fillId="3" borderId="16" xfId="0" applyNumberFormat="1" applyFill="1" applyBorder="1" applyProtection="1">
      <protection hidden="1"/>
    </xf>
    <xf numFmtId="0" fontId="1" fillId="3" borderId="5" xfId="0" applyFont="1" applyFill="1" applyBorder="1" applyAlignment="1" applyProtection="1">
      <alignment horizontal="right" vertical="top"/>
      <protection hidden="1"/>
    </xf>
    <xf numFmtId="39" fontId="0" fillId="3" borderId="0" xfId="0" applyNumberFormat="1" applyFill="1" applyBorder="1" applyProtection="1">
      <protection hidden="1"/>
    </xf>
    <xf numFmtId="0" fontId="3" fillId="3" borderId="0" xfId="0" applyFont="1" applyFill="1" applyBorder="1" applyAlignment="1" applyProtection="1">
      <protection hidden="1"/>
    </xf>
    <xf numFmtId="39" fontId="0" fillId="3" borderId="31" xfId="0" applyNumberFormat="1" applyFill="1" applyBorder="1" applyProtection="1">
      <protection hidden="1"/>
    </xf>
    <xf numFmtId="39" fontId="0" fillId="3" borderId="9" xfId="0" applyNumberFormat="1" applyFill="1" applyBorder="1" applyProtection="1">
      <protection hidden="1"/>
    </xf>
    <xf numFmtId="0" fontId="3" fillId="2" borderId="0" xfId="0" applyFont="1" applyFill="1" applyAlignment="1" applyProtection="1">
      <alignment horizontal="right"/>
      <protection hidden="1"/>
    </xf>
    <xf numFmtId="0" fontId="6" fillId="2" borderId="0" xfId="0" applyFont="1" applyFill="1" applyAlignment="1" applyProtection="1">
      <alignment vertical="top"/>
      <protection hidden="1"/>
    </xf>
    <xf numFmtId="0" fontId="143" fillId="2" borderId="0" xfId="0" applyFont="1" applyFill="1" applyAlignment="1" applyProtection="1">
      <alignment horizontal="center"/>
      <protection hidden="1"/>
    </xf>
    <xf numFmtId="0" fontId="143" fillId="0" borderId="0" xfId="0" applyFont="1" applyFill="1" applyAlignment="1" applyProtection="1">
      <alignment horizontal="center"/>
      <protection hidden="1"/>
    </xf>
    <xf numFmtId="4" fontId="19" fillId="3" borderId="31" xfId="0" applyNumberFormat="1" applyFont="1" applyFill="1" applyBorder="1" applyProtection="1">
      <protection hidden="1"/>
    </xf>
    <xf numFmtId="4" fontId="19" fillId="3" borderId="9" xfId="0" applyNumberFormat="1" applyFont="1" applyFill="1" applyBorder="1" applyProtection="1">
      <protection hidden="1"/>
    </xf>
    <xf numFmtId="4" fontId="19" fillId="3" borderId="3" xfId="0" applyNumberFormat="1" applyFont="1" applyFill="1" applyBorder="1" applyAlignment="1" applyProtection="1">
      <alignment vertical="center"/>
      <protection hidden="1"/>
    </xf>
    <xf numFmtId="4" fontId="19" fillId="3" borderId="0" xfId="0" applyNumberFormat="1" applyFont="1" applyFill="1" applyBorder="1" applyAlignment="1" applyProtection="1">
      <alignment horizontal="right" vertical="center"/>
      <protection hidden="1"/>
    </xf>
    <xf numFmtId="4" fontId="4" fillId="3" borderId="3" xfId="0" applyNumberFormat="1" applyFont="1" applyFill="1" applyBorder="1" applyProtection="1">
      <protection hidden="1"/>
    </xf>
    <xf numFmtId="4" fontId="19" fillId="3" borderId="3" xfId="0" applyNumberFormat="1" applyFont="1" applyFill="1" applyBorder="1" applyProtection="1">
      <protection hidden="1"/>
    </xf>
    <xf numFmtId="4" fontId="19" fillId="3" borderId="0" xfId="0" applyNumberFormat="1" applyFont="1" applyFill="1" applyBorder="1" applyAlignment="1" applyProtection="1">
      <alignment horizontal="right"/>
      <protection hidden="1"/>
    </xf>
    <xf numFmtId="4" fontId="19" fillId="3" borderId="72" xfId="0" applyNumberFormat="1" applyFont="1" applyFill="1" applyBorder="1" applyProtection="1">
      <protection hidden="1"/>
    </xf>
    <xf numFmtId="4" fontId="19" fillId="3" borderId="5" xfId="0" applyNumberFormat="1" applyFont="1" applyFill="1" applyBorder="1" applyAlignment="1" applyProtection="1">
      <alignment horizontal="right"/>
      <protection hidden="1"/>
    </xf>
    <xf numFmtId="4" fontId="11" fillId="3" borderId="8" xfId="0" applyNumberFormat="1" applyFont="1" applyFill="1" applyBorder="1" applyAlignment="1" applyProtection="1">
      <alignment horizontal="right"/>
      <protection hidden="1"/>
    </xf>
    <xf numFmtId="4" fontId="19" fillId="2" borderId="0" xfId="0" applyNumberFormat="1" applyFont="1" applyFill="1" applyBorder="1" applyAlignment="1" applyProtection="1">
      <protection hidden="1"/>
    </xf>
    <xf numFmtId="4" fontId="17" fillId="2" borderId="0" xfId="0" applyNumberFormat="1" applyFont="1" applyFill="1" applyBorder="1" applyProtection="1">
      <protection hidden="1"/>
    </xf>
    <xf numFmtId="4" fontId="8" fillId="2" borderId="0" xfId="0" applyNumberFormat="1" applyFont="1" applyFill="1" applyBorder="1" applyProtection="1">
      <protection hidden="1"/>
    </xf>
    <xf numFmtId="4" fontId="55" fillId="2" borderId="0" xfId="0" applyNumberFormat="1" applyFont="1" applyFill="1" applyBorder="1" applyProtection="1">
      <protection hidden="1"/>
    </xf>
    <xf numFmtId="4" fontId="58" fillId="2" borderId="0" xfId="0" applyNumberFormat="1" applyFont="1" applyFill="1" applyBorder="1" applyAlignment="1" applyProtection="1">
      <alignment horizontal="center"/>
      <protection hidden="1"/>
    </xf>
    <xf numFmtId="4" fontId="100" fillId="2" borderId="0" xfId="0" applyNumberFormat="1" applyFont="1" applyFill="1" applyBorder="1" applyAlignment="1" applyProtection="1">
      <alignment horizontal="center"/>
      <protection hidden="1"/>
    </xf>
    <xf numFmtId="4" fontId="17" fillId="2" borderId="0" xfId="0" applyNumberFormat="1" applyFont="1" applyFill="1" applyBorder="1" applyAlignment="1" applyProtection="1">
      <alignment horizontal="center"/>
      <protection hidden="1"/>
    </xf>
    <xf numFmtId="39" fontId="5" fillId="2" borderId="0" xfId="0" applyNumberFormat="1" applyFont="1" applyFill="1" applyBorder="1" applyAlignment="1" applyProtection="1">
      <alignment horizontal="right"/>
      <protection locked="0"/>
    </xf>
    <xf numFmtId="39" fontId="5" fillId="2" borderId="0" xfId="0" applyNumberFormat="1" applyFont="1" applyFill="1" applyBorder="1" applyAlignment="1" applyProtection="1">
      <protection locked="0"/>
    </xf>
    <xf numFmtId="39" fontId="8" fillId="2" borderId="0" xfId="0" applyNumberFormat="1" applyFont="1" applyFill="1" applyBorder="1" applyAlignment="1" applyProtection="1">
      <alignment horizontal="center"/>
      <protection hidden="1"/>
    </xf>
    <xf numFmtId="39" fontId="5" fillId="2" borderId="0" xfId="0" applyNumberFormat="1" applyFont="1" applyFill="1" applyBorder="1" applyAlignment="1" applyProtection="1">
      <protection hidden="1"/>
    </xf>
    <xf numFmtId="4" fontId="0" fillId="2" borderId="0" xfId="0" applyNumberFormat="1" applyFill="1" applyBorder="1" applyAlignment="1" applyProtection="1">
      <protection hidden="1"/>
    </xf>
    <xf numFmtId="4" fontId="11" fillId="2" borderId="0" xfId="0" applyNumberFormat="1" applyFont="1" applyFill="1" applyBorder="1" applyAlignment="1" applyProtection="1">
      <protection hidden="1"/>
    </xf>
    <xf numFmtId="39" fontId="8" fillId="2" borderId="0" xfId="0" applyNumberFormat="1" applyFont="1" applyFill="1" applyBorder="1" applyAlignment="1" applyProtection="1">
      <protection hidden="1"/>
    </xf>
    <xf numFmtId="4" fontId="4" fillId="2" borderId="0" xfId="0" applyNumberFormat="1" applyFont="1" applyFill="1" applyBorder="1" applyAlignment="1" applyProtection="1">
      <protection hidden="1"/>
    </xf>
    <xf numFmtId="4" fontId="19" fillId="2" borderId="0" xfId="0" applyNumberFormat="1" applyFont="1" applyFill="1" applyBorder="1" applyAlignment="1" applyProtection="1">
      <alignment vertical="center"/>
      <protection hidden="1"/>
    </xf>
    <xf numFmtId="164" fontId="4" fillId="3" borderId="3" xfId="0" quotePrefix="1" applyNumberFormat="1" applyFont="1" applyFill="1" applyBorder="1" applyAlignment="1" applyProtection="1">
      <alignment horizontal="right" vertical="top"/>
      <protection hidden="1"/>
    </xf>
    <xf numFmtId="0" fontId="1" fillId="2" borderId="0" xfId="0" applyFont="1" applyFill="1" applyProtection="1"/>
    <xf numFmtId="0" fontId="5" fillId="2" borderId="0" xfId="0" applyFont="1" applyFill="1" applyProtection="1"/>
    <xf numFmtId="0" fontId="0" fillId="2" borderId="0" xfId="0" applyFill="1" applyProtection="1"/>
    <xf numFmtId="4" fontId="0" fillId="2" borderId="0" xfId="0" applyNumberFormat="1" applyFill="1" applyProtection="1"/>
    <xf numFmtId="4" fontId="10" fillId="2" borderId="0" xfId="0" applyNumberFormat="1" applyFont="1" applyFill="1" applyAlignment="1" applyProtection="1">
      <alignment horizontal="center" vertical="center"/>
    </xf>
    <xf numFmtId="0" fontId="6" fillId="2" borderId="0" xfId="0" applyFont="1" applyFill="1" applyAlignment="1" applyProtection="1">
      <alignment vertical="center"/>
      <protection hidden="1"/>
    </xf>
    <xf numFmtId="0" fontId="0" fillId="2" borderId="0" xfId="0" applyFill="1" applyAlignment="1" applyProtection="1">
      <alignment horizontal="right"/>
      <protection hidden="1"/>
    </xf>
    <xf numFmtId="0" fontId="13" fillId="2" borderId="0" xfId="0" applyFont="1" applyFill="1" applyAlignment="1" applyProtection="1">
      <alignment horizontal="left" vertical="center"/>
      <protection hidden="1"/>
    </xf>
    <xf numFmtId="0" fontId="11" fillId="2" borderId="0" xfId="0" applyFont="1" applyFill="1" applyBorder="1" applyAlignment="1" applyProtection="1">
      <alignment horizontal="center" vertical="center"/>
      <protection hidden="1"/>
    </xf>
    <xf numFmtId="0" fontId="11" fillId="2" borderId="0" xfId="0" applyFont="1" applyFill="1" applyBorder="1" applyAlignment="1" applyProtection="1">
      <alignment vertical="center"/>
      <protection hidden="1"/>
    </xf>
    <xf numFmtId="0" fontId="8" fillId="2" borderId="68" xfId="0" applyFont="1" applyFill="1" applyBorder="1" applyAlignment="1" applyProtection="1">
      <alignment horizontal="left"/>
      <protection hidden="1"/>
    </xf>
    <xf numFmtId="0" fontId="11" fillId="2" borderId="68" xfId="0" applyFont="1" applyFill="1" applyBorder="1" applyAlignment="1" applyProtection="1">
      <alignment horizontal="left"/>
      <protection hidden="1"/>
    </xf>
    <xf numFmtId="0" fontId="11" fillId="2" borderId="68" xfId="0" applyFont="1" applyFill="1" applyBorder="1" applyAlignment="1" applyProtection="1">
      <alignment horizontal="right"/>
      <protection hidden="1"/>
    </xf>
    <xf numFmtId="0" fontId="0" fillId="5" borderId="72" xfId="0" applyFill="1" applyBorder="1" applyProtection="1">
      <protection hidden="1"/>
    </xf>
    <xf numFmtId="0" fontId="3" fillId="2" borderId="0" xfId="0" applyFont="1" applyFill="1" applyAlignment="1" applyProtection="1">
      <alignment horizontal="left" vertical="top"/>
      <protection hidden="1"/>
    </xf>
    <xf numFmtId="0" fontId="11" fillId="2" borderId="0" xfId="0" applyFont="1" applyFill="1" applyAlignment="1" applyProtection="1">
      <alignment horizontal="right" vertical="top"/>
      <protection hidden="1"/>
    </xf>
    <xf numFmtId="0" fontId="144" fillId="5" borderId="0" xfId="0" applyFont="1" applyFill="1" applyProtection="1">
      <protection hidden="1"/>
    </xf>
    <xf numFmtId="0" fontId="4" fillId="5" borderId="0" xfId="0" applyFont="1" applyFill="1" applyProtection="1">
      <protection hidden="1"/>
    </xf>
    <xf numFmtId="171" fontId="3" fillId="0" borderId="0" xfId="0" applyNumberFormat="1" applyFont="1" applyFill="1" applyBorder="1" applyProtection="1">
      <protection hidden="1"/>
    </xf>
    <xf numFmtId="1" fontId="3" fillId="0" borderId="0" xfId="0" applyNumberFormat="1" applyFont="1" applyFill="1" applyBorder="1" applyProtection="1">
      <protection hidden="1"/>
    </xf>
    <xf numFmtId="0" fontId="144" fillId="5" borderId="0" xfId="0" applyFont="1" applyFill="1" applyAlignment="1" applyProtection="1">
      <alignment horizontal="center"/>
      <protection hidden="1"/>
    </xf>
    <xf numFmtId="38" fontId="5" fillId="2" borderId="1" xfId="0" applyNumberFormat="1" applyFont="1" applyFill="1" applyBorder="1" applyAlignment="1" applyProtection="1">
      <alignment horizontal="right"/>
      <protection locked="0"/>
    </xf>
    <xf numFmtId="40" fontId="146" fillId="2" borderId="0" xfId="0" applyNumberFormat="1" applyFont="1" applyFill="1" applyBorder="1" applyProtection="1">
      <protection hidden="1"/>
    </xf>
    <xf numFmtId="0" fontId="6" fillId="2" borderId="8" xfId="0" applyFont="1" applyFill="1" applyBorder="1" applyAlignment="1" applyProtection="1">
      <alignment horizontal="center"/>
      <protection hidden="1"/>
    </xf>
    <xf numFmtId="38" fontId="6" fillId="2" borderId="5" xfId="0" applyNumberFormat="1" applyFont="1" applyFill="1" applyBorder="1" applyAlignment="1" applyProtection="1">
      <alignment horizontal="center"/>
      <protection locked="0"/>
    </xf>
    <xf numFmtId="40" fontId="146" fillId="2" borderId="0" xfId="0" applyNumberFormat="1" applyFont="1" applyFill="1" applyBorder="1" applyAlignment="1" applyProtection="1">
      <alignment horizontal="right"/>
      <protection hidden="1"/>
    </xf>
    <xf numFmtId="0" fontId="6" fillId="2" borderId="5" xfId="0" applyFont="1" applyFill="1" applyBorder="1" applyAlignment="1" applyProtection="1">
      <alignment horizontal="center"/>
      <protection hidden="1"/>
    </xf>
    <xf numFmtId="164" fontId="3" fillId="2" borderId="0" xfId="0" applyNumberFormat="1" applyFont="1" applyFill="1" applyBorder="1" applyAlignment="1" applyProtection="1">
      <alignment horizontal="left" vertical="center"/>
      <protection hidden="1"/>
    </xf>
    <xf numFmtId="0" fontId="3" fillId="2" borderId="0" xfId="4" applyFill="1" applyProtection="1">
      <protection hidden="1"/>
    </xf>
    <xf numFmtId="0" fontId="3" fillId="2" borderId="0" xfId="4" applyFill="1" applyAlignment="1" applyProtection="1">
      <alignment horizontal="center"/>
      <protection hidden="1"/>
    </xf>
    <xf numFmtId="49" fontId="6" fillId="2" borderId="0" xfId="4" applyNumberFormat="1" applyFont="1" applyFill="1" applyAlignment="1" applyProtection="1">
      <alignment horizontal="right"/>
      <protection hidden="1"/>
    </xf>
    <xf numFmtId="0" fontId="3" fillId="2" borderId="0" xfId="4" applyFill="1" applyBorder="1" applyProtection="1">
      <protection hidden="1"/>
    </xf>
    <xf numFmtId="0" fontId="3" fillId="2" borderId="0" xfId="4" applyFill="1"/>
    <xf numFmtId="0" fontId="3" fillId="0" borderId="0" xfId="4"/>
    <xf numFmtId="0" fontId="77" fillId="2" borderId="0" xfId="4" applyFont="1" applyFill="1" applyProtection="1">
      <protection hidden="1"/>
    </xf>
    <xf numFmtId="0" fontId="77" fillId="2" borderId="0" xfId="4" applyFont="1" applyFill="1" applyAlignment="1" applyProtection="1">
      <alignment horizontal="right"/>
      <protection hidden="1"/>
    </xf>
    <xf numFmtId="0" fontId="67" fillId="2" borderId="0" xfId="4" applyFont="1" applyFill="1" applyProtection="1">
      <protection hidden="1"/>
    </xf>
    <xf numFmtId="0" fontId="55" fillId="2" borderId="0" xfId="4" applyFont="1" applyFill="1" applyProtection="1">
      <protection hidden="1"/>
    </xf>
    <xf numFmtId="49" fontId="16" fillId="2" borderId="0" xfId="4" applyNumberFormat="1" applyFont="1" applyFill="1" applyAlignment="1" applyProtection="1">
      <alignment horizontal="right"/>
      <protection hidden="1"/>
    </xf>
    <xf numFmtId="0" fontId="55" fillId="2" borderId="0" xfId="4" applyFont="1" applyFill="1" applyBorder="1" applyProtection="1">
      <protection hidden="1"/>
    </xf>
    <xf numFmtId="49" fontId="3" fillId="2" borderId="0" xfId="4" applyNumberFormat="1" applyFill="1" applyAlignment="1" applyProtection="1">
      <alignment horizontal="right"/>
      <protection hidden="1"/>
    </xf>
    <xf numFmtId="0" fontId="4" fillId="2" borderId="0" xfId="4" applyFont="1" applyFill="1" applyAlignment="1" applyProtection="1">
      <alignment horizontal="right"/>
      <protection hidden="1"/>
    </xf>
    <xf numFmtId="0" fontId="4" fillId="2" borderId="0" xfId="4" applyFont="1" applyFill="1" applyAlignment="1" applyProtection="1">
      <alignment horizontal="left"/>
      <protection hidden="1"/>
    </xf>
    <xf numFmtId="0" fontId="40" fillId="2" borderId="0" xfId="4" applyFont="1" applyFill="1" applyAlignment="1" applyProtection="1">
      <alignment horizontal="center"/>
      <protection hidden="1"/>
    </xf>
    <xf numFmtId="0" fontId="76" fillId="2" borderId="0" xfId="4" applyFont="1" applyFill="1" applyBorder="1" applyAlignment="1" applyProtection="1">
      <alignment horizontal="right"/>
      <protection hidden="1"/>
    </xf>
    <xf numFmtId="0" fontId="74" fillId="2" borderId="0" xfId="4" applyFont="1" applyFill="1" applyBorder="1" applyAlignment="1" applyProtection="1">
      <alignment horizontal="center" vertical="center"/>
      <protection hidden="1"/>
    </xf>
    <xf numFmtId="0" fontId="50" fillId="2" borderId="0" xfId="4" applyFont="1" applyFill="1" applyAlignment="1" applyProtection="1">
      <alignment horizontal="center"/>
      <protection hidden="1"/>
    </xf>
    <xf numFmtId="0" fontId="11" fillId="2" borderId="0" xfId="4" applyFont="1" applyFill="1" applyBorder="1" applyAlignment="1" applyProtection="1">
      <alignment horizontal="center" vertical="center"/>
      <protection locked="0"/>
    </xf>
    <xf numFmtId="0" fontId="3" fillId="2" borderId="0" xfId="4" applyFill="1" applyBorder="1" applyAlignment="1" applyProtection="1">
      <protection hidden="1"/>
    </xf>
    <xf numFmtId="49" fontId="4" fillId="2" borderId="0" xfId="4" applyNumberFormat="1" applyFont="1" applyFill="1" applyBorder="1" applyAlignment="1" applyProtection="1">
      <alignment horizontal="right"/>
      <protection hidden="1"/>
    </xf>
    <xf numFmtId="0" fontId="72" fillId="2" borderId="0" xfId="4" applyFont="1" applyFill="1" applyBorder="1" applyAlignment="1" applyProtection="1">
      <protection hidden="1"/>
    </xf>
    <xf numFmtId="0" fontId="59" fillId="2" borderId="0" xfId="4" applyFont="1" applyFill="1" applyBorder="1" applyAlignment="1" applyProtection="1">
      <protection hidden="1"/>
    </xf>
    <xf numFmtId="0" fontId="23" fillId="2" borderId="0" xfId="4" applyFont="1" applyFill="1" applyBorder="1" applyAlignment="1" applyProtection="1">
      <protection hidden="1"/>
    </xf>
    <xf numFmtId="0" fontId="33" fillId="2" borderId="0" xfId="4" applyNumberFormat="1" applyFont="1" applyFill="1" applyBorder="1" applyAlignment="1" applyProtection="1">
      <alignment horizontal="right"/>
      <protection hidden="1"/>
    </xf>
    <xf numFmtId="0" fontId="59" fillId="2" borderId="0" xfId="4" applyFont="1" applyFill="1" applyBorder="1" applyAlignment="1" applyProtection="1">
      <alignment horizontal="center"/>
      <protection hidden="1"/>
    </xf>
    <xf numFmtId="0" fontId="3" fillId="2" borderId="0" xfId="4" applyFill="1" applyAlignment="1"/>
    <xf numFmtId="0" fontId="3" fillId="0" borderId="0" xfId="4" applyAlignment="1"/>
    <xf numFmtId="0" fontId="3" fillId="2" borderId="0" xfId="4" applyFill="1" applyBorder="1" applyAlignment="1" applyProtection="1">
      <alignment vertical="center"/>
      <protection hidden="1"/>
    </xf>
    <xf numFmtId="49" fontId="4" fillId="2" borderId="0" xfId="4" applyNumberFormat="1" applyFont="1" applyFill="1" applyBorder="1" applyAlignment="1" applyProtection="1">
      <alignment horizontal="right" vertical="center"/>
      <protection hidden="1"/>
    </xf>
    <xf numFmtId="0" fontId="67" fillId="2" borderId="0" xfId="4" applyFont="1" applyFill="1" applyBorder="1" applyAlignment="1" applyProtection="1">
      <alignment vertical="center"/>
      <protection hidden="1"/>
    </xf>
    <xf numFmtId="0" fontId="59" fillId="2" borderId="0" xfId="4" applyFont="1" applyFill="1" applyBorder="1" applyAlignment="1" applyProtection="1">
      <alignment vertical="center"/>
      <protection hidden="1"/>
    </xf>
    <xf numFmtId="0" fontId="23" fillId="2" borderId="0" xfId="4" applyFont="1" applyFill="1" applyBorder="1" applyAlignment="1" applyProtection="1">
      <alignment vertical="center"/>
      <protection hidden="1"/>
    </xf>
    <xf numFmtId="0" fontId="33" fillId="2" borderId="0" xfId="4" applyNumberFormat="1" applyFont="1" applyFill="1" applyBorder="1" applyAlignment="1" applyProtection="1">
      <alignment horizontal="right" vertical="center"/>
      <protection hidden="1"/>
    </xf>
    <xf numFmtId="0" fontId="59" fillId="2" borderId="0" xfId="4" applyFont="1" applyFill="1" applyBorder="1" applyAlignment="1" applyProtection="1">
      <alignment horizontal="center" vertical="center"/>
      <protection hidden="1"/>
    </xf>
    <xf numFmtId="0" fontId="3" fillId="2" borderId="0" xfId="4" applyFill="1" applyBorder="1" applyAlignment="1" applyProtection="1">
      <alignment horizontal="left" vertical="center"/>
      <protection hidden="1"/>
    </xf>
    <xf numFmtId="0" fontId="10" fillId="2" borderId="8" xfId="4" applyFont="1" applyFill="1" applyBorder="1" applyAlignment="1" applyProtection="1">
      <alignment horizontal="left" vertical="center"/>
      <protection hidden="1"/>
    </xf>
    <xf numFmtId="0" fontId="4" fillId="2" borderId="8" xfId="4" applyFont="1" applyFill="1" applyBorder="1" applyAlignment="1" applyProtection="1">
      <alignment horizontal="left" vertical="center"/>
      <protection hidden="1"/>
    </xf>
    <xf numFmtId="0" fontId="3" fillId="2" borderId="8" xfId="4" applyFill="1" applyBorder="1" applyAlignment="1" applyProtection="1">
      <alignment horizontal="center" vertical="center"/>
      <protection hidden="1"/>
    </xf>
    <xf numFmtId="0" fontId="3" fillId="2" borderId="8" xfId="4" applyFill="1" applyBorder="1" applyAlignment="1" applyProtection="1">
      <alignment horizontal="left" vertical="center"/>
      <protection hidden="1"/>
    </xf>
    <xf numFmtId="49" fontId="6" fillId="2" borderId="8" xfId="4" applyNumberFormat="1" applyFont="1" applyFill="1" applyBorder="1" applyAlignment="1" applyProtection="1">
      <alignment horizontal="left" vertical="center"/>
      <protection hidden="1"/>
    </xf>
    <xf numFmtId="40" fontId="21" fillId="2" borderId="8" xfId="4" applyNumberFormat="1" applyFont="1" applyFill="1" applyBorder="1" applyAlignment="1" applyProtection="1">
      <alignment horizontal="left" vertical="center"/>
      <protection hidden="1"/>
    </xf>
    <xf numFmtId="40" fontId="21" fillId="2" borderId="0" xfId="4" applyNumberFormat="1" applyFont="1" applyFill="1" applyBorder="1" applyAlignment="1" applyProtection="1">
      <alignment horizontal="left" vertical="center"/>
      <protection hidden="1"/>
    </xf>
    <xf numFmtId="0" fontId="10" fillId="2" borderId="0" xfId="4" applyFont="1" applyFill="1" applyBorder="1" applyAlignment="1" applyProtection="1">
      <alignment horizontal="left" vertical="center"/>
      <protection hidden="1"/>
    </xf>
    <xf numFmtId="0" fontId="72" fillId="2" borderId="0" xfId="4" applyFont="1" applyFill="1" applyBorder="1" applyAlignment="1" applyProtection="1">
      <alignment horizontal="center" vertical="center"/>
      <protection hidden="1"/>
    </xf>
    <xf numFmtId="0" fontId="3" fillId="2" borderId="0" xfId="4" applyFill="1" applyBorder="1" applyAlignment="1" applyProtection="1">
      <alignment horizontal="center" vertical="center"/>
      <protection hidden="1"/>
    </xf>
    <xf numFmtId="0" fontId="4" fillId="2" borderId="0" xfId="4" applyFont="1" applyFill="1" applyBorder="1" applyAlignment="1" applyProtection="1">
      <alignment horizontal="left" vertical="center"/>
      <protection hidden="1"/>
    </xf>
    <xf numFmtId="49" fontId="6" fillId="2" borderId="0" xfId="4" applyNumberFormat="1" applyFont="1" applyFill="1" applyBorder="1" applyAlignment="1" applyProtection="1">
      <alignment horizontal="left" vertical="center"/>
      <protection hidden="1"/>
    </xf>
    <xf numFmtId="0" fontId="3" fillId="2" borderId="5" xfId="4" applyFill="1" applyBorder="1" applyProtection="1">
      <protection hidden="1"/>
    </xf>
    <xf numFmtId="0" fontId="3" fillId="2" borderId="5" xfId="4" applyFill="1" applyBorder="1" applyAlignment="1" applyProtection="1">
      <alignment horizontal="center"/>
      <protection hidden="1"/>
    </xf>
    <xf numFmtId="49" fontId="6" fillId="2" borderId="5" xfId="4" applyNumberFormat="1" applyFont="1" applyFill="1" applyBorder="1" applyAlignment="1" applyProtection="1">
      <alignment horizontal="right"/>
      <protection hidden="1"/>
    </xf>
    <xf numFmtId="0" fontId="3" fillId="2" borderId="0" xfId="4" applyFill="1" applyBorder="1" applyAlignment="1" applyProtection="1">
      <alignment horizontal="center"/>
      <protection hidden="1"/>
    </xf>
    <xf numFmtId="49" fontId="6" fillId="2" borderId="0" xfId="4" applyNumberFormat="1" applyFont="1" applyFill="1" applyBorder="1" applyAlignment="1" applyProtection="1">
      <alignment horizontal="right"/>
      <protection hidden="1"/>
    </xf>
    <xf numFmtId="0" fontId="3" fillId="2" borderId="80" xfId="4" applyFill="1" applyBorder="1" applyAlignment="1" applyProtection="1">
      <alignment vertical="center"/>
      <protection hidden="1"/>
    </xf>
    <xf numFmtId="0" fontId="67" fillId="2" borderId="80" xfId="4" applyFont="1" applyFill="1" applyBorder="1" applyAlignment="1" applyProtection="1">
      <alignment vertical="center"/>
      <protection hidden="1"/>
    </xf>
    <xf numFmtId="0" fontId="3" fillId="2" borderId="80" xfId="4" applyFill="1" applyBorder="1" applyAlignment="1" applyProtection="1">
      <alignment horizontal="center" vertical="center"/>
      <protection hidden="1"/>
    </xf>
    <xf numFmtId="0" fontId="47" fillId="2" borderId="81" xfId="4" applyFont="1" applyFill="1" applyBorder="1" applyAlignment="1" applyProtection="1">
      <alignment horizontal="left" vertical="center"/>
      <protection hidden="1"/>
    </xf>
    <xf numFmtId="0" fontId="47" fillId="2" borderId="81" xfId="4" applyFont="1" applyFill="1" applyBorder="1" applyAlignment="1" applyProtection="1">
      <alignment horizontal="right" vertical="center"/>
      <protection hidden="1"/>
    </xf>
    <xf numFmtId="0" fontId="47" fillId="2" borderId="81" xfId="4" applyFont="1" applyFill="1" applyBorder="1" applyAlignment="1" applyProtection="1">
      <alignment horizontal="right"/>
      <protection hidden="1"/>
    </xf>
    <xf numFmtId="0" fontId="98" fillId="2" borderId="0" xfId="4" applyFont="1" applyFill="1" applyBorder="1" applyAlignment="1" applyProtection="1">
      <alignment horizontal="center"/>
      <protection hidden="1"/>
    </xf>
    <xf numFmtId="0" fontId="8" fillId="2" borderId="0" xfId="4" applyFont="1" applyFill="1" applyBorder="1" applyAlignment="1" applyProtection="1">
      <alignment vertical="justify"/>
      <protection hidden="1"/>
    </xf>
    <xf numFmtId="0" fontId="47" fillId="2" borderId="0" xfId="4" applyFont="1" applyFill="1" applyBorder="1" applyAlignment="1" applyProtection="1">
      <alignment horizontal="left" vertical="center"/>
      <protection hidden="1"/>
    </xf>
    <xf numFmtId="0" fontId="8" fillId="2" borderId="0" xfId="4" applyFont="1" applyFill="1" applyBorder="1" applyAlignment="1" applyProtection="1">
      <alignment vertical="center"/>
      <protection hidden="1"/>
    </xf>
    <xf numFmtId="49" fontId="6" fillId="2" borderId="0" xfId="4" applyNumberFormat="1" applyFont="1" applyFill="1" applyBorder="1" applyAlignment="1" applyProtection="1">
      <alignment horizontal="right" vertical="center"/>
      <protection hidden="1"/>
    </xf>
    <xf numFmtId="0" fontId="67" fillId="2" borderId="0" xfId="4" applyFont="1" applyFill="1" applyBorder="1" applyAlignment="1" applyProtection="1">
      <alignment horizontal="right" vertical="center"/>
      <protection hidden="1"/>
    </xf>
    <xf numFmtId="3" fontId="4" fillId="2" borderId="0" xfId="4" applyNumberFormat="1" applyFont="1" applyFill="1" applyBorder="1" applyAlignment="1" applyProtection="1">
      <alignment horizontal="center" vertical="center"/>
      <protection locked="0"/>
    </xf>
    <xf numFmtId="0" fontId="10" fillId="2" borderId="14" xfId="4" applyFont="1" applyFill="1" applyBorder="1" applyAlignment="1" applyProtection="1">
      <alignment horizontal="left" vertical="center"/>
      <protection hidden="1"/>
    </xf>
    <xf numFmtId="0" fontId="4" fillId="2" borderId="14" xfId="4" applyFont="1" applyFill="1" applyBorder="1" applyAlignment="1" applyProtection="1">
      <alignment horizontal="left" vertical="center"/>
      <protection hidden="1"/>
    </xf>
    <xf numFmtId="0" fontId="3" fillId="2" borderId="14" xfId="4" applyFill="1" applyBorder="1" applyAlignment="1" applyProtection="1">
      <alignment horizontal="center" vertical="center"/>
      <protection hidden="1"/>
    </xf>
    <xf numFmtId="0" fontId="3" fillId="2" borderId="14" xfId="4" applyFill="1" applyBorder="1" applyAlignment="1" applyProtection="1">
      <alignment horizontal="left" vertical="center"/>
      <protection hidden="1"/>
    </xf>
    <xf numFmtId="49" fontId="6" fillId="2" borderId="14" xfId="4" applyNumberFormat="1" applyFont="1" applyFill="1" applyBorder="1" applyAlignment="1" applyProtection="1">
      <alignment horizontal="left" vertical="center"/>
      <protection hidden="1"/>
    </xf>
    <xf numFmtId="40" fontId="79" fillId="2" borderId="14" xfId="4" applyNumberFormat="1" applyFont="1" applyFill="1" applyBorder="1" applyAlignment="1" applyProtection="1">
      <alignment horizontal="right" vertical="center"/>
      <protection hidden="1"/>
    </xf>
    <xf numFmtId="40" fontId="79" fillId="2" borderId="14" xfId="4" applyNumberFormat="1" applyFont="1" applyFill="1" applyBorder="1" applyAlignment="1" applyProtection="1">
      <alignment horizontal="right"/>
      <protection hidden="1"/>
    </xf>
    <xf numFmtId="0" fontId="8" fillId="2" borderId="0" xfId="4" applyFont="1" applyFill="1" applyBorder="1" applyAlignment="1" applyProtection="1">
      <alignment horizontal="left" vertical="center"/>
      <protection hidden="1"/>
    </xf>
    <xf numFmtId="0" fontId="8" fillId="2" borderId="0" xfId="4" applyFont="1" applyFill="1" applyBorder="1" applyAlignment="1" applyProtection="1">
      <alignment horizontal="left" vertical="top"/>
      <protection hidden="1"/>
    </xf>
    <xf numFmtId="0" fontId="3" fillId="2" borderId="0" xfId="4" applyFont="1" applyFill="1" applyBorder="1" applyProtection="1">
      <protection hidden="1"/>
    </xf>
    <xf numFmtId="0" fontId="4" fillId="2" borderId="0" xfId="4" applyNumberFormat="1" applyFont="1" applyFill="1" applyBorder="1" applyAlignment="1" applyProtection="1">
      <alignment horizontal="center"/>
      <protection hidden="1"/>
    </xf>
    <xf numFmtId="49" fontId="3" fillId="2" borderId="0" xfId="4" applyNumberFormat="1" applyFont="1" applyFill="1" applyBorder="1" applyAlignment="1" applyProtection="1">
      <alignment horizontal="left"/>
      <protection hidden="1"/>
    </xf>
    <xf numFmtId="49" fontId="3" fillId="2" borderId="0" xfId="4" applyNumberFormat="1" applyFont="1" applyFill="1" applyBorder="1" applyAlignment="1" applyProtection="1">
      <alignment horizontal="right"/>
      <protection hidden="1"/>
    </xf>
    <xf numFmtId="49" fontId="4" fillId="2" borderId="13" xfId="4" applyNumberFormat="1" applyFont="1" applyFill="1" applyBorder="1" applyAlignment="1" applyProtection="1">
      <alignment horizontal="center" vertical="center"/>
      <protection hidden="1"/>
    </xf>
    <xf numFmtId="4" fontId="3" fillId="2" borderId="0" xfId="4" applyNumberFormat="1" applyFont="1" applyFill="1" applyBorder="1" applyProtection="1">
      <protection hidden="1"/>
    </xf>
    <xf numFmtId="0" fontId="4" fillId="2" borderId="0" xfId="4" applyFont="1" applyFill="1" applyBorder="1" applyProtection="1">
      <protection hidden="1"/>
    </xf>
    <xf numFmtId="0" fontId="4" fillId="2" borderId="0" xfId="4" applyFont="1" applyFill="1" applyBorder="1" applyAlignment="1" applyProtection="1">
      <alignment horizontal="center"/>
      <protection hidden="1"/>
    </xf>
    <xf numFmtId="0" fontId="43" fillId="2" borderId="1" xfId="4" applyFont="1" applyFill="1" applyBorder="1" applyAlignment="1" applyProtection="1">
      <alignment horizontal="center" vertical="top"/>
      <protection hidden="1"/>
    </xf>
    <xf numFmtId="0" fontId="3" fillId="2" borderId="1" xfId="4" applyFont="1" applyFill="1" applyBorder="1" applyProtection="1">
      <protection hidden="1"/>
    </xf>
    <xf numFmtId="49" fontId="4" fillId="2" borderId="1" xfId="4" applyNumberFormat="1" applyFont="1" applyFill="1" applyBorder="1" applyAlignment="1" applyProtection="1">
      <alignment horizontal="right"/>
      <protection hidden="1"/>
    </xf>
    <xf numFmtId="3" fontId="23" fillId="2" borderId="1" xfId="4" applyNumberFormat="1" applyFont="1" applyFill="1" applyBorder="1" applyProtection="1">
      <protection hidden="1"/>
    </xf>
    <xf numFmtId="0" fontId="3" fillId="2" borderId="9" xfId="4" applyFont="1" applyFill="1" applyBorder="1" applyAlignment="1" applyProtection="1">
      <alignment horizontal="center"/>
      <protection hidden="1"/>
    </xf>
    <xf numFmtId="0" fontId="3" fillId="2" borderId="9" xfId="4" applyFont="1" applyFill="1" applyBorder="1" applyProtection="1">
      <protection hidden="1"/>
    </xf>
    <xf numFmtId="49" fontId="4" fillId="2" borderId="9" xfId="4" applyNumberFormat="1" applyFont="1" applyFill="1" applyBorder="1" applyAlignment="1" applyProtection="1">
      <alignment horizontal="right"/>
      <protection hidden="1"/>
    </xf>
    <xf numFmtId="49" fontId="4" fillId="2" borderId="0" xfId="4" applyNumberFormat="1" applyFont="1" applyFill="1" applyBorder="1" applyAlignment="1" applyProtection="1">
      <alignment horizontal="center"/>
      <protection hidden="1"/>
    </xf>
    <xf numFmtId="49" fontId="3" fillId="2" borderId="0" xfId="4" applyNumberFormat="1" applyFont="1" applyFill="1" applyBorder="1" applyAlignment="1" applyProtection="1">
      <alignment horizontal="left" vertical="top"/>
      <protection hidden="1"/>
    </xf>
    <xf numFmtId="49" fontId="4" fillId="2" borderId="0" xfId="4" applyNumberFormat="1" applyFont="1" applyFill="1" applyBorder="1" applyAlignment="1" applyProtection="1">
      <alignment horizontal="center" vertical="center"/>
      <protection hidden="1"/>
    </xf>
    <xf numFmtId="3" fontId="3" fillId="2" borderId="0" xfId="4" applyNumberFormat="1" applyFont="1" applyFill="1" applyBorder="1" applyAlignment="1" applyProtection="1">
      <alignment horizontal="right"/>
      <protection hidden="1"/>
    </xf>
    <xf numFmtId="49" fontId="4" fillId="2" borderId="0" xfId="4" applyNumberFormat="1" applyFont="1" applyFill="1" applyBorder="1" applyAlignment="1" applyProtection="1">
      <alignment horizontal="left"/>
      <protection hidden="1"/>
    </xf>
    <xf numFmtId="0" fontId="40" fillId="2" borderId="0" xfId="4" applyFont="1" applyFill="1" applyAlignment="1" applyProtection="1">
      <alignment horizontal="center" vertical="center"/>
      <protection hidden="1"/>
    </xf>
    <xf numFmtId="0" fontId="3" fillId="2" borderId="0" xfId="4" applyFill="1" applyAlignment="1" applyProtection="1">
      <alignment vertical="center"/>
      <protection hidden="1"/>
    </xf>
    <xf numFmtId="0" fontId="82" fillId="2" borderId="0" xfId="4" applyFont="1" applyFill="1" applyBorder="1" applyAlignment="1" applyProtection="1">
      <alignment vertical="center"/>
      <protection hidden="1"/>
    </xf>
    <xf numFmtId="49" fontId="4" fillId="2" borderId="0" xfId="4" applyNumberFormat="1" applyFont="1" applyFill="1" applyBorder="1" applyAlignment="1" applyProtection="1">
      <alignment horizontal="left" vertical="center"/>
      <protection hidden="1"/>
    </xf>
    <xf numFmtId="3" fontId="50" fillId="2" borderId="0" xfId="4" applyNumberFormat="1" applyFont="1" applyFill="1" applyBorder="1" applyAlignment="1" applyProtection="1">
      <alignment vertical="center"/>
      <protection hidden="1"/>
    </xf>
    <xf numFmtId="0" fontId="4" fillId="2" borderId="0" xfId="4" applyFont="1" applyFill="1" applyAlignment="1" applyProtection="1">
      <alignment horizontal="center" vertical="center"/>
      <protection hidden="1"/>
    </xf>
    <xf numFmtId="0" fontId="4" fillId="2" borderId="0" xfId="4" applyFont="1" applyFill="1" applyBorder="1" applyAlignment="1" applyProtection="1">
      <alignment horizontal="center" vertical="center"/>
      <protection hidden="1"/>
    </xf>
    <xf numFmtId="0" fontId="4" fillId="2" borderId="0" xfId="4" applyFont="1" applyFill="1" applyAlignment="1" applyProtection="1">
      <alignment vertical="center"/>
      <protection hidden="1"/>
    </xf>
    <xf numFmtId="3" fontId="3" fillId="2" borderId="0" xfId="4" applyNumberFormat="1" applyFill="1" applyBorder="1" applyAlignment="1" applyProtection="1">
      <alignment vertical="center"/>
      <protection hidden="1"/>
    </xf>
    <xf numFmtId="0" fontId="40" fillId="2" borderId="0" xfId="4" applyFont="1" applyFill="1" applyBorder="1" applyAlignment="1" applyProtection="1">
      <alignment horizontal="center" vertical="center"/>
      <protection hidden="1"/>
    </xf>
    <xf numFmtId="0" fontId="3" fillId="2" borderId="0" xfId="4" applyFont="1" applyFill="1" applyAlignment="1" applyProtection="1">
      <alignment vertical="center"/>
      <protection hidden="1"/>
    </xf>
    <xf numFmtId="0" fontId="3" fillId="2" borderId="0" xfId="4" applyFont="1" applyFill="1" applyBorder="1" applyAlignment="1" applyProtection="1">
      <alignment horizontal="left"/>
      <protection hidden="1"/>
    </xf>
    <xf numFmtId="0" fontId="76" fillId="2" borderId="0" xfId="4" applyFont="1" applyFill="1" applyBorder="1" applyAlignment="1" applyProtection="1">
      <alignment horizontal="left" vertical="top"/>
      <protection hidden="1"/>
    </xf>
    <xf numFmtId="0" fontId="3" fillId="2" borderId="0" xfId="4" applyFont="1" applyFill="1" applyBorder="1" applyAlignment="1" applyProtection="1">
      <alignment vertical="center"/>
      <protection hidden="1"/>
    </xf>
    <xf numFmtId="0" fontId="32" fillId="2" borderId="0" xfId="4" applyFont="1" applyFill="1" applyAlignment="1" applyProtection="1">
      <alignment vertical="center"/>
      <protection hidden="1"/>
    </xf>
    <xf numFmtId="0" fontId="4" fillId="2" borderId="1" xfId="4" applyFont="1" applyFill="1" applyBorder="1" applyProtection="1">
      <protection hidden="1"/>
    </xf>
    <xf numFmtId="0" fontId="4" fillId="2" borderId="1" xfId="4" applyFont="1" applyFill="1" applyBorder="1" applyAlignment="1" applyProtection="1">
      <alignment horizontal="center"/>
      <protection hidden="1"/>
    </xf>
    <xf numFmtId="3" fontId="4" fillId="2" borderId="80" xfId="4" applyNumberFormat="1" applyFont="1" applyFill="1" applyBorder="1" applyAlignment="1" applyProtection="1">
      <alignment horizontal="right" vertical="center"/>
      <protection locked="0"/>
    </xf>
    <xf numFmtId="49" fontId="6" fillId="2" borderId="80" xfId="4" applyNumberFormat="1" applyFont="1" applyFill="1" applyBorder="1" applyAlignment="1" applyProtection="1">
      <alignment horizontal="right" vertical="center"/>
      <protection hidden="1"/>
    </xf>
    <xf numFmtId="0" fontId="67" fillId="2" borderId="80" xfId="4" applyFont="1" applyFill="1" applyBorder="1" applyAlignment="1" applyProtection="1">
      <alignment horizontal="right" vertical="center"/>
      <protection hidden="1"/>
    </xf>
    <xf numFmtId="40" fontId="24" fillId="2" borderId="14" xfId="4" applyNumberFormat="1" applyFont="1" applyFill="1" applyBorder="1" applyAlignment="1" applyProtection="1">
      <alignment horizontal="right" vertical="center"/>
      <protection hidden="1"/>
    </xf>
    <xf numFmtId="40" fontId="47" fillId="2" borderId="14" xfId="4" applyNumberFormat="1" applyFont="1" applyFill="1" applyBorder="1" applyAlignment="1" applyProtection="1">
      <alignment horizontal="right" vertical="center"/>
      <protection hidden="1"/>
    </xf>
    <xf numFmtId="0" fontId="3" fillId="2" borderId="0" xfId="4" applyNumberFormat="1" applyFont="1" applyFill="1" applyBorder="1" applyAlignment="1" applyProtection="1">
      <alignment horizontal="left"/>
      <protection hidden="1"/>
    </xf>
    <xf numFmtId="1" fontId="4" fillId="2" borderId="13" xfId="4" applyNumberFormat="1" applyFont="1" applyFill="1" applyBorder="1" applyAlignment="1" applyProtection="1">
      <alignment horizontal="center" vertical="center"/>
      <protection hidden="1"/>
    </xf>
    <xf numFmtId="1" fontId="4" fillId="2" borderId="0" xfId="4" applyNumberFormat="1" applyFont="1" applyFill="1" applyBorder="1" applyAlignment="1" applyProtection="1">
      <alignment horizontal="center" vertical="center"/>
      <protection hidden="1"/>
    </xf>
    <xf numFmtId="3" fontId="3" fillId="2" borderId="0" xfId="4" applyNumberFormat="1" applyFont="1" applyFill="1" applyBorder="1" applyAlignment="1" applyProtection="1">
      <alignment horizontal="right" vertical="center"/>
      <protection hidden="1"/>
    </xf>
    <xf numFmtId="0" fontId="4" fillId="2" borderId="0" xfId="4" applyFont="1" applyFill="1" applyBorder="1" applyAlignment="1" applyProtection="1">
      <alignment horizontal="left"/>
      <protection hidden="1"/>
    </xf>
    <xf numFmtId="49" fontId="3" fillId="2" borderId="0" xfId="4" applyNumberFormat="1" applyFont="1" applyFill="1" applyBorder="1" applyAlignment="1" applyProtection="1">
      <alignment horizontal="center"/>
      <protection hidden="1"/>
    </xf>
    <xf numFmtId="0" fontId="3" fillId="2" borderId="1" xfId="4" applyFont="1" applyFill="1" applyBorder="1" applyAlignment="1" applyProtection="1">
      <alignment horizontal="right"/>
      <protection hidden="1"/>
    </xf>
    <xf numFmtId="49" fontId="3" fillId="2" borderId="0" xfId="4" quotePrefix="1" applyNumberFormat="1" applyFont="1" applyFill="1" applyBorder="1" applyAlignment="1" applyProtection="1">
      <alignment horizontal="left"/>
      <protection hidden="1"/>
    </xf>
    <xf numFmtId="0" fontId="3" fillId="2" borderId="0" xfId="4" quotePrefix="1" applyFont="1" applyFill="1" applyBorder="1" applyAlignment="1" applyProtection="1">
      <alignment horizontal="right"/>
      <protection hidden="1"/>
    </xf>
    <xf numFmtId="0" fontId="23" fillId="2" borderId="0" xfId="4" applyFont="1" applyFill="1" applyBorder="1" applyProtection="1">
      <protection hidden="1"/>
    </xf>
    <xf numFmtId="49" fontId="3" fillId="2" borderId="0" xfId="4" quotePrefix="1" applyNumberFormat="1" applyFont="1" applyFill="1" applyBorder="1" applyAlignment="1" applyProtection="1">
      <alignment horizontal="center"/>
      <protection hidden="1"/>
    </xf>
    <xf numFmtId="49" fontId="3" fillId="2" borderId="0" xfId="4" applyNumberFormat="1" applyFont="1" applyFill="1" applyBorder="1" applyAlignment="1" applyProtection="1">
      <alignment horizontal="right" vertical="center"/>
      <protection hidden="1"/>
    </xf>
    <xf numFmtId="0" fontId="3" fillId="2" borderId="1" xfId="4" applyFont="1" applyFill="1" applyBorder="1" applyAlignment="1" applyProtection="1">
      <alignment horizontal="center"/>
      <protection hidden="1"/>
    </xf>
    <xf numFmtId="0" fontId="3" fillId="2" borderId="0" xfId="4" applyFont="1" applyFill="1" applyBorder="1" applyAlignment="1" applyProtection="1">
      <alignment horizontal="center"/>
      <protection hidden="1"/>
    </xf>
    <xf numFmtId="0" fontId="67" fillId="2" borderId="0" xfId="4" applyFont="1" applyFill="1" applyBorder="1" applyAlignment="1" applyProtection="1">
      <alignment horizontal="center" vertical="center"/>
      <protection hidden="1"/>
    </xf>
    <xf numFmtId="0" fontId="3" fillId="2" borderId="0" xfId="4" applyFont="1" applyFill="1" applyBorder="1" applyAlignment="1" applyProtection="1">
      <protection hidden="1"/>
    </xf>
    <xf numFmtId="0" fontId="32" fillId="2" borderId="0" xfId="4" applyFont="1" applyFill="1" applyBorder="1" applyAlignment="1" applyProtection="1">
      <alignment vertical="center"/>
      <protection hidden="1"/>
    </xf>
    <xf numFmtId="0" fontId="43" fillId="2" borderId="0" xfId="4" applyFont="1" applyFill="1" applyBorder="1" applyAlignment="1" applyProtection="1">
      <alignment horizontal="center" vertical="top"/>
      <protection hidden="1"/>
    </xf>
    <xf numFmtId="0" fontId="3" fillId="2" borderId="0" xfId="4" applyFont="1" applyFill="1" applyBorder="1" applyAlignment="1" applyProtection="1">
      <alignment vertical="top"/>
      <protection hidden="1"/>
    </xf>
    <xf numFmtId="0" fontId="4" fillId="2" borderId="0" xfId="4" applyFont="1" applyFill="1" applyBorder="1" applyAlignment="1" applyProtection="1">
      <alignment vertical="top"/>
      <protection hidden="1"/>
    </xf>
    <xf numFmtId="0" fontId="4" fillId="2" borderId="0" xfId="4" applyFont="1" applyFill="1" applyBorder="1" applyAlignment="1" applyProtection="1">
      <alignment horizontal="left" vertical="top"/>
      <protection hidden="1"/>
    </xf>
    <xf numFmtId="0" fontId="4" fillId="2" borderId="0" xfId="4" quotePrefix="1" applyFont="1" applyFill="1" applyBorder="1" applyAlignment="1" applyProtection="1">
      <alignment vertical="top"/>
      <protection hidden="1"/>
    </xf>
    <xf numFmtId="49" fontId="4" fillId="2" borderId="60" xfId="4" applyNumberFormat="1" applyFont="1" applyFill="1" applyBorder="1" applyAlignment="1" applyProtection="1">
      <alignment horizontal="center" vertical="center"/>
      <protection hidden="1"/>
    </xf>
    <xf numFmtId="49" fontId="32" fillId="2" borderId="0" xfId="4" applyNumberFormat="1" applyFont="1" applyFill="1" applyBorder="1" applyAlignment="1" applyProtection="1">
      <alignment horizontal="left"/>
      <protection hidden="1"/>
    </xf>
    <xf numFmtId="3" fontId="3" fillId="2" borderId="0" xfId="4" applyNumberFormat="1" applyFont="1" applyFill="1" applyBorder="1" applyProtection="1">
      <protection hidden="1"/>
    </xf>
    <xf numFmtId="0" fontId="32" fillId="2" borderId="0" xfId="4" applyFont="1" applyFill="1" applyBorder="1" applyAlignment="1" applyProtection="1">
      <alignment horizontal="left"/>
      <protection hidden="1"/>
    </xf>
    <xf numFmtId="0" fontId="18" fillId="2" borderId="0" xfId="4" applyFont="1" applyFill="1" applyBorder="1" applyAlignment="1" applyProtection="1">
      <alignment horizontal="center"/>
      <protection hidden="1"/>
    </xf>
    <xf numFmtId="0" fontId="52" fillId="2" borderId="0" xfId="4" applyFont="1" applyFill="1" applyBorder="1" applyAlignment="1" applyProtection="1">
      <protection hidden="1"/>
    </xf>
    <xf numFmtId="0" fontId="67" fillId="2" borderId="0" xfId="4" applyFont="1" applyFill="1" applyBorder="1" applyProtection="1">
      <protection hidden="1"/>
    </xf>
    <xf numFmtId="0" fontId="18" fillId="2" borderId="0" xfId="4" applyFont="1" applyFill="1" applyBorder="1" applyAlignment="1" applyProtection="1">
      <alignment horizontal="right"/>
      <protection hidden="1"/>
    </xf>
    <xf numFmtId="0" fontId="3" fillId="0" borderId="0" xfId="4" applyProtection="1">
      <protection hidden="1"/>
    </xf>
    <xf numFmtId="0" fontId="3" fillId="3" borderId="0" xfId="4" applyFill="1" applyAlignment="1">
      <alignment wrapText="1"/>
    </xf>
    <xf numFmtId="3" fontId="4" fillId="2" borderId="0" xfId="4" applyNumberFormat="1" applyFont="1" applyFill="1" applyBorder="1" applyAlignment="1" applyProtection="1">
      <alignment horizontal="left" vertical="center"/>
      <protection locked="0"/>
    </xf>
    <xf numFmtId="40" fontId="3" fillId="3" borderId="0" xfId="4" applyNumberFormat="1" applyFill="1"/>
    <xf numFmtId="0" fontId="10" fillId="3" borderId="0" xfId="4" applyFont="1" applyFill="1" applyAlignment="1">
      <alignment horizontal="center"/>
    </xf>
    <xf numFmtId="0" fontId="4" fillId="3" borderId="0" xfId="4" applyFont="1" applyFill="1" applyAlignment="1">
      <alignment horizontal="right"/>
    </xf>
    <xf numFmtId="0" fontId="10" fillId="3" borderId="0" xfId="4" applyFont="1" applyFill="1"/>
    <xf numFmtId="0" fontId="3" fillId="3" borderId="0" xfId="4" applyFill="1"/>
    <xf numFmtId="0" fontId="71" fillId="3" borderId="0" xfId="4" applyFont="1" applyFill="1" applyAlignment="1">
      <alignment horizontal="right"/>
    </xf>
    <xf numFmtId="3" fontId="4" fillId="2" borderId="0" xfId="4" applyNumberFormat="1" applyFont="1" applyFill="1" applyBorder="1" applyAlignment="1" applyProtection="1">
      <alignment horizontal="right" vertical="center"/>
      <protection locked="0"/>
    </xf>
    <xf numFmtId="0" fontId="3" fillId="2" borderId="81" xfId="4" applyFill="1" applyBorder="1" applyAlignment="1" applyProtection="1">
      <alignment horizontal="left" vertical="center"/>
      <protection hidden="1"/>
    </xf>
    <xf numFmtId="0" fontId="10" fillId="2" borderId="82" xfId="4" applyFont="1" applyFill="1" applyBorder="1" applyAlignment="1" applyProtection="1">
      <alignment horizontal="left" vertical="center"/>
      <protection hidden="1"/>
    </xf>
    <xf numFmtId="0" fontId="4" fillId="2" borderId="82" xfId="4" applyFont="1" applyFill="1" applyBorder="1" applyAlignment="1" applyProtection="1">
      <alignment horizontal="left" vertical="center"/>
      <protection hidden="1"/>
    </xf>
    <xf numFmtId="0" fontId="3" fillId="2" borderId="82" xfId="4" applyFill="1" applyBorder="1" applyAlignment="1" applyProtection="1">
      <alignment horizontal="center" vertical="center"/>
      <protection hidden="1"/>
    </xf>
    <xf numFmtId="0" fontId="3" fillId="2" borderId="82" xfId="4" applyFill="1" applyBorder="1" applyAlignment="1" applyProtection="1">
      <alignment horizontal="left" vertical="center"/>
      <protection hidden="1"/>
    </xf>
    <xf numFmtId="49" fontId="6" fillId="2" borderId="82" xfId="4" applyNumberFormat="1" applyFont="1" applyFill="1" applyBorder="1" applyAlignment="1" applyProtection="1">
      <alignment horizontal="left" vertical="center"/>
      <protection hidden="1"/>
    </xf>
    <xf numFmtId="40" fontId="24" fillId="2" borderId="82" xfId="4" applyNumberFormat="1" applyFont="1" applyFill="1" applyBorder="1" applyAlignment="1" applyProtection="1">
      <alignment horizontal="right" vertical="center"/>
      <protection hidden="1"/>
    </xf>
    <xf numFmtId="40" fontId="47" fillId="2" borderId="82" xfId="4" applyNumberFormat="1" applyFont="1" applyFill="1" applyBorder="1" applyAlignment="1" applyProtection="1">
      <alignment horizontal="right" vertical="center"/>
      <protection hidden="1"/>
    </xf>
    <xf numFmtId="0" fontId="4" fillId="2" borderId="0" xfId="4" applyFont="1" applyFill="1" applyBorder="1" applyAlignment="1" applyProtection="1">
      <alignment horizontal="right"/>
      <protection hidden="1"/>
    </xf>
    <xf numFmtId="0" fontId="147" fillId="2" borderId="0" xfId="4" applyFont="1" applyFill="1" applyBorder="1" applyAlignment="1" applyProtection="1">
      <alignment horizontal="right"/>
      <protection hidden="1"/>
    </xf>
    <xf numFmtId="0" fontId="10" fillId="2" borderId="0" xfId="4" applyFont="1" applyFill="1" applyBorder="1" applyAlignment="1" applyProtection="1">
      <alignment horizontal="right"/>
      <protection hidden="1"/>
    </xf>
    <xf numFmtId="40" fontId="4" fillId="2" borderId="0" xfId="4" applyNumberFormat="1" applyFont="1" applyFill="1" applyBorder="1" applyAlignment="1" applyProtection="1">
      <alignment horizontal="center" vertical="center"/>
      <protection hidden="1"/>
    </xf>
    <xf numFmtId="0" fontId="72" fillId="2" borderId="0" xfId="4" applyFont="1" applyFill="1" applyBorder="1" applyAlignment="1" applyProtection="1">
      <alignment horizontal="right" vertical="center"/>
      <protection hidden="1"/>
    </xf>
    <xf numFmtId="0" fontId="99" fillId="2" borderId="0" xfId="4" applyFont="1" applyFill="1" applyBorder="1" applyAlignment="1" applyProtection="1">
      <alignment horizontal="left" vertical="center"/>
      <protection hidden="1"/>
    </xf>
    <xf numFmtId="0" fontId="3" fillId="2" borderId="0" xfId="4" applyFont="1" applyFill="1" applyBorder="1" applyAlignment="1" applyProtection="1">
      <alignment horizontal="left" vertical="center"/>
      <protection hidden="1"/>
    </xf>
    <xf numFmtId="0" fontId="67" fillId="2" borderId="0" xfId="4" applyFont="1" applyFill="1" applyBorder="1" applyAlignment="1" applyProtection="1">
      <alignment horizontal="left" vertical="center"/>
      <protection hidden="1"/>
    </xf>
    <xf numFmtId="4" fontId="3" fillId="2" borderId="0" xfId="4" applyNumberFormat="1" applyFont="1" applyFill="1" applyBorder="1" applyAlignment="1" applyProtection="1">
      <alignment vertical="center"/>
      <protection hidden="1"/>
    </xf>
    <xf numFmtId="49" fontId="4" fillId="2" borderId="0" xfId="4" applyNumberFormat="1" applyFont="1" applyFill="1" applyBorder="1" applyAlignment="1" applyProtection="1">
      <alignment horizontal="right" vertical="top"/>
      <protection hidden="1"/>
    </xf>
    <xf numFmtId="49" fontId="4" fillId="2" borderId="0" xfId="4" applyNumberFormat="1" applyFont="1" applyFill="1" applyBorder="1" applyAlignment="1" applyProtection="1">
      <alignment horizontal="center" vertical="top"/>
      <protection hidden="1"/>
    </xf>
    <xf numFmtId="0" fontId="3" fillId="2" borderId="0" xfId="4" applyFill="1" applyAlignment="1" applyProtection="1">
      <alignment vertical="top"/>
      <protection hidden="1"/>
    </xf>
    <xf numFmtId="0" fontId="3" fillId="2" borderId="0" xfId="4" applyFill="1" applyBorder="1" applyAlignment="1" applyProtection="1">
      <alignment vertical="top"/>
      <protection hidden="1"/>
    </xf>
    <xf numFmtId="49" fontId="3" fillId="2" borderId="0" xfId="4" applyNumberFormat="1" applyFont="1" applyFill="1" applyBorder="1" applyAlignment="1" applyProtection="1">
      <alignment horizontal="right" vertical="top"/>
      <protection hidden="1"/>
    </xf>
    <xf numFmtId="3" fontId="3" fillId="2" borderId="0" xfId="4" applyNumberFormat="1" applyFont="1" applyFill="1" applyBorder="1" applyAlignment="1" applyProtection="1">
      <alignment horizontal="right" vertical="top"/>
      <protection hidden="1"/>
    </xf>
    <xf numFmtId="0" fontId="4" fillId="2" borderId="0" xfId="4" applyFont="1" applyFill="1" applyBorder="1" applyAlignment="1" applyProtection="1">
      <alignment horizontal="center" vertical="top"/>
      <protection hidden="1"/>
    </xf>
    <xf numFmtId="4" fontId="3" fillId="2" borderId="0" xfId="4" applyNumberFormat="1" applyFont="1" applyFill="1" applyBorder="1" applyAlignment="1" applyProtection="1">
      <alignment vertical="top"/>
      <protection hidden="1"/>
    </xf>
    <xf numFmtId="0" fontId="3" fillId="2" borderId="0" xfId="4" applyFill="1" applyBorder="1" applyAlignment="1" applyProtection="1">
      <alignment horizontal="right" vertical="center"/>
      <protection hidden="1"/>
    </xf>
    <xf numFmtId="40" fontId="21" fillId="2" borderId="81" xfId="4" applyNumberFormat="1" applyFont="1" applyFill="1" applyBorder="1" applyAlignment="1" applyProtection="1">
      <alignment horizontal="left" vertical="center"/>
      <protection hidden="1"/>
    </xf>
    <xf numFmtId="0" fontId="32" fillId="2" borderId="0" xfId="4" applyFont="1" applyFill="1" applyBorder="1" applyAlignment="1" applyProtection="1">
      <alignment vertical="top"/>
      <protection hidden="1"/>
    </xf>
    <xf numFmtId="0" fontId="43" fillId="2" borderId="9" xfId="4" applyFont="1" applyFill="1" applyBorder="1" applyAlignment="1" applyProtection="1">
      <alignment horizontal="center" vertical="top"/>
      <protection hidden="1"/>
    </xf>
    <xf numFmtId="0" fontId="3" fillId="2" borderId="0" xfId="4" applyFill="1" applyBorder="1"/>
    <xf numFmtId="0" fontId="3" fillId="0" borderId="0" xfId="4" applyBorder="1"/>
    <xf numFmtId="0" fontId="3" fillId="2" borderId="1" xfId="4" applyFill="1" applyBorder="1" applyProtection="1">
      <protection hidden="1"/>
    </xf>
    <xf numFmtId="3" fontId="3" fillId="2" borderId="0" xfId="4" applyNumberFormat="1" applyFont="1" applyFill="1" applyBorder="1" applyAlignment="1" applyProtection="1">
      <alignment horizontal="center"/>
      <protection locked="0"/>
    </xf>
    <xf numFmtId="0" fontId="40" fillId="2" borderId="0" xfId="4" applyFont="1" applyFill="1" applyAlignment="1" applyProtection="1">
      <alignment horizontal="center" vertical="top"/>
      <protection hidden="1"/>
    </xf>
    <xf numFmtId="0" fontId="32" fillId="2" borderId="0" xfId="4" applyFont="1" applyFill="1" applyBorder="1" applyProtection="1">
      <protection hidden="1"/>
    </xf>
    <xf numFmtId="0" fontId="66" fillId="2" borderId="1" xfId="4" applyFont="1" applyFill="1" applyBorder="1" applyProtection="1">
      <protection hidden="1"/>
    </xf>
    <xf numFmtId="0" fontId="66" fillId="2" borderId="1" xfId="4" applyFont="1" applyFill="1" applyBorder="1" applyAlignment="1" applyProtection="1">
      <alignment horizontal="center"/>
      <protection hidden="1"/>
    </xf>
    <xf numFmtId="0" fontId="149" fillId="2" borderId="1" xfId="4" applyFont="1" applyFill="1" applyBorder="1" applyAlignment="1" applyProtection="1">
      <alignment horizontal="center" vertical="top"/>
      <protection hidden="1"/>
    </xf>
    <xf numFmtId="0" fontId="32" fillId="2" borderId="1" xfId="4" applyFont="1" applyFill="1" applyBorder="1" applyProtection="1">
      <protection hidden="1"/>
    </xf>
    <xf numFmtId="49" fontId="66" fillId="2" borderId="1" xfId="4" applyNumberFormat="1" applyFont="1" applyFill="1" applyBorder="1" applyAlignment="1" applyProtection="1">
      <alignment horizontal="right"/>
      <protection hidden="1"/>
    </xf>
    <xf numFmtId="0" fontId="32" fillId="2" borderId="0" xfId="4" applyFont="1" applyFill="1"/>
    <xf numFmtId="0" fontId="32" fillId="0" borderId="0" xfId="4" applyFont="1"/>
    <xf numFmtId="0" fontId="3" fillId="2" borderId="80" xfId="4" applyFill="1" applyBorder="1" applyAlignment="1" applyProtection="1">
      <alignment vertical="top"/>
      <protection hidden="1"/>
    </xf>
    <xf numFmtId="0" fontId="67" fillId="2" borderId="80" xfId="4" applyFont="1" applyFill="1" applyBorder="1" applyAlignment="1" applyProtection="1">
      <alignment vertical="top"/>
      <protection hidden="1"/>
    </xf>
    <xf numFmtId="3" fontId="4" fillId="2" borderId="83" xfId="4" applyNumberFormat="1" applyFont="1" applyFill="1" applyBorder="1" applyAlignment="1" applyProtection="1">
      <alignment horizontal="right" vertical="center"/>
      <protection locked="0"/>
    </xf>
    <xf numFmtId="0" fontId="3" fillId="2" borderId="0" xfId="4" applyFill="1" applyAlignment="1">
      <alignment vertical="center"/>
    </xf>
    <xf numFmtId="0" fontId="3" fillId="0" borderId="0" xfId="4" applyAlignment="1">
      <alignment vertical="center"/>
    </xf>
    <xf numFmtId="0" fontId="5" fillId="2" borderId="0" xfId="4" applyFont="1" applyFill="1" applyBorder="1" applyAlignment="1" applyProtection="1">
      <protection hidden="1"/>
    </xf>
    <xf numFmtId="0" fontId="5" fillId="2" borderId="0" xfId="4" applyFont="1" applyFill="1" applyBorder="1" applyAlignment="1" applyProtection="1">
      <alignment vertical="center"/>
      <protection hidden="1"/>
    </xf>
    <xf numFmtId="0" fontId="42" fillId="2" borderId="0" xfId="4" applyFont="1" applyFill="1" applyBorder="1" applyAlignment="1" applyProtection="1">
      <alignment horizontal="left" vertical="center"/>
      <protection hidden="1"/>
    </xf>
    <xf numFmtId="0" fontId="32" fillId="2" borderId="0" xfId="4" quotePrefix="1" applyFont="1" applyFill="1" applyBorder="1" applyProtection="1">
      <protection hidden="1"/>
    </xf>
    <xf numFmtId="0" fontId="40" fillId="2" borderId="0" xfId="4" applyFont="1" applyFill="1" applyAlignment="1" applyProtection="1">
      <alignment horizontal="right" vertical="center"/>
      <protection hidden="1"/>
    </xf>
    <xf numFmtId="0" fontId="6" fillId="2" borderId="0" xfId="4" applyFont="1" applyFill="1" applyAlignment="1" applyProtection="1">
      <alignment horizontal="right" vertical="center"/>
      <protection hidden="1"/>
    </xf>
    <xf numFmtId="0" fontId="6" fillId="2" borderId="0" xfId="4" applyFont="1" applyFill="1" applyAlignment="1" applyProtection="1">
      <protection hidden="1"/>
    </xf>
    <xf numFmtId="49" fontId="3" fillId="2" borderId="0" xfId="4" applyNumberFormat="1" applyFont="1" applyFill="1" applyBorder="1" applyAlignment="1" applyProtection="1">
      <alignment horizontal="left" vertical="center"/>
      <protection hidden="1"/>
    </xf>
    <xf numFmtId="0" fontId="6" fillId="2" borderId="0" xfId="4" applyFont="1" applyFill="1" applyBorder="1" applyAlignment="1" applyProtection="1">
      <alignment horizontal="right"/>
      <protection hidden="1"/>
    </xf>
    <xf numFmtId="0" fontId="150" fillId="2" borderId="0" xfId="4" applyFont="1" applyFill="1" applyBorder="1" applyAlignment="1" applyProtection="1">
      <alignment horizontal="center"/>
      <protection hidden="1"/>
    </xf>
    <xf numFmtId="0" fontId="151" fillId="2" borderId="0" xfId="4" applyFont="1" applyFill="1" applyBorder="1" applyAlignment="1" applyProtection="1">
      <alignment horizontal="center" vertical="center"/>
      <protection hidden="1"/>
    </xf>
    <xf numFmtId="49" fontId="152" fillId="2" borderId="0" xfId="4" applyNumberFormat="1" applyFont="1" applyFill="1" applyBorder="1" applyAlignment="1" applyProtection="1">
      <alignment horizontal="right"/>
      <protection hidden="1"/>
    </xf>
    <xf numFmtId="0" fontId="152" fillId="2" borderId="0" xfId="4" applyFont="1" applyFill="1" applyBorder="1" applyAlignment="1" applyProtection="1">
      <alignment horizontal="right"/>
      <protection hidden="1"/>
    </xf>
    <xf numFmtId="0" fontId="90" fillId="2" borderId="0" xfId="4" applyFont="1" applyFill="1" applyBorder="1" applyAlignment="1" applyProtection="1">
      <alignment horizontal="right"/>
      <protection hidden="1"/>
    </xf>
    <xf numFmtId="0" fontId="4" fillId="2" borderId="0" xfId="4" applyFont="1" applyFill="1" applyProtection="1">
      <protection hidden="1"/>
    </xf>
    <xf numFmtId="1" fontId="6" fillId="2" borderId="1" xfId="0" applyNumberFormat="1" applyFont="1" applyFill="1" applyBorder="1" applyAlignment="1" applyProtection="1">
      <alignment horizontal="center" vertical="center" wrapText="1"/>
      <protection locked="0"/>
    </xf>
    <xf numFmtId="3" fontId="3" fillId="2" borderId="2" xfId="4" applyNumberFormat="1" applyFont="1" applyFill="1" applyBorder="1" applyProtection="1">
      <protection locked="0"/>
    </xf>
    <xf numFmtId="4" fontId="3" fillId="0" borderId="0" xfId="0" applyNumberFormat="1" applyFont="1" applyFill="1" applyBorder="1" applyAlignment="1" applyProtection="1">
      <alignment horizontal="right"/>
      <protection locked="0"/>
    </xf>
    <xf numFmtId="4" fontId="19" fillId="0" borderId="0" xfId="0" applyNumberFormat="1" applyFont="1" applyFill="1" applyBorder="1" applyAlignment="1" applyProtection="1">
      <alignment horizontal="right"/>
      <protection locked="0"/>
    </xf>
    <xf numFmtId="4" fontId="19" fillId="0" borderId="0" xfId="0" applyNumberFormat="1" applyFont="1" applyFill="1" applyBorder="1" applyAlignment="1" applyProtection="1">
      <alignment horizontal="right" wrapText="1"/>
      <protection locked="0"/>
    </xf>
    <xf numFmtId="3" fontId="6" fillId="3" borderId="31" xfId="0" applyNumberFormat="1" applyFont="1" applyFill="1" applyBorder="1" applyAlignment="1" applyProtection="1">
      <alignment horizontal="right"/>
      <protection hidden="1"/>
    </xf>
    <xf numFmtId="0" fontId="0" fillId="2" borderId="0" xfId="0" applyFill="1" applyBorder="1" applyAlignment="1" applyProtection="1">
      <alignment horizontal="center" wrapText="1"/>
      <protection hidden="1"/>
    </xf>
    <xf numFmtId="0" fontId="14" fillId="2" borderId="0" xfId="0" applyFont="1" applyFill="1" applyBorder="1" applyAlignment="1" applyProtection="1">
      <alignment horizontal="left" vertical="center"/>
      <protection hidden="1"/>
    </xf>
    <xf numFmtId="0" fontId="14" fillId="2" borderId="9" xfId="0" applyFont="1" applyFill="1" applyBorder="1" applyAlignment="1" applyProtection="1">
      <alignment horizontal="left" vertical="center"/>
      <protection hidden="1"/>
    </xf>
    <xf numFmtId="0" fontId="14" fillId="2" borderId="15" xfId="0" applyFont="1" applyFill="1" applyBorder="1" applyAlignment="1" applyProtection="1">
      <alignment horizontal="left" vertical="center"/>
      <protection hidden="1"/>
    </xf>
    <xf numFmtId="0" fontId="6" fillId="2" borderId="31" xfId="0" applyFont="1" applyFill="1" applyBorder="1" applyAlignment="1">
      <alignment horizontal="right"/>
    </xf>
    <xf numFmtId="0" fontId="6" fillId="2" borderId="9" xfId="0" applyFont="1" applyFill="1" applyBorder="1" applyAlignment="1">
      <alignment horizontal="right"/>
    </xf>
    <xf numFmtId="0" fontId="6" fillId="2" borderId="3" xfId="0" applyFont="1" applyFill="1" applyBorder="1" applyAlignment="1">
      <alignment horizontal="right"/>
    </xf>
    <xf numFmtId="0" fontId="6" fillId="2" borderId="0" xfId="0" applyFont="1" applyFill="1" applyAlignment="1">
      <alignment horizontal="right"/>
    </xf>
    <xf numFmtId="3" fontId="6" fillId="3" borderId="84" xfId="0" applyNumberFormat="1" applyFont="1" applyFill="1" applyBorder="1" applyAlignment="1" applyProtection="1">
      <alignment horizontal="right"/>
      <protection hidden="1"/>
    </xf>
    <xf numFmtId="3" fontId="6" fillId="2" borderId="86" xfId="0" applyNumberFormat="1" applyFont="1" applyFill="1" applyBorder="1" applyAlignment="1" applyProtection="1">
      <alignment horizontal="right"/>
      <protection hidden="1"/>
    </xf>
    <xf numFmtId="3" fontId="6" fillId="3" borderId="9" xfId="0" applyNumberFormat="1" applyFont="1" applyFill="1" applyBorder="1" applyAlignment="1" applyProtection="1">
      <alignment horizontal="right"/>
      <protection hidden="1"/>
    </xf>
    <xf numFmtId="0" fontId="153" fillId="5" borderId="0" xfId="0" applyFont="1" applyFill="1" applyProtection="1">
      <protection hidden="1"/>
    </xf>
    <xf numFmtId="0" fontId="4" fillId="2" borderId="1" xfId="0" applyFont="1" applyFill="1" applyBorder="1" applyProtection="1">
      <protection locked="0"/>
    </xf>
    <xf numFmtId="0" fontId="0" fillId="2" borderId="0" xfId="0" applyFill="1" applyBorder="1" applyAlignment="1" applyProtection="1">
      <alignment horizontal="center" vertical="center"/>
      <protection hidden="1"/>
    </xf>
    <xf numFmtId="0" fontId="21" fillId="3" borderId="0" xfId="0" applyFont="1" applyFill="1" applyProtection="1">
      <protection hidden="1"/>
    </xf>
    <xf numFmtId="0" fontId="21" fillId="3" borderId="0" xfId="0" applyFont="1" applyFill="1" applyAlignment="1" applyProtection="1">
      <alignment horizontal="left"/>
      <protection hidden="1"/>
    </xf>
    <xf numFmtId="0" fontId="51" fillId="3" borderId="0" xfId="0" applyFont="1" applyFill="1" applyAlignment="1" applyProtection="1">
      <alignment horizontal="center"/>
      <protection hidden="1"/>
    </xf>
    <xf numFmtId="0" fontId="21" fillId="3" borderId="0" xfId="0" applyFont="1" applyFill="1" applyAlignment="1" applyProtection="1">
      <alignment horizontal="right"/>
      <protection hidden="1"/>
    </xf>
    <xf numFmtId="0" fontId="156" fillId="7" borderId="0" xfId="0" applyFont="1" applyFill="1" applyBorder="1" applyAlignment="1" applyProtection="1">
      <alignment horizontal="center"/>
      <protection hidden="1"/>
    </xf>
    <xf numFmtId="0" fontId="156" fillId="3" borderId="0" xfId="0" applyFont="1" applyFill="1" applyBorder="1" applyAlignment="1" applyProtection="1">
      <alignment horizontal="center"/>
      <protection hidden="1"/>
    </xf>
    <xf numFmtId="0" fontId="4" fillId="3" borderId="0" xfId="0" applyFont="1" applyFill="1" applyAlignment="1" applyProtection="1">
      <alignment horizontal="left"/>
      <protection hidden="1"/>
    </xf>
    <xf numFmtId="0" fontId="4" fillId="3" borderId="0" xfId="0" applyFont="1" applyFill="1" applyProtection="1">
      <protection hidden="1"/>
    </xf>
    <xf numFmtId="0" fontId="4" fillId="3" borderId="0" xfId="0" applyFont="1" applyFill="1" applyAlignment="1" applyProtection="1">
      <alignment horizontal="center"/>
      <protection hidden="1"/>
    </xf>
    <xf numFmtId="0" fontId="8" fillId="7" borderId="0" xfId="0" applyFont="1" applyFill="1" applyBorder="1" applyProtection="1">
      <protection hidden="1"/>
    </xf>
    <xf numFmtId="0" fontId="11" fillId="3" borderId="0" xfId="0" applyFont="1" applyFill="1" applyAlignment="1" applyProtection="1">
      <alignment horizontal="center"/>
      <protection hidden="1"/>
    </xf>
    <xf numFmtId="0" fontId="157" fillId="3" borderId="22" xfId="0" applyFont="1" applyFill="1" applyBorder="1" applyProtection="1">
      <protection hidden="1"/>
    </xf>
    <xf numFmtId="0" fontId="157" fillId="3" borderId="0" xfId="0" applyFont="1" applyFill="1" applyBorder="1" applyProtection="1">
      <protection hidden="1"/>
    </xf>
    <xf numFmtId="4" fontId="0" fillId="3" borderId="8" xfId="0" applyNumberFormat="1" applyFill="1" applyBorder="1" applyProtection="1">
      <protection hidden="1"/>
    </xf>
    <xf numFmtId="0" fontId="157" fillId="3" borderId="0" xfId="0" applyFont="1" applyFill="1" applyBorder="1" applyAlignment="1" applyProtection="1">
      <alignment horizontal="right"/>
      <protection hidden="1"/>
    </xf>
    <xf numFmtId="166" fontId="4" fillId="7" borderId="0" xfId="0" applyNumberFormat="1" applyFont="1" applyFill="1" applyBorder="1" applyAlignment="1" applyProtection="1">
      <alignment horizontal="left"/>
      <protection hidden="1"/>
    </xf>
    <xf numFmtId="166" fontId="4" fillId="3" borderId="0" xfId="0" applyNumberFormat="1" applyFont="1" applyFill="1" applyBorder="1" applyAlignment="1" applyProtection="1">
      <alignment horizontal="left"/>
      <protection hidden="1"/>
    </xf>
    <xf numFmtId="0" fontId="59" fillId="11" borderId="0" xfId="0" applyFont="1" applyFill="1" applyAlignment="1" applyProtection="1">
      <alignment horizontal="center"/>
      <protection hidden="1"/>
    </xf>
    <xf numFmtId="0" fontId="0" fillId="7" borderId="0" xfId="0" applyFill="1" applyBorder="1" applyProtection="1">
      <protection hidden="1"/>
    </xf>
    <xf numFmtId="0" fontId="4" fillId="3" borderId="14" xfId="0" applyFont="1" applyFill="1" applyBorder="1" applyAlignment="1" applyProtection="1">
      <alignment horizontal="center"/>
      <protection hidden="1"/>
    </xf>
    <xf numFmtId="0" fontId="0" fillId="3" borderId="14" xfId="0" applyFill="1" applyBorder="1" applyProtection="1">
      <protection hidden="1"/>
    </xf>
    <xf numFmtId="0" fontId="11" fillId="2" borderId="0" xfId="0" applyFont="1" applyFill="1" applyAlignment="1" applyProtection="1">
      <alignment horizontal="left"/>
      <protection hidden="1"/>
    </xf>
    <xf numFmtId="0" fontId="3" fillId="2" borderId="0" xfId="0" applyFont="1" applyFill="1" applyAlignment="1" applyProtection="1">
      <alignment horizontal="left"/>
      <protection hidden="1"/>
    </xf>
    <xf numFmtId="0" fontId="3" fillId="5" borderId="0" xfId="0" applyFont="1" applyFill="1" applyBorder="1" applyAlignment="1" applyProtection="1">
      <alignment horizontal="left"/>
      <protection hidden="1"/>
    </xf>
    <xf numFmtId="0" fontId="3" fillId="5" borderId="0" xfId="0" applyFont="1" applyFill="1" applyAlignment="1" applyProtection="1">
      <alignment horizontal="left"/>
      <protection hidden="1"/>
    </xf>
    <xf numFmtId="0" fontId="3" fillId="0" borderId="0" xfId="0" applyFont="1" applyFill="1" applyBorder="1" applyAlignment="1" applyProtection="1">
      <alignment horizontal="left"/>
      <protection hidden="1"/>
    </xf>
    <xf numFmtId="0" fontId="3" fillId="0" borderId="0" xfId="0" applyFont="1" applyFill="1" applyAlignment="1" applyProtection="1">
      <alignment horizontal="left"/>
      <protection hidden="1"/>
    </xf>
    <xf numFmtId="38" fontId="5" fillId="2" borderId="5" xfId="0" applyNumberFormat="1" applyFont="1" applyFill="1" applyBorder="1" applyAlignment="1" applyProtection="1">
      <alignment horizontal="left"/>
      <protection hidden="1"/>
    </xf>
    <xf numFmtId="38" fontId="5" fillId="2" borderId="5" xfId="0" applyNumberFormat="1" applyFont="1" applyFill="1" applyBorder="1" applyProtection="1">
      <protection hidden="1"/>
    </xf>
    <xf numFmtId="38" fontId="5" fillId="2" borderId="5" xfId="0" applyNumberFormat="1" applyFont="1" applyFill="1" applyBorder="1" applyAlignment="1" applyProtection="1">
      <alignment horizontal="right"/>
      <protection hidden="1"/>
    </xf>
    <xf numFmtId="38" fontId="4" fillId="2" borderId="26" xfId="0" applyNumberFormat="1" applyFont="1" applyFill="1" applyBorder="1" applyProtection="1">
      <protection hidden="1"/>
    </xf>
    <xf numFmtId="38" fontId="4" fillId="2" borderId="26" xfId="0" applyNumberFormat="1" applyFont="1" applyFill="1" applyBorder="1" applyAlignment="1" applyProtection="1">
      <alignment horizontal="right"/>
      <protection hidden="1"/>
    </xf>
    <xf numFmtId="38" fontId="0" fillId="2" borderId="26" xfId="0" applyNumberFormat="1" applyFill="1" applyBorder="1" applyProtection="1">
      <protection hidden="1"/>
    </xf>
    <xf numFmtId="38" fontId="57" fillId="17" borderId="0" xfId="0" applyNumberFormat="1" applyFont="1" applyFill="1" applyBorder="1" applyAlignment="1" applyProtection="1">
      <alignment horizontal="left"/>
      <protection hidden="1"/>
    </xf>
    <xf numFmtId="38" fontId="59" fillId="17" borderId="0" xfId="0" applyNumberFormat="1" applyFont="1" applyFill="1" applyBorder="1" applyAlignment="1" applyProtection="1">
      <alignment horizontal="left"/>
      <protection hidden="1"/>
    </xf>
    <xf numFmtId="38" fontId="4" fillId="2" borderId="0" xfId="0" applyNumberFormat="1" applyFont="1" applyFill="1" applyBorder="1" applyProtection="1">
      <protection hidden="1"/>
    </xf>
    <xf numFmtId="38" fontId="3" fillId="2" borderId="0" xfId="0" applyNumberFormat="1" applyFont="1" applyFill="1" applyBorder="1" applyProtection="1">
      <protection hidden="1"/>
    </xf>
    <xf numFmtId="38" fontId="4" fillId="2" borderId="8" xfId="0" applyNumberFormat="1" applyFont="1" applyFill="1" applyBorder="1" applyAlignment="1" applyProtection="1">
      <alignment horizontal="center"/>
      <protection hidden="1"/>
    </xf>
    <xf numFmtId="38" fontId="5" fillId="2" borderId="8" xfId="0" applyNumberFormat="1" applyFont="1" applyFill="1" applyBorder="1" applyProtection="1">
      <protection hidden="1"/>
    </xf>
    <xf numFmtId="38" fontId="3" fillId="2" borderId="8" xfId="0" applyNumberFormat="1" applyFont="1" applyFill="1" applyBorder="1" applyProtection="1">
      <protection hidden="1"/>
    </xf>
    <xf numFmtId="38" fontId="0" fillId="2" borderId="8" xfId="0" applyNumberFormat="1" applyFill="1" applyBorder="1" applyProtection="1">
      <protection hidden="1"/>
    </xf>
    <xf numFmtId="38" fontId="4" fillId="2" borderId="0" xfId="0" applyNumberFormat="1" applyFont="1" applyFill="1" applyBorder="1" applyAlignment="1" applyProtection="1">
      <alignment horizontal="center"/>
      <protection locked="0"/>
    </xf>
    <xf numFmtId="38" fontId="4" fillId="2" borderId="21" xfId="0" applyNumberFormat="1" applyFont="1" applyFill="1" applyBorder="1" applyProtection="1">
      <protection hidden="1"/>
    </xf>
    <xf numFmtId="38" fontId="4" fillId="2" borderId="5" xfId="0" applyNumberFormat="1" applyFont="1" applyFill="1" applyBorder="1" applyProtection="1">
      <protection hidden="1"/>
    </xf>
    <xf numFmtId="38" fontId="3" fillId="2" borderId="5" xfId="0" applyNumberFormat="1" applyFont="1" applyFill="1" applyBorder="1" applyProtection="1">
      <protection hidden="1"/>
    </xf>
    <xf numFmtId="38" fontId="11" fillId="2" borderId="7" xfId="0" applyNumberFormat="1" applyFont="1" applyFill="1" applyBorder="1" applyAlignment="1" applyProtection="1">
      <alignment horizontal="center"/>
      <protection hidden="1"/>
    </xf>
    <xf numFmtId="38" fontId="11" fillId="2" borderId="3" xfId="0" applyNumberFormat="1" applyFont="1" applyFill="1" applyBorder="1" applyAlignment="1" applyProtection="1">
      <alignment horizontal="center"/>
      <protection hidden="1"/>
    </xf>
    <xf numFmtId="38" fontId="11" fillId="2" borderId="0" xfId="0" applyNumberFormat="1" applyFont="1" applyFill="1" applyBorder="1" applyAlignment="1" applyProtection="1">
      <alignment horizontal="left"/>
      <protection hidden="1"/>
    </xf>
    <xf numFmtId="38" fontId="0" fillId="0" borderId="25" xfId="0" applyNumberFormat="1" applyBorder="1" applyProtection="1">
      <protection hidden="1"/>
    </xf>
    <xf numFmtId="0" fontId="4" fillId="2" borderId="0" xfId="0" applyNumberFormat="1" applyFont="1" applyFill="1" applyAlignment="1" applyProtection="1">
      <alignment horizontal="right"/>
      <protection hidden="1"/>
    </xf>
    <xf numFmtId="38" fontId="0" fillId="0" borderId="0" xfId="0" applyNumberFormat="1" applyProtection="1">
      <protection hidden="1"/>
    </xf>
    <xf numFmtId="38" fontId="11" fillId="2" borderId="0" xfId="0" applyNumberFormat="1" applyFont="1" applyFill="1" applyAlignment="1" applyProtection="1">
      <alignment horizontal="center"/>
      <protection hidden="1"/>
    </xf>
    <xf numFmtId="38" fontId="0" fillId="2" borderId="0" xfId="0" applyNumberFormat="1" applyFill="1" applyProtection="1">
      <protection hidden="1"/>
    </xf>
    <xf numFmtId="38" fontId="8" fillId="2" borderId="7" xfId="0" applyNumberFormat="1" applyFont="1" applyFill="1" applyBorder="1" applyAlignment="1" applyProtection="1">
      <alignment horizontal="center"/>
      <protection hidden="1"/>
    </xf>
    <xf numFmtId="38" fontId="8" fillId="2" borderId="25" xfId="0" applyNumberFormat="1" applyFont="1" applyFill="1" applyBorder="1" applyAlignment="1" applyProtection="1">
      <alignment horizontal="center"/>
      <protection hidden="1"/>
    </xf>
    <xf numFmtId="38" fontId="8" fillId="2" borderId="3" xfId="0" applyNumberFormat="1" applyFont="1" applyFill="1" applyBorder="1" applyAlignment="1" applyProtection="1">
      <alignment horizontal="center"/>
      <protection hidden="1"/>
    </xf>
    <xf numFmtId="38" fontId="8" fillId="2" borderId="0" xfId="0" applyNumberFormat="1" applyFont="1" applyFill="1" applyBorder="1" applyAlignment="1" applyProtection="1">
      <alignment horizontal="left"/>
      <protection hidden="1"/>
    </xf>
    <xf numFmtId="38" fontId="3" fillId="2" borderId="1" xfId="0" applyNumberFormat="1" applyFont="1" applyFill="1" applyBorder="1" applyProtection="1">
      <protection hidden="1"/>
    </xf>
    <xf numFmtId="38" fontId="0" fillId="2" borderId="1" xfId="0" applyNumberFormat="1" applyFill="1" applyBorder="1" applyProtection="1">
      <protection hidden="1"/>
    </xf>
    <xf numFmtId="38" fontId="8" fillId="2" borderId="11" xfId="0" applyNumberFormat="1" applyFont="1" applyFill="1" applyBorder="1" applyAlignment="1" applyProtection="1">
      <alignment horizontal="center"/>
      <protection hidden="1"/>
    </xf>
    <xf numFmtId="38" fontId="8" fillId="2" borderId="10" xfId="0" applyNumberFormat="1" applyFont="1" applyFill="1" applyBorder="1" applyAlignment="1" applyProtection="1">
      <alignment horizontal="center"/>
      <protection hidden="1"/>
    </xf>
    <xf numFmtId="38" fontId="8" fillId="2" borderId="1" xfId="0" applyNumberFormat="1" applyFont="1" applyFill="1" applyBorder="1" applyAlignment="1" applyProtection="1">
      <alignment horizontal="left"/>
      <protection hidden="1"/>
    </xf>
    <xf numFmtId="38" fontId="17" fillId="2" borderId="12" xfId="0" applyNumberFormat="1" applyFont="1" applyFill="1" applyBorder="1" applyAlignment="1" applyProtection="1">
      <alignment horizontal="center"/>
      <protection hidden="1"/>
    </xf>
    <xf numFmtId="38" fontId="4" fillId="2" borderId="55" xfId="0" applyNumberFormat="1" applyFont="1" applyFill="1" applyBorder="1" applyAlignment="1" applyProtection="1">
      <alignment horizontal="center"/>
      <protection hidden="1"/>
    </xf>
    <xf numFmtId="38" fontId="4" fillId="2" borderId="55" xfId="0" applyNumberFormat="1" applyFont="1" applyFill="1" applyBorder="1" applyAlignment="1" applyProtection="1">
      <alignment horizontal="center"/>
      <protection locked="0"/>
    </xf>
    <xf numFmtId="38" fontId="3" fillId="2" borderId="0" xfId="0" applyNumberFormat="1" applyFont="1" applyFill="1" applyProtection="1">
      <protection hidden="1"/>
    </xf>
    <xf numFmtId="38" fontId="8" fillId="2" borderId="1" xfId="0" applyNumberFormat="1" applyFont="1" applyFill="1" applyBorder="1" applyProtection="1">
      <protection hidden="1"/>
    </xf>
    <xf numFmtId="0" fontId="4" fillId="2" borderId="0" xfId="0" applyNumberFormat="1" applyFont="1" applyFill="1" applyProtection="1">
      <protection hidden="1"/>
    </xf>
    <xf numFmtId="38" fontId="0" fillId="7" borderId="55" xfId="0" applyNumberFormat="1" applyFill="1" applyBorder="1" applyProtection="1">
      <protection hidden="1"/>
    </xf>
    <xf numFmtId="38" fontId="0" fillId="7" borderId="40" xfId="0" applyNumberFormat="1" applyFill="1" applyBorder="1" applyProtection="1">
      <protection hidden="1"/>
    </xf>
    <xf numFmtId="38" fontId="0" fillId="7" borderId="26" xfId="0" applyNumberFormat="1" applyFill="1" applyBorder="1" applyProtection="1">
      <protection hidden="1"/>
    </xf>
    <xf numFmtId="38" fontId="4" fillId="2" borderId="13" xfId="0" applyNumberFormat="1" applyFont="1" applyFill="1" applyBorder="1" applyAlignment="1" applyProtection="1">
      <alignment horizontal="right"/>
      <protection hidden="1"/>
    </xf>
    <xf numFmtId="38" fontId="0" fillId="2" borderId="16" xfId="0" applyNumberFormat="1" applyFill="1" applyBorder="1" applyAlignment="1" applyProtection="1">
      <alignment horizontal="right"/>
      <protection hidden="1"/>
    </xf>
    <xf numFmtId="38" fontId="57" fillId="17" borderId="28" xfId="0" applyNumberFormat="1" applyFont="1" applyFill="1" applyBorder="1" applyAlignment="1" applyProtection="1">
      <alignment horizontal="left"/>
      <protection hidden="1"/>
    </xf>
    <xf numFmtId="38" fontId="59" fillId="17" borderId="28" xfId="0" applyNumberFormat="1" applyFont="1" applyFill="1" applyBorder="1" applyAlignment="1" applyProtection="1">
      <alignment horizontal="left"/>
      <protection hidden="1"/>
    </xf>
    <xf numFmtId="38" fontId="16" fillId="2" borderId="28" xfId="0" applyNumberFormat="1" applyFont="1" applyFill="1" applyBorder="1" applyProtection="1">
      <protection hidden="1"/>
    </xf>
    <xf numFmtId="38" fontId="0" fillId="2" borderId="28" xfId="0" applyNumberFormat="1" applyFill="1" applyBorder="1" applyProtection="1">
      <protection hidden="1"/>
    </xf>
    <xf numFmtId="0" fontId="4" fillId="2" borderId="1" xfId="0" applyNumberFormat="1" applyFont="1" applyFill="1" applyBorder="1" applyAlignment="1" applyProtection="1">
      <alignment vertical="center"/>
      <protection hidden="1"/>
    </xf>
    <xf numFmtId="38" fontId="0" fillId="2" borderId="1" xfId="0" applyNumberFormat="1" applyFill="1" applyBorder="1" applyAlignment="1" applyProtection="1">
      <alignment vertical="center"/>
      <protection hidden="1"/>
    </xf>
    <xf numFmtId="38" fontId="11" fillId="2" borderId="1" xfId="0" applyNumberFormat="1" applyFont="1" applyFill="1" applyBorder="1" applyAlignment="1" applyProtection="1">
      <alignment vertical="center"/>
      <protection hidden="1"/>
    </xf>
    <xf numFmtId="38" fontId="0" fillId="0" borderId="1" xfId="0" applyNumberFormat="1" applyBorder="1" applyAlignment="1" applyProtection="1">
      <alignment vertical="center"/>
      <protection hidden="1"/>
    </xf>
    <xf numFmtId="38" fontId="11" fillId="2" borderId="9" xfId="0" applyNumberFormat="1" applyFont="1" applyFill="1" applyBorder="1" applyProtection="1">
      <protection hidden="1"/>
    </xf>
    <xf numFmtId="38" fontId="4" fillId="2" borderId="13" xfId="0" applyNumberFormat="1" applyFont="1" applyFill="1" applyBorder="1" applyAlignment="1" applyProtection="1">
      <alignment horizontal="center"/>
      <protection hidden="1"/>
    </xf>
    <xf numFmtId="38" fontId="4" fillId="2" borderId="0" xfId="0" applyNumberFormat="1" applyFont="1" applyFill="1" applyProtection="1">
      <protection hidden="1"/>
    </xf>
    <xf numFmtId="38" fontId="4" fillId="2" borderId="7" xfId="0" applyNumberFormat="1" applyFont="1" applyFill="1" applyBorder="1" applyAlignment="1" applyProtection="1">
      <alignment horizontal="center"/>
      <protection hidden="1"/>
    </xf>
    <xf numFmtId="0" fontId="4" fillId="2" borderId="0" xfId="0" applyNumberFormat="1" applyFont="1" applyFill="1" applyBorder="1" applyAlignment="1" applyProtection="1">
      <alignment vertical="center"/>
      <protection hidden="1"/>
    </xf>
    <xf numFmtId="38" fontId="11" fillId="2" borderId="0" xfId="0" applyNumberFormat="1" applyFont="1" applyFill="1" applyBorder="1" applyAlignment="1" applyProtection="1">
      <alignment vertical="center"/>
      <protection hidden="1"/>
    </xf>
    <xf numFmtId="38" fontId="0" fillId="2" borderId="25" xfId="0" applyNumberFormat="1" applyFill="1" applyBorder="1" applyAlignment="1" applyProtection="1">
      <alignment vertical="center"/>
      <protection hidden="1"/>
    </xf>
    <xf numFmtId="38" fontId="4" fillId="2" borderId="1" xfId="0" applyNumberFormat="1" applyFont="1" applyFill="1" applyBorder="1" applyAlignment="1" applyProtection="1">
      <alignment vertical="center"/>
      <protection hidden="1"/>
    </xf>
    <xf numFmtId="38" fontId="0" fillId="2" borderId="12" xfId="0" applyNumberFormat="1" applyFill="1" applyBorder="1" applyAlignment="1" applyProtection="1">
      <alignment vertical="center"/>
      <protection hidden="1"/>
    </xf>
    <xf numFmtId="38" fontId="0" fillId="5" borderId="13" xfId="0" applyNumberFormat="1" applyFill="1" applyBorder="1" applyProtection="1">
      <protection hidden="1"/>
    </xf>
    <xf numFmtId="0" fontId="0" fillId="10" borderId="0" xfId="0" applyFill="1" applyAlignment="1" applyProtection="1">
      <alignment horizontal="center"/>
      <protection hidden="1"/>
    </xf>
    <xf numFmtId="38" fontId="17" fillId="2" borderId="0" xfId="0" applyNumberFormat="1" applyFont="1" applyFill="1" applyProtection="1">
      <protection hidden="1"/>
    </xf>
    <xf numFmtId="38" fontId="0" fillId="5" borderId="0" xfId="0" applyNumberFormat="1" applyFill="1" applyProtection="1">
      <protection hidden="1"/>
    </xf>
    <xf numFmtId="38" fontId="0" fillId="2" borderId="7" xfId="0" applyNumberFormat="1" applyFill="1" applyBorder="1" applyProtection="1">
      <protection hidden="1"/>
    </xf>
    <xf numFmtId="38" fontId="4" fillId="2" borderId="16" xfId="0" applyNumberFormat="1" applyFont="1" applyFill="1" applyBorder="1" applyAlignment="1" applyProtection="1">
      <alignment horizontal="center"/>
      <protection hidden="1"/>
    </xf>
    <xf numFmtId="38" fontId="0" fillId="5" borderId="5" xfId="0" applyNumberFormat="1" applyFill="1" applyBorder="1" applyProtection="1">
      <protection hidden="1"/>
    </xf>
    <xf numFmtId="38" fontId="6" fillId="2" borderId="0" xfId="0" applyNumberFormat="1" applyFont="1" applyFill="1" applyAlignment="1" applyProtection="1">
      <alignment horizontal="right"/>
      <protection hidden="1"/>
    </xf>
    <xf numFmtId="38" fontId="3" fillId="5" borderId="0" xfId="0" applyNumberFormat="1" applyFont="1" applyFill="1" applyProtection="1">
      <protection hidden="1"/>
    </xf>
    <xf numFmtId="0" fontId="0" fillId="2" borderId="0" xfId="0" applyFill="1" applyBorder="1" applyAlignment="1" applyProtection="1">
      <protection locked="0"/>
    </xf>
    <xf numFmtId="166" fontId="4" fillId="3" borderId="0" xfId="0" applyNumberFormat="1" applyFont="1" applyFill="1" applyBorder="1" applyAlignment="1" applyProtection="1">
      <alignment horizontal="center"/>
      <protection locked="0"/>
    </xf>
    <xf numFmtId="0" fontId="4" fillId="3" borderId="0" xfId="0" quotePrefix="1" applyFont="1" applyFill="1" applyBorder="1" applyAlignment="1" applyProtection="1">
      <alignment horizontal="center"/>
      <protection locked="0"/>
    </xf>
    <xf numFmtId="0" fontId="4" fillId="3" borderId="5" xfId="0" quotePrefix="1" applyFont="1" applyFill="1" applyBorder="1" applyAlignment="1" applyProtection="1">
      <alignment horizontal="center"/>
      <protection locked="0"/>
    </xf>
    <xf numFmtId="0" fontId="0" fillId="2" borderId="5" xfId="0" applyFill="1" applyBorder="1" applyAlignment="1" applyProtection="1">
      <protection locked="0"/>
    </xf>
    <xf numFmtId="166" fontId="5" fillId="2" borderId="0" xfId="0" applyNumberFormat="1" applyFont="1" applyFill="1" applyBorder="1" applyAlignment="1" applyProtection="1">
      <alignment horizontal="left"/>
      <protection locked="0"/>
    </xf>
    <xf numFmtId="166" fontId="5" fillId="2" borderId="5" xfId="0" applyNumberFormat="1" applyFont="1" applyFill="1" applyBorder="1" applyAlignment="1" applyProtection="1">
      <alignment horizontal="left"/>
      <protection locked="0"/>
    </xf>
    <xf numFmtId="166" fontId="152" fillId="3" borderId="5" xfId="0" applyNumberFormat="1" applyFont="1" applyFill="1" applyBorder="1" applyAlignment="1" applyProtection="1">
      <alignment horizontal="right"/>
      <protection locked="0"/>
    </xf>
    <xf numFmtId="0" fontId="4" fillId="3" borderId="55" xfId="0" quotePrefix="1" applyFont="1" applyFill="1" applyBorder="1" applyAlignment="1" applyProtection="1">
      <alignment horizontal="center"/>
      <protection locked="0"/>
    </xf>
    <xf numFmtId="0" fontId="60" fillId="3" borderId="0" xfId="0" applyFont="1" applyFill="1" applyBorder="1" applyAlignment="1" applyProtection="1">
      <alignment horizontal="left"/>
      <protection hidden="1"/>
    </xf>
    <xf numFmtId="0" fontId="0" fillId="2" borderId="1" xfId="0" applyFill="1" applyBorder="1" applyAlignment="1" applyProtection="1">
      <alignment horizontal="left"/>
      <protection hidden="1"/>
    </xf>
    <xf numFmtId="0" fontId="60" fillId="3" borderId="1" xfId="0" applyFont="1" applyFill="1" applyBorder="1" applyAlignment="1" applyProtection="1">
      <alignment horizontal="left"/>
      <protection hidden="1"/>
    </xf>
    <xf numFmtId="38" fontId="5" fillId="3" borderId="0" xfId="0" applyNumberFormat="1" applyFont="1" applyFill="1" applyBorder="1" applyProtection="1">
      <protection hidden="1"/>
    </xf>
    <xf numFmtId="0" fontId="0" fillId="0" borderId="0" xfId="0" applyAlignment="1">
      <alignment horizontal="center" vertical="center"/>
    </xf>
    <xf numFmtId="0" fontId="6" fillId="3" borderId="31" xfId="0" applyFont="1" applyFill="1" applyBorder="1" applyAlignment="1" applyProtection="1">
      <alignment horizontal="center"/>
      <protection hidden="1"/>
    </xf>
    <xf numFmtId="0" fontId="5" fillId="20" borderId="0" xfId="0" applyFont="1" applyFill="1" applyBorder="1" applyProtection="1">
      <protection hidden="1"/>
    </xf>
    <xf numFmtId="0" fontId="0" fillId="20" borderId="0" xfId="0" applyFill="1" applyBorder="1" applyProtection="1">
      <protection hidden="1"/>
    </xf>
    <xf numFmtId="0" fontId="11" fillId="20" borderId="0" xfId="0" applyFont="1" applyFill="1" applyBorder="1" applyAlignment="1" applyProtection="1">
      <alignment horizontal="center"/>
      <protection hidden="1"/>
    </xf>
    <xf numFmtId="0" fontId="11" fillId="21" borderId="0" xfId="0" applyFont="1" applyFill="1" applyBorder="1" applyAlignment="1" applyProtection="1">
      <alignment horizontal="center"/>
      <protection hidden="1"/>
    </xf>
    <xf numFmtId="0" fontId="11" fillId="21" borderId="25" xfId="0" applyFont="1" applyFill="1" applyBorder="1" applyAlignment="1" applyProtection="1">
      <alignment horizontal="center"/>
      <protection hidden="1"/>
    </xf>
    <xf numFmtId="0" fontId="5" fillId="3" borderId="14" xfId="0" applyFont="1" applyFill="1" applyBorder="1" applyProtection="1">
      <protection hidden="1"/>
    </xf>
    <xf numFmtId="3" fontId="8" fillId="0" borderId="13" xfId="0" applyNumberFormat="1" applyFont="1" applyBorder="1"/>
    <xf numFmtId="0" fontId="8" fillId="0" borderId="13" xfId="0" applyFont="1" applyBorder="1" applyAlignment="1">
      <alignment horizontal="center"/>
    </xf>
    <xf numFmtId="0" fontId="8" fillId="0" borderId="0" xfId="0" applyFont="1" applyAlignment="1">
      <alignment horizontal="right"/>
    </xf>
    <xf numFmtId="0" fontId="8" fillId="0" borderId="0" xfId="0" applyFont="1" applyAlignment="1" applyProtection="1">
      <alignment horizontal="right"/>
      <protection hidden="1"/>
    </xf>
    <xf numFmtId="37" fontId="34" fillId="2" borderId="13" xfId="0" applyNumberFormat="1" applyFont="1" applyFill="1" applyBorder="1" applyProtection="1">
      <protection locked="0"/>
    </xf>
    <xf numFmtId="0" fontId="0" fillId="21" borderId="0" xfId="0" applyFill="1"/>
    <xf numFmtId="4" fontId="0" fillId="2" borderId="91" xfId="0" applyNumberFormat="1" applyFill="1" applyBorder="1" applyAlignment="1" applyProtection="1">
      <alignment horizontal="center"/>
      <protection locked="0"/>
    </xf>
    <xf numFmtId="4" fontId="4" fillId="2" borderId="90" xfId="0" applyNumberFormat="1" applyFont="1" applyFill="1" applyBorder="1" applyAlignment="1" applyProtection="1">
      <alignment horizontal="center"/>
      <protection hidden="1"/>
    </xf>
    <xf numFmtId="0" fontId="67" fillId="2" borderId="62" xfId="0" applyFont="1" applyFill="1" applyBorder="1" applyAlignment="1" applyProtection="1">
      <alignment horizontal="right"/>
      <protection hidden="1"/>
    </xf>
    <xf numFmtId="0" fontId="67" fillId="2" borderId="63" xfId="0" applyFont="1" applyFill="1" applyBorder="1" applyAlignment="1" applyProtection="1">
      <alignment horizontal="right"/>
      <protection hidden="1"/>
    </xf>
    <xf numFmtId="4" fontId="0" fillId="2" borderId="89" xfId="0" applyNumberFormat="1" applyFill="1" applyBorder="1" applyAlignment="1" applyProtection="1">
      <alignment horizontal="center"/>
      <protection locked="0"/>
    </xf>
    <xf numFmtId="4" fontId="0" fillId="2" borderId="90" xfId="0" applyNumberFormat="1" applyFill="1" applyBorder="1" applyAlignment="1" applyProtection="1">
      <alignment horizontal="center"/>
      <protection locked="0"/>
    </xf>
    <xf numFmtId="4" fontId="4" fillId="2" borderId="89" xfId="0" applyNumberFormat="1" applyFont="1" applyFill="1" applyBorder="1" applyAlignment="1" applyProtection="1">
      <alignment horizontal="center"/>
      <protection hidden="1"/>
    </xf>
    <xf numFmtId="0" fontId="0" fillId="2" borderId="63" xfId="0" applyFill="1" applyBorder="1" applyProtection="1">
      <protection hidden="1"/>
    </xf>
    <xf numFmtId="2" fontId="4" fillId="2" borderId="62" xfId="0" applyNumberFormat="1" applyFont="1" applyFill="1" applyBorder="1" applyAlignment="1" applyProtection="1">
      <alignment horizontal="center"/>
      <protection hidden="1"/>
    </xf>
    <xf numFmtId="2" fontId="4" fillId="2" borderId="2" xfId="0" applyNumberFormat="1" applyFont="1" applyFill="1" applyBorder="1" applyAlignment="1" applyProtection="1">
      <alignment horizontal="center"/>
      <protection hidden="1"/>
    </xf>
    <xf numFmtId="4" fontId="67" fillId="2" borderId="6" xfId="0" applyNumberFormat="1" applyFont="1" applyFill="1" applyBorder="1" applyAlignment="1" applyProtection="1">
      <alignment vertical="top"/>
      <protection hidden="1"/>
    </xf>
    <xf numFmtId="0" fontId="22" fillId="2" borderId="0" xfId="0" applyFont="1" applyFill="1" applyBorder="1" applyAlignment="1" applyProtection="1">
      <alignment horizontal="left" vertical="center"/>
      <protection hidden="1"/>
    </xf>
    <xf numFmtId="0" fontId="0" fillId="21" borderId="17" xfId="0" applyFill="1" applyBorder="1"/>
    <xf numFmtId="0" fontId="164" fillId="2" borderId="6" xfId="0" applyFont="1" applyFill="1" applyBorder="1" applyAlignment="1" applyProtection="1">
      <alignment horizontal="right"/>
      <protection hidden="1"/>
    </xf>
    <xf numFmtId="0" fontId="165" fillId="2" borderId="42" xfId="0" applyFont="1" applyFill="1" applyBorder="1" applyProtection="1">
      <protection hidden="1"/>
    </xf>
    <xf numFmtId="4" fontId="165" fillId="2" borderId="50" xfId="0" applyNumberFormat="1" applyFont="1" applyFill="1" applyBorder="1" applyProtection="1">
      <protection hidden="1"/>
    </xf>
    <xf numFmtId="0" fontId="164" fillId="2" borderId="6" xfId="0" applyFont="1" applyFill="1" applyBorder="1" applyAlignment="1" applyProtection="1">
      <alignment horizontal="right" vertical="top"/>
      <protection hidden="1"/>
    </xf>
    <xf numFmtId="0" fontId="165" fillId="2" borderId="42" xfId="0" applyFont="1" applyFill="1" applyBorder="1" applyAlignment="1" applyProtection="1">
      <alignment wrapText="1"/>
      <protection hidden="1"/>
    </xf>
    <xf numFmtId="4" fontId="165" fillId="2" borderId="50" xfId="0" applyNumberFormat="1" applyFont="1" applyFill="1" applyBorder="1" applyAlignment="1" applyProtection="1">
      <alignment horizontal="center"/>
      <protection hidden="1"/>
    </xf>
    <xf numFmtId="171" fontId="165" fillId="2" borderId="50" xfId="0" applyNumberFormat="1" applyFont="1" applyFill="1" applyBorder="1" applyProtection="1">
      <protection hidden="1"/>
    </xf>
    <xf numFmtId="0" fontId="164" fillId="2" borderId="22" xfId="0" applyFont="1" applyFill="1" applyBorder="1" applyAlignment="1" applyProtection="1">
      <alignment horizontal="right"/>
      <protection hidden="1"/>
    </xf>
    <xf numFmtId="0" fontId="165" fillId="2" borderId="43" xfId="0" applyFont="1" applyFill="1" applyBorder="1" applyProtection="1">
      <protection hidden="1"/>
    </xf>
    <xf numFmtId="4" fontId="165" fillId="2" borderId="54" xfId="0" applyNumberFormat="1" applyFont="1" applyFill="1" applyBorder="1" applyProtection="1">
      <protection hidden="1"/>
    </xf>
    <xf numFmtId="0" fontId="4" fillId="2" borderId="41" xfId="0" applyFont="1" applyFill="1" applyBorder="1" applyProtection="1">
      <protection hidden="1"/>
    </xf>
    <xf numFmtId="4" fontId="4" fillId="2" borderId="49" xfId="0" applyNumberFormat="1" applyFont="1" applyFill="1" applyBorder="1" applyProtection="1">
      <protection hidden="1"/>
    </xf>
    <xf numFmtId="0" fontId="4" fillId="2" borderId="42" xfId="0" applyFont="1" applyFill="1" applyBorder="1" applyProtection="1">
      <protection hidden="1"/>
    </xf>
    <xf numFmtId="4" fontId="4" fillId="2" borderId="50" xfId="0" applyNumberFormat="1" applyFont="1" applyFill="1" applyBorder="1" applyProtection="1">
      <protection hidden="1"/>
    </xf>
    <xf numFmtId="4" fontId="166" fillId="2" borderId="6" xfId="0" applyNumberFormat="1" applyFont="1" applyFill="1" applyBorder="1" applyProtection="1">
      <protection hidden="1"/>
    </xf>
    <xf numFmtId="3" fontId="8" fillId="0" borderId="13" xfId="0" quotePrefix="1" applyNumberFormat="1" applyFont="1" applyBorder="1" applyAlignment="1">
      <alignment horizontal="center"/>
    </xf>
    <xf numFmtId="38" fontId="6" fillId="3" borderId="13" xfId="0" applyNumberFormat="1" applyFont="1" applyFill="1" applyBorder="1" applyAlignment="1" applyProtection="1">
      <alignment horizontal="center"/>
      <protection locked="0"/>
    </xf>
    <xf numFmtId="38" fontId="6" fillId="3" borderId="13" xfId="0" applyNumberFormat="1" applyFont="1" applyFill="1" applyBorder="1" applyProtection="1">
      <protection hidden="1"/>
    </xf>
    <xf numFmtId="0" fontId="3" fillId="2" borderId="17" xfId="0" applyFont="1" applyFill="1" applyBorder="1" applyAlignment="1" applyProtection="1">
      <alignment horizontal="left"/>
      <protection hidden="1"/>
    </xf>
    <xf numFmtId="0" fontId="11" fillId="2" borderId="17" xfId="0" applyFont="1" applyFill="1" applyBorder="1" applyAlignment="1" applyProtection="1">
      <alignment horizontal="right"/>
      <protection hidden="1"/>
    </xf>
    <xf numFmtId="0" fontId="168" fillId="5" borderId="0" xfId="0" applyFont="1" applyFill="1" applyAlignment="1" applyProtection="1">
      <alignment horizontal="center" vertical="center"/>
      <protection locked="0"/>
    </xf>
    <xf numFmtId="39" fontId="169" fillId="3" borderId="6" xfId="0" applyNumberFormat="1" applyFont="1" applyFill="1" applyBorder="1" applyAlignment="1" applyProtection="1">
      <alignment horizontal="center" vertical="center"/>
      <protection hidden="1"/>
    </xf>
    <xf numFmtId="39" fontId="169" fillId="3" borderId="6" xfId="0" applyNumberFormat="1" applyFont="1" applyFill="1" applyBorder="1" applyAlignment="1" applyProtection="1">
      <alignment horizontal="right"/>
      <protection hidden="1"/>
    </xf>
    <xf numFmtId="39" fontId="169" fillId="3" borderId="6" xfId="0" applyNumberFormat="1" applyFont="1" applyFill="1" applyBorder="1" applyAlignment="1" applyProtection="1">
      <alignment vertical="center"/>
      <protection hidden="1"/>
    </xf>
    <xf numFmtId="4" fontId="4" fillId="3" borderId="0" xfId="0" applyNumberFormat="1" applyFont="1" applyFill="1" applyBorder="1" applyAlignment="1" applyProtection="1">
      <alignment horizontal="center" vertical="center"/>
      <protection locked="0"/>
    </xf>
    <xf numFmtId="0" fontId="3" fillId="0" borderId="5" xfId="0" applyFont="1" applyBorder="1" applyAlignment="1" applyProtection="1">
      <alignment vertical="top"/>
      <protection hidden="1"/>
    </xf>
    <xf numFmtId="4" fontId="4" fillId="3" borderId="5" xfId="0" applyNumberFormat="1" applyFont="1" applyFill="1" applyBorder="1" applyAlignment="1" applyProtection="1">
      <alignment horizontal="right"/>
      <protection hidden="1"/>
    </xf>
    <xf numFmtId="4" fontId="0" fillId="3" borderId="72" xfId="0" applyNumberFormat="1" applyFill="1" applyBorder="1" applyProtection="1">
      <protection hidden="1"/>
    </xf>
    <xf numFmtId="4" fontId="4" fillId="3" borderId="5" xfId="0" applyNumberFormat="1" applyFont="1" applyFill="1" applyBorder="1" applyAlignment="1" applyProtection="1">
      <alignment horizontal="center" vertical="center"/>
      <protection locked="0"/>
    </xf>
    <xf numFmtId="4" fontId="0" fillId="21" borderId="3" xfId="0" applyNumberFormat="1" applyFill="1" applyBorder="1" applyProtection="1">
      <protection hidden="1"/>
    </xf>
    <xf numFmtId="4" fontId="0" fillId="21" borderId="0" xfId="0" applyNumberFormat="1" applyFill="1" applyBorder="1" applyProtection="1">
      <protection hidden="1"/>
    </xf>
    <xf numFmtId="4" fontId="0" fillId="21" borderId="25" xfId="0" applyNumberFormat="1" applyFill="1" applyBorder="1" applyProtection="1">
      <protection hidden="1"/>
    </xf>
    <xf numFmtId="4" fontId="0" fillId="3" borderId="73" xfId="0" applyNumberFormat="1" applyFill="1" applyBorder="1" applyProtection="1">
      <protection hidden="1"/>
    </xf>
    <xf numFmtId="0" fontId="169" fillId="3" borderId="26" xfId="0" applyFont="1" applyFill="1" applyBorder="1" applyProtection="1">
      <protection hidden="1"/>
    </xf>
    <xf numFmtId="0" fontId="169" fillId="3" borderId="32" xfId="0" applyFont="1" applyFill="1" applyBorder="1" applyProtection="1">
      <protection hidden="1"/>
    </xf>
    <xf numFmtId="0" fontId="167" fillId="2" borderId="0" xfId="0" applyFont="1" applyFill="1" applyProtection="1">
      <protection hidden="1"/>
    </xf>
    <xf numFmtId="0" fontId="169" fillId="0" borderId="0" xfId="0" applyFont="1" applyAlignment="1" applyProtection="1">
      <alignment horizontal="center"/>
      <protection hidden="1"/>
    </xf>
    <xf numFmtId="0" fontId="169" fillId="0" borderId="0" xfId="0" applyFont="1" applyBorder="1" applyAlignment="1" applyProtection="1">
      <alignment horizontal="center"/>
      <protection hidden="1"/>
    </xf>
    <xf numFmtId="0" fontId="1" fillId="2" borderId="13" xfId="0" applyFont="1" applyFill="1" applyBorder="1" applyAlignment="1" applyProtection="1">
      <alignment horizontal="center" vertical="center"/>
      <protection locked="0"/>
    </xf>
    <xf numFmtId="0" fontId="4" fillId="5" borderId="0" xfId="0" applyFont="1" applyFill="1" applyAlignment="1" applyProtection="1">
      <alignment horizontal="center"/>
      <protection hidden="1"/>
    </xf>
    <xf numFmtId="3" fontId="0" fillId="2" borderId="13" xfId="0" applyNumberFormat="1" applyFill="1" applyBorder="1" applyAlignment="1" applyProtection="1">
      <alignment horizontal="right" vertical="center"/>
      <protection locked="0"/>
    </xf>
    <xf numFmtId="0" fontId="0" fillId="21" borderId="0" xfId="0" applyFill="1" applyProtection="1">
      <protection hidden="1"/>
    </xf>
    <xf numFmtId="0" fontId="4" fillId="22" borderId="13" xfId="0" applyFont="1" applyFill="1" applyBorder="1" applyAlignment="1" applyProtection="1">
      <alignment horizontal="center" vertical="center"/>
      <protection locked="0"/>
    </xf>
    <xf numFmtId="0" fontId="1" fillId="22" borderId="13" xfId="0" applyFont="1" applyFill="1" applyBorder="1" applyAlignment="1" applyProtection="1">
      <alignment horizontal="center" vertical="center"/>
      <protection locked="0"/>
    </xf>
    <xf numFmtId="0" fontId="11" fillId="22" borderId="2" xfId="0" applyFont="1" applyFill="1" applyBorder="1" applyAlignment="1" applyProtection="1">
      <alignment horizontal="center" vertical="center"/>
      <protection locked="0"/>
    </xf>
    <xf numFmtId="0" fontId="1" fillId="22" borderId="2" xfId="0" applyFont="1" applyFill="1" applyBorder="1" applyAlignment="1" applyProtection="1">
      <alignment horizontal="center" vertical="center"/>
      <protection locked="0"/>
    </xf>
    <xf numFmtId="0" fontId="6" fillId="22" borderId="1" xfId="0" applyFont="1" applyFill="1" applyBorder="1" applyAlignment="1" applyProtection="1">
      <alignment horizontal="center"/>
      <protection locked="0"/>
    </xf>
    <xf numFmtId="0" fontId="6" fillId="22" borderId="2" xfId="0" applyFont="1" applyFill="1" applyBorder="1" applyAlignment="1" applyProtection="1">
      <alignment horizontal="center"/>
      <protection hidden="1"/>
    </xf>
    <xf numFmtId="0" fontId="6" fillId="22" borderId="2" xfId="0" applyFont="1" applyFill="1" applyBorder="1" applyAlignment="1" applyProtection="1">
      <alignment horizontal="center"/>
      <protection locked="0"/>
    </xf>
    <xf numFmtId="0" fontId="6" fillId="22" borderId="13" xfId="0" applyFont="1" applyFill="1" applyBorder="1" applyAlignment="1" applyProtection="1">
      <alignment horizontal="center" vertical="center"/>
      <protection locked="0"/>
    </xf>
    <xf numFmtId="4" fontId="7" fillId="22" borderId="13" xfId="0" applyNumberFormat="1" applyFont="1" applyFill="1" applyBorder="1" applyAlignment="1" applyProtection="1">
      <alignment horizontal="center"/>
      <protection locked="0"/>
    </xf>
    <xf numFmtId="167" fontId="6" fillId="22" borderId="13" xfId="0" applyNumberFormat="1" applyFont="1" applyFill="1" applyBorder="1" applyAlignment="1" applyProtection="1">
      <alignment horizontal="center"/>
      <protection locked="0"/>
    </xf>
    <xf numFmtId="4" fontId="6" fillId="22" borderId="39" xfId="0" applyNumberFormat="1" applyFont="1" applyFill="1" applyBorder="1" applyAlignment="1" applyProtection="1">
      <alignment horizontal="center" vertical="center"/>
      <protection locked="0"/>
    </xf>
    <xf numFmtId="0" fontId="6" fillId="22" borderId="2" xfId="0" applyFont="1" applyFill="1" applyBorder="1" applyAlignment="1" applyProtection="1">
      <alignment horizontal="center" vertical="center"/>
      <protection locked="0"/>
    </xf>
    <xf numFmtId="0" fontId="0" fillId="21" borderId="40" xfId="0" applyFill="1" applyBorder="1" applyAlignment="1" applyProtection="1">
      <alignment horizontal="center"/>
      <protection hidden="1"/>
    </xf>
    <xf numFmtId="0" fontId="8" fillId="21" borderId="71" xfId="0" applyFont="1" applyFill="1" applyBorder="1" applyProtection="1">
      <protection hidden="1"/>
    </xf>
    <xf numFmtId="0" fontId="15" fillId="21" borderId="70" xfId="0" applyFont="1" applyFill="1" applyBorder="1" applyAlignment="1" applyProtection="1">
      <alignment horizontal="center" vertical="center"/>
      <protection hidden="1"/>
    </xf>
    <xf numFmtId="0" fontId="11" fillId="21" borderId="70" xfId="0" applyFont="1" applyFill="1" applyBorder="1" applyAlignment="1" applyProtection="1">
      <alignment horizontal="center" vertical="center"/>
      <protection hidden="1"/>
    </xf>
    <xf numFmtId="0" fontId="169" fillId="21" borderId="26" xfId="0" applyFont="1" applyFill="1" applyBorder="1" applyAlignment="1" applyProtection="1">
      <alignment horizontal="center"/>
      <protection hidden="1"/>
    </xf>
    <xf numFmtId="0" fontId="4" fillId="22" borderId="2" xfId="0" applyFont="1" applyFill="1" applyBorder="1" applyAlignment="1" applyProtection="1">
      <alignment horizontal="center" vertical="center"/>
      <protection locked="0"/>
    </xf>
    <xf numFmtId="0" fontId="1" fillId="23" borderId="25" xfId="0" applyFont="1" applyFill="1" applyBorder="1" applyAlignment="1" applyProtection="1">
      <alignment horizontal="right"/>
      <protection hidden="1"/>
    </xf>
    <xf numFmtId="0" fontId="81" fillId="23" borderId="25" xfId="0" applyFont="1" applyFill="1" applyBorder="1" applyAlignment="1" applyProtection="1">
      <alignment horizontal="right"/>
      <protection hidden="1"/>
    </xf>
    <xf numFmtId="0" fontId="1" fillId="23" borderId="7" xfId="0" applyFont="1" applyFill="1" applyBorder="1" applyAlignment="1" applyProtection="1">
      <alignment horizontal="right"/>
      <protection hidden="1"/>
    </xf>
    <xf numFmtId="1" fontId="1" fillId="23" borderId="16" xfId="0" applyNumberFormat="1" applyFont="1" applyFill="1" applyBorder="1" applyProtection="1">
      <protection hidden="1"/>
    </xf>
    <xf numFmtId="1" fontId="1" fillId="23" borderId="7" xfId="0" applyNumberFormat="1" applyFont="1" applyFill="1" applyBorder="1" applyProtection="1">
      <protection hidden="1"/>
    </xf>
    <xf numFmtId="0" fontId="4" fillId="23" borderId="7" xfId="0" applyFont="1" applyFill="1" applyBorder="1" applyAlignment="1" applyProtection="1">
      <alignment horizontal="right"/>
      <protection hidden="1"/>
    </xf>
    <xf numFmtId="39" fontId="5" fillId="23" borderId="32" xfId="0" applyNumberFormat="1" applyFont="1" applyFill="1" applyBorder="1" applyProtection="1">
      <protection hidden="1"/>
    </xf>
    <xf numFmtId="0" fontId="8" fillId="23" borderId="5" xfId="0" applyFont="1" applyFill="1" applyBorder="1" applyProtection="1">
      <protection hidden="1"/>
    </xf>
    <xf numFmtId="0" fontId="1" fillId="23" borderId="55" xfId="0" applyFont="1" applyFill="1" applyBorder="1" applyAlignment="1" applyProtection="1">
      <alignment horizontal="center"/>
      <protection hidden="1"/>
    </xf>
    <xf numFmtId="0" fontId="1" fillId="21" borderId="26" xfId="0" applyFont="1" applyFill="1" applyBorder="1" applyAlignment="1" applyProtection="1">
      <alignment horizontal="right"/>
      <protection hidden="1"/>
    </xf>
    <xf numFmtId="0" fontId="37" fillId="21" borderId="0" xfId="0" applyFont="1" applyFill="1" applyBorder="1" applyProtection="1">
      <protection hidden="1"/>
    </xf>
    <xf numFmtId="0" fontId="8" fillId="21" borderId="0" xfId="0" applyFont="1" applyFill="1" applyBorder="1" applyProtection="1">
      <protection hidden="1"/>
    </xf>
    <xf numFmtId="14" fontId="8" fillId="21" borderId="31" xfId="0" applyNumberFormat="1" applyFont="1" applyFill="1" applyBorder="1" applyProtection="1">
      <protection hidden="1"/>
    </xf>
    <xf numFmtId="14" fontId="8" fillId="21" borderId="9" xfId="0" applyNumberFormat="1" applyFont="1" applyFill="1" applyBorder="1" applyProtection="1">
      <protection hidden="1"/>
    </xf>
    <xf numFmtId="14" fontId="8" fillId="21" borderId="15" xfId="0" applyNumberFormat="1" applyFont="1" applyFill="1" applyBorder="1" applyProtection="1">
      <protection hidden="1"/>
    </xf>
    <xf numFmtId="1" fontId="8" fillId="21" borderId="31" xfId="0" applyNumberFormat="1" applyFont="1" applyFill="1" applyBorder="1" applyProtection="1">
      <protection hidden="1"/>
    </xf>
    <xf numFmtId="1" fontId="1" fillId="21" borderId="9" xfId="0" applyNumberFormat="1" applyFont="1" applyFill="1" applyBorder="1" applyProtection="1">
      <protection hidden="1"/>
    </xf>
    <xf numFmtId="0" fontId="1" fillId="24" borderId="0" xfId="0" applyFont="1" applyFill="1" applyBorder="1" applyAlignment="1" applyProtection="1">
      <alignment horizontal="right"/>
      <protection hidden="1"/>
    </xf>
    <xf numFmtId="0" fontId="0" fillId="24" borderId="0" xfId="0" applyFill="1" applyBorder="1" applyProtection="1">
      <protection hidden="1"/>
    </xf>
    <xf numFmtId="0" fontId="5" fillId="24" borderId="0" xfId="0" applyFont="1" applyFill="1" applyBorder="1" applyProtection="1">
      <protection hidden="1"/>
    </xf>
    <xf numFmtId="0" fontId="8" fillId="24" borderId="0" xfId="0" applyFont="1" applyFill="1" applyBorder="1" applyProtection="1">
      <protection hidden="1"/>
    </xf>
    <xf numFmtId="3" fontId="6" fillId="24" borderId="8" xfId="0" applyNumberFormat="1" applyFont="1" applyFill="1" applyBorder="1" applyAlignment="1" applyProtection="1">
      <alignment horizontal="right"/>
      <protection hidden="1"/>
    </xf>
    <xf numFmtId="0" fontId="1" fillId="24" borderId="0" xfId="0" applyFont="1" applyFill="1" applyBorder="1" applyProtection="1">
      <protection hidden="1"/>
    </xf>
    <xf numFmtId="0" fontId="6" fillId="24" borderId="0" xfId="0" applyFont="1" applyFill="1" applyBorder="1" applyProtection="1">
      <protection hidden="1"/>
    </xf>
    <xf numFmtId="0" fontId="15" fillId="24" borderId="0" xfId="0" applyFont="1" applyFill="1" applyBorder="1" applyProtection="1">
      <protection hidden="1"/>
    </xf>
    <xf numFmtId="0" fontId="15" fillId="24" borderId="0" xfId="0" applyFont="1" applyFill="1" applyBorder="1" applyAlignment="1" applyProtection="1">
      <alignment horizontal="right"/>
      <protection hidden="1"/>
    </xf>
    <xf numFmtId="0" fontId="11" fillId="24" borderId="0" xfId="0" applyFont="1" applyFill="1" applyBorder="1" applyAlignment="1" applyProtection="1">
      <alignment horizontal="right"/>
      <protection hidden="1"/>
    </xf>
    <xf numFmtId="0" fontId="1" fillId="24" borderId="0" xfId="0" applyFont="1" applyFill="1" applyAlignment="1" applyProtection="1">
      <alignment horizontal="right"/>
      <protection hidden="1"/>
    </xf>
    <xf numFmtId="0" fontId="0" fillId="24" borderId="0" xfId="0" applyFill="1" applyProtection="1">
      <protection hidden="1"/>
    </xf>
    <xf numFmtId="0" fontId="5" fillId="24" borderId="0" xfId="0" applyFont="1" applyFill="1" applyProtection="1">
      <protection hidden="1"/>
    </xf>
    <xf numFmtId="0" fontId="1" fillId="24" borderId="0" xfId="0" applyFont="1" applyFill="1" applyBorder="1" applyAlignment="1" applyProtection="1">
      <alignment vertical="center"/>
      <protection hidden="1"/>
    </xf>
    <xf numFmtId="0" fontId="9" fillId="24" borderId="0" xfId="0" applyFont="1" applyFill="1" applyBorder="1" applyProtection="1">
      <protection hidden="1"/>
    </xf>
    <xf numFmtId="0" fontId="4" fillId="24" borderId="0" xfId="0" applyFont="1" applyFill="1" applyBorder="1" applyAlignment="1" applyProtection="1">
      <alignment horizontal="center"/>
      <protection hidden="1"/>
    </xf>
    <xf numFmtId="0" fontId="1" fillId="24" borderId="1" xfId="0" applyFont="1" applyFill="1" applyBorder="1" applyAlignment="1" applyProtection="1">
      <alignment horizontal="right"/>
      <protection hidden="1"/>
    </xf>
    <xf numFmtId="0" fontId="0" fillId="24" borderId="1" xfId="0" applyFill="1" applyBorder="1" applyProtection="1">
      <protection hidden="1"/>
    </xf>
    <xf numFmtId="0" fontId="5" fillId="24" borderId="1" xfId="0" applyFont="1" applyFill="1" applyBorder="1" applyProtection="1">
      <protection hidden="1"/>
    </xf>
    <xf numFmtId="0" fontId="8" fillId="24" borderId="1" xfId="0" applyFont="1" applyFill="1" applyBorder="1" applyProtection="1">
      <protection hidden="1"/>
    </xf>
    <xf numFmtId="0" fontId="8" fillId="24" borderId="0" xfId="0" applyFont="1" applyFill="1" applyBorder="1" applyAlignment="1" applyProtection="1">
      <alignment horizontal="left"/>
      <protection hidden="1"/>
    </xf>
    <xf numFmtId="0" fontId="8" fillId="24" borderId="0" xfId="0" applyFont="1" applyFill="1" applyBorder="1" applyAlignment="1" applyProtection="1">
      <alignment wrapText="1"/>
      <protection hidden="1"/>
    </xf>
    <xf numFmtId="0" fontId="8" fillId="24" borderId="0" xfId="0" applyFont="1" applyFill="1" applyBorder="1" applyAlignment="1" applyProtection="1">
      <alignment horizontal="center" wrapText="1"/>
      <protection hidden="1"/>
    </xf>
    <xf numFmtId="0" fontId="171" fillId="24" borderId="0" xfId="0" applyFont="1" applyFill="1" applyBorder="1" applyAlignment="1" applyProtection="1">
      <alignment horizontal="center" wrapText="1"/>
      <protection hidden="1"/>
    </xf>
    <xf numFmtId="0" fontId="31" fillId="24" borderId="0" xfId="0" applyFont="1" applyFill="1" applyBorder="1" applyAlignment="1" applyProtection="1">
      <alignment horizontal="center" wrapText="1"/>
      <protection hidden="1"/>
    </xf>
    <xf numFmtId="0" fontId="4" fillId="24" borderId="25" xfId="0" applyFont="1" applyFill="1" applyBorder="1" applyAlignment="1" applyProtection="1">
      <alignment horizontal="centerContinuous" wrapText="1"/>
      <protection hidden="1"/>
    </xf>
    <xf numFmtId="0" fontId="4" fillId="24" borderId="0" xfId="0" applyFont="1" applyFill="1" applyBorder="1" applyAlignment="1" applyProtection="1">
      <alignment horizontal="centerContinuous" wrapText="1"/>
      <protection hidden="1"/>
    </xf>
    <xf numFmtId="0" fontId="87" fillId="24" borderId="0" xfId="0" applyFont="1" applyFill="1" applyBorder="1" applyProtection="1">
      <protection hidden="1"/>
    </xf>
    <xf numFmtId="0" fontId="10" fillId="24" borderId="0" xfId="0" applyFont="1" applyFill="1" applyBorder="1" applyAlignment="1" applyProtection="1">
      <alignment horizontal="left"/>
      <protection hidden="1"/>
    </xf>
    <xf numFmtId="0" fontId="8" fillId="24" borderId="36" xfId="0" applyFont="1" applyFill="1" applyBorder="1" applyAlignment="1" applyProtection="1">
      <alignment horizontal="left"/>
      <protection hidden="1"/>
    </xf>
    <xf numFmtId="0" fontId="8" fillId="24" borderId="14" xfId="0" applyFont="1" applyFill="1" applyBorder="1" applyAlignment="1" applyProtection="1">
      <alignment horizontal="left"/>
      <protection hidden="1"/>
    </xf>
    <xf numFmtId="0" fontId="0" fillId="24" borderId="14" xfId="0" applyFill="1" applyBorder="1" applyAlignment="1">
      <alignment horizontal="left"/>
    </xf>
    <xf numFmtId="0" fontId="0" fillId="24" borderId="18" xfId="0" applyFill="1" applyBorder="1" applyAlignment="1">
      <alignment horizontal="left"/>
    </xf>
    <xf numFmtId="0" fontId="62" fillId="24" borderId="0" xfId="0" applyFont="1" applyFill="1" applyBorder="1" applyAlignment="1" applyProtection="1">
      <alignment horizontal="center" vertical="center"/>
      <protection hidden="1"/>
    </xf>
    <xf numFmtId="0" fontId="8" fillId="24" borderId="0" xfId="0" applyFont="1" applyFill="1" applyBorder="1" applyAlignment="1" applyProtection="1">
      <alignment horizontal="left" vertical="top"/>
      <protection hidden="1"/>
    </xf>
    <xf numFmtId="0" fontId="4" fillId="24" borderId="0" xfId="0" applyFont="1" applyFill="1" applyBorder="1" applyAlignment="1" applyProtection="1">
      <alignment horizontal="center" vertical="center"/>
      <protection hidden="1"/>
    </xf>
    <xf numFmtId="0" fontId="1" fillId="24" borderId="1" xfId="0" applyFont="1" applyFill="1" applyBorder="1" applyAlignment="1" applyProtection="1">
      <alignment horizontal="center"/>
      <protection hidden="1"/>
    </xf>
    <xf numFmtId="0" fontId="11" fillId="24" borderId="0" xfId="0" applyFont="1" applyFill="1" applyBorder="1" applyAlignment="1" applyProtection="1">
      <alignment horizontal="left" vertical="center"/>
      <protection hidden="1"/>
    </xf>
    <xf numFmtId="0" fontId="15" fillId="24" borderId="1" xfId="0" applyFont="1" applyFill="1" applyBorder="1" applyAlignment="1" applyProtection="1">
      <alignment horizontal="left"/>
      <protection hidden="1"/>
    </xf>
    <xf numFmtId="0" fontId="4" fillId="24" borderId="0" xfId="0" applyFont="1" applyFill="1" applyBorder="1" applyAlignment="1" applyProtection="1">
      <alignment horizontal="left" vertical="center"/>
      <protection hidden="1"/>
    </xf>
    <xf numFmtId="0" fontId="92" fillId="24" borderId="1" xfId="0" applyFont="1" applyFill="1" applyBorder="1" applyAlignment="1" applyProtection="1">
      <alignment horizontal="left"/>
      <protection hidden="1"/>
    </xf>
    <xf numFmtId="0" fontId="8" fillId="24" borderId="1" xfId="0" applyFont="1" applyFill="1" applyBorder="1" applyAlignment="1" applyProtection="1">
      <alignment horizontal="left"/>
      <protection hidden="1"/>
    </xf>
    <xf numFmtId="0" fontId="0" fillId="24" borderId="0" xfId="0" applyFill="1" applyBorder="1" applyAlignment="1" applyProtection="1">
      <alignment horizontal="left"/>
      <protection hidden="1"/>
    </xf>
    <xf numFmtId="0" fontId="1" fillId="24" borderId="0" xfId="0" applyFont="1" applyFill="1" applyBorder="1" applyAlignment="1" applyProtection="1">
      <alignment horizontal="center"/>
      <protection hidden="1"/>
    </xf>
    <xf numFmtId="0" fontId="15" fillId="24" borderId="0" xfId="0" applyFont="1" applyFill="1" applyBorder="1" applyAlignment="1" applyProtection="1">
      <alignment horizontal="left"/>
      <protection hidden="1"/>
    </xf>
    <xf numFmtId="0" fontId="92" fillId="24" borderId="0" xfId="0" applyFont="1" applyFill="1" applyBorder="1" applyAlignment="1" applyProtection="1">
      <alignment horizontal="left"/>
      <protection hidden="1"/>
    </xf>
    <xf numFmtId="0" fontId="1" fillId="24" borderId="0" xfId="0" applyFont="1" applyFill="1" applyAlignment="1" applyProtection="1">
      <alignment horizontal="center" vertical="center"/>
      <protection hidden="1"/>
    </xf>
    <xf numFmtId="0" fontId="1" fillId="24" borderId="1" xfId="0" applyFont="1" applyFill="1" applyBorder="1" applyProtection="1">
      <protection hidden="1"/>
    </xf>
    <xf numFmtId="0" fontId="4" fillId="24" borderId="26" xfId="0" applyFont="1" applyFill="1" applyBorder="1" applyProtection="1">
      <protection hidden="1"/>
    </xf>
    <xf numFmtId="0" fontId="8" fillId="24" borderId="0" xfId="0" applyFont="1" applyFill="1" applyProtection="1">
      <protection hidden="1"/>
    </xf>
    <xf numFmtId="0" fontId="19" fillId="24" borderId="0" xfId="0" applyFont="1" applyFill="1" applyBorder="1" applyProtection="1">
      <protection hidden="1"/>
    </xf>
    <xf numFmtId="0" fontId="83" fillId="24" borderId="0" xfId="0" applyFont="1" applyFill="1" applyBorder="1" applyAlignment="1" applyProtection="1">
      <alignment horizontal="center" vertical="center"/>
      <protection hidden="1"/>
    </xf>
    <xf numFmtId="0" fontId="83" fillId="24" borderId="0" xfId="0" applyFont="1" applyFill="1" applyBorder="1" applyProtection="1">
      <protection hidden="1"/>
    </xf>
    <xf numFmtId="0" fontId="8" fillId="24" borderId="1" xfId="0" applyFont="1" applyFill="1" applyBorder="1" applyAlignment="1" applyProtection="1">
      <alignment horizontal="right"/>
      <protection hidden="1"/>
    </xf>
    <xf numFmtId="49" fontId="15" fillId="24" borderId="1" xfId="0" applyNumberFormat="1" applyFont="1" applyFill="1" applyBorder="1" applyAlignment="1" applyProtection="1">
      <alignment horizontal="center" vertical="center"/>
      <protection hidden="1"/>
    </xf>
    <xf numFmtId="0" fontId="12" fillId="24" borderId="1" xfId="0" applyFont="1" applyFill="1" applyBorder="1" applyAlignment="1" applyProtection="1">
      <alignment horizontal="left"/>
      <protection hidden="1"/>
    </xf>
    <xf numFmtId="4" fontId="8" fillId="24" borderId="1" xfId="0" applyNumberFormat="1" applyFont="1" applyFill="1" applyBorder="1" applyProtection="1">
      <protection hidden="1"/>
    </xf>
    <xf numFmtId="1" fontId="1" fillId="24" borderId="1" xfId="0" applyNumberFormat="1" applyFont="1" applyFill="1" applyBorder="1" applyProtection="1">
      <protection hidden="1"/>
    </xf>
    <xf numFmtId="0" fontId="4" fillId="24" borderId="0" xfId="0" applyFont="1" applyFill="1" applyBorder="1" applyProtection="1">
      <protection hidden="1"/>
    </xf>
    <xf numFmtId="0" fontId="4" fillId="24" borderId="0" xfId="0" applyFont="1" applyFill="1" applyProtection="1">
      <protection hidden="1"/>
    </xf>
    <xf numFmtId="0" fontId="23" fillId="24" borderId="0" xfId="0" applyFont="1" applyFill="1" applyProtection="1">
      <protection hidden="1"/>
    </xf>
    <xf numFmtId="0" fontId="41" fillId="24" borderId="0" xfId="0" applyFont="1" applyFill="1" applyAlignment="1" applyProtection="1">
      <alignment vertical="center"/>
      <protection hidden="1"/>
    </xf>
    <xf numFmtId="0" fontId="4" fillId="24" borderId="0" xfId="0" applyFont="1" applyFill="1" applyAlignment="1" applyProtection="1">
      <alignment horizontal="right"/>
      <protection hidden="1"/>
    </xf>
    <xf numFmtId="4" fontId="5" fillId="24" borderId="0" xfId="0" applyNumberFormat="1" applyFont="1" applyFill="1" applyBorder="1" applyProtection="1">
      <protection hidden="1"/>
    </xf>
    <xf numFmtId="1" fontId="1" fillId="24" borderId="0" xfId="0" applyNumberFormat="1" applyFont="1" applyFill="1" applyBorder="1" applyProtection="1">
      <protection hidden="1"/>
    </xf>
    <xf numFmtId="0" fontId="23" fillId="24" borderId="0" xfId="0" applyFont="1" applyFill="1" applyBorder="1" applyProtection="1">
      <protection hidden="1"/>
    </xf>
    <xf numFmtId="1" fontId="93" fillId="24" borderId="0" xfId="0" applyNumberFormat="1" applyFont="1" applyFill="1" applyBorder="1" applyProtection="1">
      <protection hidden="1"/>
    </xf>
    <xf numFmtId="3" fontId="23" fillId="24" borderId="0" xfId="0" applyNumberFormat="1" applyFont="1" applyFill="1" applyBorder="1" applyProtection="1">
      <protection hidden="1"/>
    </xf>
    <xf numFmtId="0" fontId="8" fillId="24" borderId="0" xfId="0" applyFont="1" applyFill="1" applyBorder="1" applyAlignment="1" applyProtection="1">
      <alignment horizontal="right"/>
      <protection hidden="1"/>
    </xf>
    <xf numFmtId="49" fontId="15" fillId="24" borderId="0" xfId="0" applyNumberFormat="1" applyFont="1" applyFill="1" applyBorder="1" applyAlignment="1" applyProtection="1">
      <alignment horizontal="center" vertical="center"/>
      <protection hidden="1"/>
    </xf>
    <xf numFmtId="0" fontId="12" fillId="24" borderId="9" xfId="0" applyFont="1" applyFill="1" applyBorder="1" applyAlignment="1" applyProtection="1">
      <alignment horizontal="left"/>
      <protection hidden="1"/>
    </xf>
    <xf numFmtId="0" fontId="11" fillId="24" borderId="0" xfId="0" applyFont="1" applyFill="1" applyProtection="1">
      <protection hidden="1"/>
    </xf>
    <xf numFmtId="0" fontId="4" fillId="24" borderId="0" xfId="0" applyFont="1" applyFill="1" applyBorder="1" applyAlignment="1" applyProtection="1">
      <alignment horizontal="right"/>
      <protection hidden="1"/>
    </xf>
    <xf numFmtId="0" fontId="38" fillId="24" borderId="0" xfId="0" applyFont="1" applyFill="1" applyAlignment="1" applyProtection="1">
      <alignment horizontal="right"/>
      <protection hidden="1"/>
    </xf>
    <xf numFmtId="0" fontId="15" fillId="24" borderId="0" xfId="0" applyFont="1" applyFill="1" applyAlignment="1" applyProtection="1">
      <alignment horizontal="left"/>
      <protection hidden="1"/>
    </xf>
    <xf numFmtId="0" fontId="15" fillId="24" borderId="1" xfId="0" applyFont="1" applyFill="1" applyBorder="1" applyProtection="1">
      <protection hidden="1"/>
    </xf>
    <xf numFmtId="0" fontId="4" fillId="24" borderId="1" xfId="0" applyFont="1" applyFill="1" applyBorder="1" applyAlignment="1" applyProtection="1">
      <alignment horizontal="right"/>
      <protection hidden="1"/>
    </xf>
    <xf numFmtId="0" fontId="8" fillId="24" borderId="31" xfId="0" applyFont="1" applyFill="1" applyBorder="1" applyAlignment="1" applyProtection="1">
      <alignment horizontal="center"/>
      <protection hidden="1"/>
    </xf>
    <xf numFmtId="0" fontId="8" fillId="24" borderId="9" xfId="0" applyFont="1" applyFill="1" applyBorder="1" applyAlignment="1" applyProtection="1">
      <alignment horizontal="center"/>
      <protection hidden="1"/>
    </xf>
    <xf numFmtId="0" fontId="11" fillId="24" borderId="15" xfId="0" applyFont="1" applyFill="1" applyBorder="1" applyAlignment="1" applyProtection="1">
      <alignment vertical="center"/>
      <protection hidden="1"/>
    </xf>
    <xf numFmtId="0" fontId="8" fillId="24" borderId="3" xfId="0" applyFont="1" applyFill="1" applyBorder="1" applyAlignment="1" applyProtection="1">
      <alignment horizontal="center"/>
      <protection hidden="1"/>
    </xf>
    <xf numFmtId="0" fontId="8" fillId="24" borderId="0" xfId="0" applyFont="1" applyFill="1" applyBorder="1" applyAlignment="1" applyProtection="1">
      <alignment horizontal="center"/>
      <protection hidden="1"/>
    </xf>
    <xf numFmtId="0" fontId="17" fillId="24" borderId="25" xfId="0" applyFont="1" applyFill="1" applyBorder="1" applyProtection="1">
      <protection hidden="1"/>
    </xf>
    <xf numFmtId="0" fontId="11" fillId="24" borderId="0" xfId="0" applyFont="1" applyFill="1" applyBorder="1" applyProtection="1">
      <protection hidden="1"/>
    </xf>
    <xf numFmtId="0" fontId="17" fillId="24" borderId="0" xfId="0" applyFont="1" applyFill="1" applyBorder="1" applyProtection="1">
      <protection hidden="1"/>
    </xf>
    <xf numFmtId="0" fontId="17" fillId="24" borderId="0" xfId="0" applyFont="1" applyFill="1" applyBorder="1" applyAlignment="1" applyProtection="1">
      <alignment horizontal="center"/>
      <protection hidden="1"/>
    </xf>
    <xf numFmtId="4" fontId="20" fillId="24" borderId="0" xfId="0" applyNumberFormat="1" applyFont="1" applyFill="1" applyBorder="1" applyAlignment="1" applyProtection="1">
      <alignment vertical="center"/>
      <protection hidden="1"/>
    </xf>
    <xf numFmtId="0" fontId="20" fillId="24" borderId="76" xfId="0" applyFont="1" applyFill="1" applyBorder="1" applyAlignment="1" applyProtection="1">
      <alignment vertical="center" wrapText="1"/>
      <protection hidden="1"/>
    </xf>
    <xf numFmtId="1" fontId="1" fillId="24" borderId="9" xfId="0" applyNumberFormat="1" applyFont="1" applyFill="1" applyBorder="1" applyProtection="1">
      <protection hidden="1"/>
    </xf>
    <xf numFmtId="1" fontId="7" fillId="24" borderId="9" xfId="0" applyNumberFormat="1" applyFont="1" applyFill="1" applyBorder="1" applyAlignment="1" applyProtection="1">
      <alignment horizontal="center"/>
      <protection hidden="1"/>
    </xf>
    <xf numFmtId="1" fontId="5" fillId="24" borderId="0" xfId="0" applyNumberFormat="1" applyFont="1" applyFill="1" applyBorder="1" applyAlignment="1" applyProtection="1">
      <alignment horizontal="center"/>
      <protection hidden="1"/>
    </xf>
    <xf numFmtId="0" fontId="6" fillId="24" borderId="9" xfId="0" applyFont="1" applyFill="1" applyBorder="1" applyAlignment="1" applyProtection="1">
      <alignment horizontal="center"/>
      <protection locked="0"/>
    </xf>
    <xf numFmtId="0" fontId="0" fillId="24" borderId="0" xfId="0" applyFill="1" applyBorder="1" applyAlignment="1" applyProtection="1">
      <protection hidden="1"/>
    </xf>
    <xf numFmtId="49" fontId="11" fillId="24" borderId="0" xfId="0" applyNumberFormat="1" applyFont="1" applyFill="1" applyBorder="1" applyAlignment="1" applyProtection="1">
      <protection locked="0"/>
    </xf>
    <xf numFmtId="166" fontId="11" fillId="24" borderId="0" xfId="0" applyNumberFormat="1" applyFont="1" applyFill="1" applyBorder="1" applyAlignment="1" applyProtection="1">
      <alignment horizontal="center"/>
      <protection locked="0"/>
    </xf>
    <xf numFmtId="166" fontId="11" fillId="24" borderId="0" xfId="0" applyNumberFormat="1" applyFont="1" applyFill="1" applyBorder="1" applyAlignment="1" applyProtection="1">
      <alignment horizontal="center"/>
      <protection hidden="1"/>
    </xf>
    <xf numFmtId="166" fontId="172" fillId="24" borderId="0" xfId="0" applyNumberFormat="1" applyFont="1" applyFill="1" applyBorder="1" applyAlignment="1" applyProtection="1">
      <alignment horizontal="center"/>
      <protection hidden="1"/>
    </xf>
    <xf numFmtId="0" fontId="1" fillId="24" borderId="5" xfId="0" applyFont="1" applyFill="1" applyBorder="1" applyAlignment="1" applyProtection="1">
      <alignment horizontal="right"/>
      <protection hidden="1"/>
    </xf>
    <xf numFmtId="0" fontId="5" fillId="24" borderId="5" xfId="0" applyFont="1" applyFill="1" applyBorder="1" applyProtection="1">
      <protection hidden="1"/>
    </xf>
    <xf numFmtId="0" fontId="15" fillId="24" borderId="5" xfId="0" applyFont="1" applyFill="1" applyBorder="1" applyProtection="1">
      <protection hidden="1"/>
    </xf>
    <xf numFmtId="0" fontId="7" fillId="24" borderId="5" xfId="0" applyFont="1" applyFill="1" applyBorder="1" applyAlignment="1" applyProtection="1">
      <alignment horizontal="center"/>
      <protection hidden="1"/>
    </xf>
    <xf numFmtId="1" fontId="173" fillId="24" borderId="5" xfId="0" applyNumberFormat="1" applyFont="1" applyFill="1" applyBorder="1" applyAlignment="1" applyProtection="1">
      <alignment horizontal="center"/>
      <protection hidden="1"/>
    </xf>
    <xf numFmtId="1" fontId="1" fillId="24" borderId="13" xfId="0" applyNumberFormat="1" applyFont="1" applyFill="1" applyBorder="1" applyAlignment="1" applyProtection="1">
      <alignment horizontal="center"/>
      <protection hidden="1"/>
    </xf>
    <xf numFmtId="0" fontId="1" fillId="24" borderId="11" xfId="0" applyFont="1" applyFill="1" applyBorder="1" applyAlignment="1" applyProtection="1">
      <alignment horizontal="center"/>
      <protection hidden="1"/>
    </xf>
    <xf numFmtId="0" fontId="0" fillId="24" borderId="10" xfId="0" applyFill="1" applyBorder="1" applyProtection="1">
      <protection hidden="1"/>
    </xf>
    <xf numFmtId="0" fontId="0" fillId="24" borderId="12" xfId="0" applyFill="1" applyBorder="1" applyProtection="1">
      <protection hidden="1"/>
    </xf>
    <xf numFmtId="0" fontId="5" fillId="24" borderId="0" xfId="0" applyFont="1" applyFill="1" applyAlignment="1" applyProtection="1">
      <alignment horizontal="right" vertical="center"/>
      <protection hidden="1"/>
    </xf>
    <xf numFmtId="0" fontId="0" fillId="24" borderId="0" xfId="0" applyFill="1" applyBorder="1" applyAlignment="1" applyProtection="1">
      <alignment horizontal="right"/>
      <protection hidden="1"/>
    </xf>
    <xf numFmtId="0" fontId="1" fillId="24" borderId="11" xfId="0" applyFont="1" applyFill="1" applyBorder="1" applyAlignment="1" applyProtection="1">
      <alignment horizontal="right"/>
      <protection hidden="1"/>
    </xf>
    <xf numFmtId="0" fontId="27" fillId="24" borderId="0" xfId="0" applyFont="1" applyFill="1" applyBorder="1" applyAlignment="1" applyProtection="1">
      <alignment horizontal="right"/>
      <protection hidden="1"/>
    </xf>
    <xf numFmtId="0" fontId="1" fillId="24" borderId="0" xfId="0" applyFont="1" applyFill="1" applyBorder="1" applyAlignment="1" applyProtection="1">
      <alignment horizontal="left"/>
      <protection hidden="1"/>
    </xf>
    <xf numFmtId="0" fontId="4" fillId="24" borderId="0" xfId="0" applyFont="1" applyFill="1" applyBorder="1" applyAlignment="1" applyProtection="1">
      <alignment horizontal="left"/>
      <protection hidden="1"/>
    </xf>
    <xf numFmtId="37" fontId="1" fillId="24" borderId="0" xfId="0" applyNumberFormat="1" applyFont="1" applyFill="1" applyBorder="1" applyAlignment="1" applyProtection="1">
      <alignment horizontal="right"/>
      <protection locked="0"/>
    </xf>
    <xf numFmtId="37" fontId="4" fillId="24" borderId="0" xfId="0" applyNumberFormat="1" applyFont="1" applyFill="1" applyBorder="1" applyAlignment="1" applyProtection="1">
      <alignment horizontal="right"/>
      <protection locked="0"/>
    </xf>
    <xf numFmtId="0" fontId="5" fillId="24" borderId="0" xfId="0" applyFont="1" applyFill="1" applyBorder="1" applyAlignment="1" applyProtection="1">
      <alignment horizontal="left"/>
      <protection hidden="1"/>
    </xf>
    <xf numFmtId="0" fontId="5" fillId="24" borderId="0" xfId="0" applyFont="1" applyFill="1" applyBorder="1" applyAlignment="1" applyProtection="1">
      <alignment horizontal="right"/>
      <protection hidden="1"/>
    </xf>
    <xf numFmtId="0" fontId="0" fillId="24" borderId="0" xfId="0" applyFill="1" applyAlignment="1">
      <alignment horizontal="right"/>
    </xf>
    <xf numFmtId="1" fontId="1" fillId="24" borderId="13" xfId="0" applyNumberFormat="1" applyFont="1" applyFill="1" applyBorder="1" applyAlignment="1" applyProtection="1">
      <alignment horizontal="center" vertical="center"/>
      <protection hidden="1"/>
    </xf>
    <xf numFmtId="0" fontId="6" fillId="24" borderId="0" xfId="0" applyFont="1" applyFill="1" applyBorder="1" applyAlignment="1" applyProtection="1">
      <alignment horizontal="right"/>
      <protection hidden="1"/>
    </xf>
    <xf numFmtId="0" fontId="0" fillId="24" borderId="25" xfId="0" applyFill="1" applyBorder="1" applyProtection="1">
      <protection locked="0"/>
    </xf>
    <xf numFmtId="0" fontId="43" fillId="24" borderId="1" xfId="0" applyFont="1" applyFill="1" applyBorder="1" applyAlignment="1" applyProtection="1">
      <alignment horizontal="right" vertical="center"/>
      <protection hidden="1"/>
    </xf>
    <xf numFmtId="0" fontId="5" fillId="24" borderId="9" xfId="0" applyFont="1" applyFill="1" applyBorder="1" applyAlignment="1" applyProtection="1">
      <alignment vertical="center"/>
      <protection hidden="1"/>
    </xf>
    <xf numFmtId="0" fontId="15" fillId="24" borderId="0" xfId="0" applyFont="1" applyFill="1" applyBorder="1" applyAlignment="1" applyProtection="1">
      <alignment horizontal="right"/>
      <protection locked="0"/>
    </xf>
    <xf numFmtId="0" fontId="1" fillId="24" borderId="13" xfId="0" applyFont="1" applyFill="1" applyBorder="1" applyAlignment="1" applyProtection="1">
      <alignment horizontal="center"/>
      <protection hidden="1"/>
    </xf>
    <xf numFmtId="0" fontId="1" fillId="24" borderId="0" xfId="0" applyFont="1" applyFill="1" applyAlignment="1" applyProtection="1">
      <alignment horizontal="right" vertical="top"/>
      <protection hidden="1"/>
    </xf>
    <xf numFmtId="0" fontId="5" fillId="24" borderId="0" xfId="0" applyFont="1" applyFill="1" applyBorder="1" applyAlignment="1" applyProtection="1">
      <alignment horizontal="left"/>
      <protection locked="0"/>
    </xf>
    <xf numFmtId="0" fontId="1" fillId="24" borderId="1" xfId="0" applyFont="1" applyFill="1" applyBorder="1" applyAlignment="1" applyProtection="1">
      <alignment horizontal="left"/>
      <protection hidden="1"/>
    </xf>
    <xf numFmtId="0" fontId="27" fillId="24" borderId="1" xfId="0" applyFont="1" applyFill="1" applyBorder="1" applyAlignment="1" applyProtection="1">
      <alignment horizontal="right"/>
      <protection hidden="1"/>
    </xf>
    <xf numFmtId="3" fontId="6" fillId="24" borderId="0" xfId="0" applyNumberFormat="1" applyFont="1" applyFill="1" applyBorder="1" applyAlignment="1" applyProtection="1">
      <alignment horizontal="center"/>
      <protection locked="0"/>
    </xf>
    <xf numFmtId="0" fontId="48" fillId="24" borderId="1" xfId="0" applyFont="1" applyFill="1" applyBorder="1" applyAlignment="1" applyProtection="1">
      <alignment horizontal="right"/>
      <protection hidden="1"/>
    </xf>
    <xf numFmtId="0" fontId="15" fillId="24" borderId="9" xfId="0" applyFont="1" applyFill="1" applyBorder="1" applyAlignment="1" applyProtection="1">
      <alignment horizontal="left" vertical="center"/>
      <protection hidden="1"/>
    </xf>
    <xf numFmtId="0" fontId="1" fillId="24" borderId="0" xfId="0" applyFont="1" applyFill="1" applyBorder="1" applyAlignment="1" applyProtection="1">
      <alignment horizontal="right" vertical="center"/>
      <protection hidden="1"/>
    </xf>
    <xf numFmtId="0" fontId="0" fillId="24" borderId="0" xfId="0" applyFill="1" applyBorder="1" applyAlignment="1" applyProtection="1">
      <alignment vertical="center"/>
      <protection hidden="1"/>
    </xf>
    <xf numFmtId="0" fontId="8" fillId="24" borderId="0" xfId="0" applyFont="1" applyFill="1" applyBorder="1" applyAlignment="1" applyProtection="1">
      <alignment vertical="center"/>
      <protection hidden="1"/>
    </xf>
    <xf numFmtId="0" fontId="17" fillId="24" borderId="0" xfId="0" applyFont="1" applyFill="1" applyBorder="1" applyAlignment="1" applyProtection="1">
      <alignment horizontal="left" vertical="center"/>
      <protection hidden="1"/>
    </xf>
    <xf numFmtId="0" fontId="8" fillId="24" borderId="0" xfId="0" applyFont="1" applyFill="1" applyBorder="1" applyAlignment="1" applyProtection="1">
      <alignment horizontal="center" vertical="center"/>
      <protection hidden="1"/>
    </xf>
    <xf numFmtId="0" fontId="4" fillId="24" borderId="0" xfId="0" applyFont="1" applyFill="1" applyBorder="1" applyAlignment="1" applyProtection="1">
      <alignment horizontal="right" vertical="center"/>
      <protection hidden="1"/>
    </xf>
    <xf numFmtId="1" fontId="12" fillId="24" borderId="0" xfId="0" applyNumberFormat="1" applyFont="1" applyFill="1" applyBorder="1" applyAlignment="1" applyProtection="1">
      <alignment horizontal="center" vertical="center"/>
      <protection hidden="1"/>
    </xf>
    <xf numFmtId="1" fontId="12" fillId="24" borderId="0" xfId="0" applyNumberFormat="1" applyFont="1" applyFill="1" applyBorder="1" applyAlignment="1" applyProtection="1">
      <alignment horizontal="right" vertical="center"/>
      <protection hidden="1"/>
    </xf>
    <xf numFmtId="0" fontId="12" fillId="24" borderId="14" xfId="0" applyFont="1" applyFill="1" applyBorder="1" applyProtection="1">
      <protection hidden="1"/>
    </xf>
    <xf numFmtId="0" fontId="1" fillId="24" borderId="14" xfId="0" applyFont="1" applyFill="1" applyBorder="1" applyAlignment="1" applyProtection="1">
      <alignment horizontal="right"/>
      <protection hidden="1"/>
    </xf>
    <xf numFmtId="0" fontId="0" fillId="24" borderId="14" xfId="0" applyFill="1" applyBorder="1" applyProtection="1">
      <protection hidden="1"/>
    </xf>
    <xf numFmtId="0" fontId="8" fillId="24" borderId="14" xfId="0" applyFont="1" applyFill="1" applyBorder="1" applyProtection="1">
      <protection hidden="1"/>
    </xf>
    <xf numFmtId="0" fontId="90" fillId="24" borderId="14" xfId="0" applyFont="1" applyFill="1" applyBorder="1" applyProtection="1">
      <protection hidden="1"/>
    </xf>
    <xf numFmtId="0" fontId="4" fillId="24" borderId="14" xfId="0" applyFont="1" applyFill="1" applyBorder="1" applyAlignment="1" applyProtection="1">
      <alignment horizontal="right"/>
      <protection hidden="1"/>
    </xf>
    <xf numFmtId="4" fontId="5" fillId="24" borderId="14" xfId="0" applyNumberFormat="1" applyFont="1" applyFill="1" applyBorder="1" applyProtection="1">
      <protection hidden="1"/>
    </xf>
    <xf numFmtId="4" fontId="8" fillId="24" borderId="14" xfId="0" applyNumberFormat="1" applyFont="1" applyFill="1" applyBorder="1" applyAlignment="1" applyProtection="1">
      <alignment horizontal="right"/>
      <protection hidden="1"/>
    </xf>
    <xf numFmtId="0" fontId="75" fillId="24" borderId="0" xfId="0" applyFont="1" applyFill="1" applyBorder="1" applyProtection="1">
      <protection hidden="1"/>
    </xf>
    <xf numFmtId="0" fontId="174" fillId="24" borderId="0" xfId="0" applyFont="1" applyFill="1" applyBorder="1" applyAlignment="1" applyProtection="1">
      <alignment horizontal="right"/>
      <protection hidden="1"/>
    </xf>
    <xf numFmtId="0" fontId="175" fillId="24" borderId="0" xfId="0" applyFont="1" applyFill="1" applyBorder="1" applyProtection="1">
      <protection hidden="1"/>
    </xf>
    <xf numFmtId="0" fontId="1" fillId="24" borderId="0" xfId="0" applyFont="1" applyFill="1" applyAlignment="1" applyProtection="1">
      <alignment horizontal="left"/>
      <protection hidden="1"/>
    </xf>
    <xf numFmtId="0" fontId="6" fillId="24" borderId="21" xfId="0" applyFont="1" applyFill="1" applyBorder="1" applyAlignment="1" applyProtection="1">
      <alignment horizontal="center"/>
      <protection hidden="1"/>
    </xf>
    <xf numFmtId="0" fontId="0" fillId="24" borderId="0" xfId="0" applyFill="1" applyAlignment="1"/>
    <xf numFmtId="0" fontId="0" fillId="24" borderId="0" xfId="0" applyFill="1" applyAlignment="1" applyProtection="1">
      <alignment horizontal="left"/>
      <protection hidden="1"/>
    </xf>
    <xf numFmtId="0" fontId="1" fillId="24" borderId="0" xfId="0" applyFont="1" applyFill="1" applyAlignment="1" applyProtection="1">
      <alignment horizontal="left" vertical="center"/>
      <protection hidden="1"/>
    </xf>
    <xf numFmtId="0" fontId="4" fillId="24" borderId="26" xfId="0" applyFont="1" applyFill="1" applyBorder="1" applyAlignment="1"/>
    <xf numFmtId="0" fontId="6" fillId="24" borderId="0" xfId="0" applyFont="1" applyFill="1" applyProtection="1">
      <protection hidden="1"/>
    </xf>
    <xf numFmtId="0" fontId="8" fillId="24" borderId="0" xfId="0" applyFont="1" applyFill="1" applyAlignment="1" applyProtection="1">
      <alignment horizontal="left"/>
      <protection hidden="1"/>
    </xf>
    <xf numFmtId="0" fontId="1" fillId="24" borderId="31" xfId="0" applyFont="1" applyFill="1" applyBorder="1" applyAlignment="1" applyProtection="1">
      <alignment horizontal="right"/>
      <protection hidden="1"/>
    </xf>
    <xf numFmtId="0" fontId="1" fillId="24" borderId="3" xfId="0" applyFont="1" applyFill="1" applyBorder="1" applyAlignment="1" applyProtection="1">
      <alignment horizontal="right"/>
      <protection hidden="1"/>
    </xf>
    <xf numFmtId="3" fontId="6" fillId="24" borderId="0" xfId="0" applyNumberFormat="1" applyFont="1" applyFill="1" applyProtection="1">
      <protection hidden="1"/>
    </xf>
    <xf numFmtId="0" fontId="15" fillId="24" borderId="0" xfId="0" applyFont="1" applyFill="1" applyProtection="1">
      <protection hidden="1"/>
    </xf>
    <xf numFmtId="0" fontId="1" fillId="24" borderId="10" xfId="0" applyFont="1" applyFill="1" applyBorder="1" applyAlignment="1" applyProtection="1">
      <alignment horizontal="right"/>
      <protection hidden="1"/>
    </xf>
    <xf numFmtId="0" fontId="1" fillId="24" borderId="9" xfId="0" applyFont="1" applyFill="1" applyBorder="1" applyAlignment="1" applyProtection="1">
      <alignment horizontal="right"/>
      <protection hidden="1"/>
    </xf>
    <xf numFmtId="0" fontId="0" fillId="24" borderId="9" xfId="0" applyFill="1" applyBorder="1" applyProtection="1">
      <protection hidden="1"/>
    </xf>
    <xf numFmtId="0" fontId="5" fillId="24" borderId="9" xfId="0" applyFont="1" applyFill="1" applyBorder="1" applyProtection="1">
      <protection hidden="1"/>
    </xf>
    <xf numFmtId="4" fontId="5" fillId="24" borderId="0" xfId="0" applyNumberFormat="1" applyFont="1" applyFill="1" applyProtection="1">
      <protection hidden="1"/>
    </xf>
    <xf numFmtId="4" fontId="5" fillId="24" borderId="1" xfId="0" applyNumberFormat="1" applyFont="1" applyFill="1" applyBorder="1" applyProtection="1">
      <protection hidden="1"/>
    </xf>
    <xf numFmtId="0" fontId="11" fillId="24" borderId="0" xfId="0" applyFont="1" applyFill="1" applyBorder="1" applyAlignment="1" applyProtection="1">
      <alignment horizontal="center"/>
      <protection hidden="1"/>
    </xf>
    <xf numFmtId="0" fontId="4" fillId="24" borderId="25" xfId="0" applyFont="1" applyFill="1" applyBorder="1" applyAlignment="1" applyProtection="1">
      <alignment horizontal="center" vertical="center"/>
      <protection hidden="1"/>
    </xf>
    <xf numFmtId="4" fontId="6" fillId="24" borderId="0" xfId="0" applyNumberFormat="1" applyFont="1" applyFill="1" applyAlignment="1" applyProtection="1">
      <alignment horizontal="right"/>
      <protection hidden="1"/>
    </xf>
    <xf numFmtId="4" fontId="6" fillId="24" borderId="0" xfId="0" applyNumberFormat="1" applyFont="1" applyFill="1" applyBorder="1" applyAlignment="1" applyProtection="1">
      <alignment horizontal="center"/>
      <protection locked="0"/>
    </xf>
    <xf numFmtId="0" fontId="9" fillId="24" borderId="6" xfId="0" applyFont="1" applyFill="1" applyBorder="1" applyAlignment="1" applyProtection="1">
      <alignment horizontal="left"/>
      <protection hidden="1"/>
    </xf>
    <xf numFmtId="0" fontId="0" fillId="24" borderId="0" xfId="0" applyFill="1" applyAlignment="1">
      <alignment horizontal="left"/>
    </xf>
    <xf numFmtId="0" fontId="5" fillId="24" borderId="0" xfId="0" applyFont="1" applyFill="1" applyAlignment="1">
      <alignment horizontal="left"/>
    </xf>
    <xf numFmtId="0" fontId="9" fillId="24" borderId="0" xfId="0" applyFont="1" applyFill="1" applyAlignment="1" applyProtection="1">
      <alignment horizontal="right"/>
      <protection hidden="1"/>
    </xf>
    <xf numFmtId="0" fontId="6" fillId="24" borderId="21" xfId="0" applyFont="1" applyFill="1" applyBorder="1" applyAlignment="1" applyProtection="1">
      <alignment horizontal="center"/>
      <protection locked="0"/>
    </xf>
    <xf numFmtId="0" fontId="6" fillId="24" borderId="0" xfId="0" applyFont="1" applyFill="1" applyAlignment="1" applyProtection="1">
      <alignment horizontal="right"/>
      <protection hidden="1"/>
    </xf>
    <xf numFmtId="0" fontId="6" fillId="24" borderId="0" xfId="0" applyFont="1" applyFill="1" applyAlignment="1" applyProtection="1">
      <alignment horizontal="right" vertical="top"/>
      <protection hidden="1"/>
    </xf>
    <xf numFmtId="0" fontId="15" fillId="24" borderId="0" xfId="0" applyFont="1" applyFill="1" applyAlignment="1" applyProtection="1">
      <alignment horizontal="right"/>
      <protection hidden="1"/>
    </xf>
    <xf numFmtId="0" fontId="11" fillId="24" borderId="0" xfId="0" applyFont="1" applyFill="1" applyAlignment="1" applyProtection="1">
      <alignment horizontal="right"/>
      <protection hidden="1"/>
    </xf>
    <xf numFmtId="0" fontId="43" fillId="24" borderId="0" xfId="0" applyFont="1" applyFill="1" applyBorder="1" applyAlignment="1" applyProtection="1">
      <alignment horizontal="right" vertical="center"/>
      <protection hidden="1"/>
    </xf>
    <xf numFmtId="0" fontId="15" fillId="24" borderId="0" xfId="0" applyFont="1" applyFill="1" applyAlignment="1" applyProtection="1">
      <alignment horizontal="right" vertical="center"/>
      <protection hidden="1"/>
    </xf>
    <xf numFmtId="0" fontId="4" fillId="24" borderId="0" xfId="0" applyFont="1" applyFill="1" applyBorder="1" applyAlignment="1" applyProtection="1">
      <alignment horizontal="center"/>
      <protection locked="0"/>
    </xf>
    <xf numFmtId="0" fontId="5" fillId="24" borderId="0" xfId="0" applyFont="1" applyFill="1" applyAlignment="1" applyProtection="1">
      <alignment horizontal="left"/>
      <protection hidden="1"/>
    </xf>
    <xf numFmtId="0" fontId="4" fillId="24" borderId="13" xfId="0" applyFont="1" applyFill="1" applyBorder="1" applyAlignment="1" applyProtection="1">
      <alignment horizontal="center"/>
      <protection hidden="1"/>
    </xf>
    <xf numFmtId="0" fontId="4" fillId="24" borderId="40" xfId="0" applyFont="1" applyFill="1" applyBorder="1" applyAlignment="1" applyProtection="1">
      <alignment horizontal="center"/>
      <protection hidden="1"/>
    </xf>
    <xf numFmtId="0" fontId="0" fillId="24" borderId="55" xfId="0" applyFill="1" applyBorder="1" applyProtection="1">
      <protection hidden="1"/>
    </xf>
    <xf numFmtId="0" fontId="4" fillId="24" borderId="11" xfId="0" applyFont="1" applyFill="1" applyBorder="1" applyAlignment="1" applyProtection="1">
      <alignment horizontal="center"/>
      <protection hidden="1"/>
    </xf>
    <xf numFmtId="0" fontId="4" fillId="24" borderId="10" xfId="0" applyFont="1" applyFill="1" applyBorder="1" applyAlignment="1" applyProtection="1">
      <alignment horizontal="center"/>
      <protection hidden="1"/>
    </xf>
    <xf numFmtId="0" fontId="11" fillId="24" borderId="3" xfId="0" applyFont="1" applyFill="1" applyBorder="1" applyAlignment="1" applyProtection="1">
      <alignment horizontal="left"/>
      <protection hidden="1"/>
    </xf>
    <xf numFmtId="0" fontId="27" fillId="24" borderId="9" xfId="0" applyFont="1" applyFill="1" applyBorder="1" applyAlignment="1" applyProtection="1">
      <alignment horizontal="right"/>
      <protection hidden="1"/>
    </xf>
    <xf numFmtId="0" fontId="43" fillId="24" borderId="9" xfId="0" applyFont="1" applyFill="1" applyBorder="1" applyAlignment="1" applyProtection="1">
      <alignment horizontal="right" vertical="center"/>
      <protection hidden="1"/>
    </xf>
    <xf numFmtId="0" fontId="43" fillId="24" borderId="15" xfId="0" applyFont="1" applyFill="1" applyBorder="1" applyAlignment="1" applyProtection="1">
      <alignment horizontal="right" vertical="center"/>
      <protection hidden="1"/>
    </xf>
    <xf numFmtId="0" fontId="6" fillId="24" borderId="0" xfId="0" applyFont="1" applyFill="1" applyBorder="1" applyAlignment="1" applyProtection="1">
      <alignment horizontal="right" vertical="center"/>
      <protection hidden="1"/>
    </xf>
    <xf numFmtId="1" fontId="1" fillId="24" borderId="11" xfId="0" applyNumberFormat="1" applyFont="1" applyFill="1" applyBorder="1" applyAlignment="1" applyProtection="1">
      <alignment horizontal="center"/>
      <protection hidden="1"/>
    </xf>
    <xf numFmtId="1" fontId="4" fillId="24" borderId="13" xfId="0" applyNumberFormat="1" applyFont="1" applyFill="1" applyBorder="1" applyAlignment="1" applyProtection="1">
      <alignment horizontal="center"/>
      <protection hidden="1"/>
    </xf>
    <xf numFmtId="4" fontId="5" fillId="24" borderId="0" xfId="0" quotePrefix="1" applyNumberFormat="1" applyFont="1" applyFill="1" applyAlignment="1" applyProtection="1">
      <alignment horizontal="right"/>
      <protection hidden="1"/>
    </xf>
    <xf numFmtId="4" fontId="6" fillId="24" borderId="0" xfId="0" applyNumberFormat="1" applyFont="1" applyFill="1" applyBorder="1" applyAlignment="1" applyProtection="1">
      <alignment horizontal="right"/>
      <protection hidden="1"/>
    </xf>
    <xf numFmtId="4" fontId="6" fillId="24" borderId="0" xfId="0" applyNumberFormat="1" applyFont="1" applyFill="1" applyBorder="1" applyAlignment="1" applyProtection="1">
      <alignment horizontal="center" vertical="center"/>
      <protection locked="0"/>
    </xf>
    <xf numFmtId="0" fontId="6" fillId="24" borderId="9" xfId="0" applyFont="1" applyFill="1" applyBorder="1" applyAlignment="1" applyProtection="1">
      <alignment horizontal="left"/>
      <protection hidden="1"/>
    </xf>
    <xf numFmtId="0" fontId="6" fillId="24" borderId="9" xfId="0" applyFont="1" applyFill="1" applyBorder="1" applyAlignment="1" applyProtection="1">
      <alignment horizontal="right"/>
      <protection hidden="1"/>
    </xf>
    <xf numFmtId="4" fontId="5" fillId="24" borderId="0" xfId="0" quotePrefix="1" applyNumberFormat="1" applyFont="1" applyFill="1" applyProtection="1">
      <protection hidden="1"/>
    </xf>
    <xf numFmtId="4" fontId="5" fillId="24" borderId="0" xfId="0" applyNumberFormat="1" applyFont="1" applyFill="1" applyAlignment="1" applyProtection="1">
      <alignment horizontal="right"/>
      <protection hidden="1"/>
    </xf>
    <xf numFmtId="4" fontId="5" fillId="24" borderId="0" xfId="0" applyNumberFormat="1" applyFont="1" applyFill="1" applyBorder="1" applyAlignment="1" applyProtection="1">
      <alignment horizontal="right" vertical="top"/>
      <protection hidden="1"/>
    </xf>
    <xf numFmtId="4" fontId="15" fillId="24" borderId="0" xfId="0" applyNumberFormat="1" applyFont="1" applyFill="1" applyAlignment="1" applyProtection="1">
      <alignment horizontal="right"/>
      <protection hidden="1"/>
    </xf>
    <xf numFmtId="4" fontId="8" fillId="24" borderId="1" xfId="0" applyNumberFormat="1" applyFont="1" applyFill="1" applyBorder="1" applyProtection="1">
      <protection locked="0"/>
    </xf>
    <xf numFmtId="0" fontId="8" fillId="24" borderId="0" xfId="0" applyFont="1" applyFill="1" applyAlignment="1" applyProtection="1">
      <alignment horizontal="right"/>
      <protection locked="0"/>
    </xf>
    <xf numFmtId="0" fontId="1" fillId="24" borderId="0" xfId="0" applyFont="1" applyFill="1" applyProtection="1">
      <protection hidden="1"/>
    </xf>
    <xf numFmtId="0" fontId="4" fillId="24" borderId="1" xfId="0" applyFont="1" applyFill="1" applyBorder="1" applyAlignment="1" applyProtection="1">
      <alignment horizontal="center" vertical="center"/>
      <protection hidden="1"/>
    </xf>
    <xf numFmtId="0" fontId="8" fillId="24" borderId="0" xfId="0" applyFont="1" applyFill="1" applyBorder="1" applyAlignment="1" applyProtection="1">
      <alignment horizontal="left" vertical="center"/>
      <protection hidden="1"/>
    </xf>
    <xf numFmtId="0" fontId="6" fillId="24" borderId="11" xfId="0" applyFont="1" applyFill="1" applyBorder="1" applyAlignment="1" applyProtection="1">
      <alignment horizontal="right"/>
      <protection hidden="1"/>
    </xf>
    <xf numFmtId="0" fontId="4" fillId="24" borderId="1" xfId="0" applyFont="1" applyFill="1" applyBorder="1" applyAlignment="1" applyProtection="1">
      <alignment horizontal="center"/>
      <protection hidden="1"/>
    </xf>
    <xf numFmtId="4" fontId="5" fillId="24" borderId="55" xfId="0" applyNumberFormat="1" applyFont="1" applyFill="1" applyBorder="1" applyProtection="1">
      <protection hidden="1"/>
    </xf>
    <xf numFmtId="0" fontId="0" fillId="24" borderId="15" xfId="0" applyFill="1" applyBorder="1" applyAlignment="1" applyProtection="1">
      <protection hidden="1"/>
    </xf>
    <xf numFmtId="0" fontId="0" fillId="24" borderId="12" xfId="0" applyFill="1" applyBorder="1" applyAlignment="1" applyProtection="1">
      <protection hidden="1"/>
    </xf>
    <xf numFmtId="0" fontId="4" fillId="24" borderId="16" xfId="0" applyFont="1" applyFill="1" applyBorder="1" applyAlignment="1" applyProtection="1">
      <alignment horizontal="center"/>
      <protection hidden="1"/>
    </xf>
    <xf numFmtId="0" fontId="4" fillId="24" borderId="31" xfId="0" applyFont="1" applyFill="1" applyBorder="1" applyAlignment="1" applyProtection="1">
      <alignment horizontal="center"/>
      <protection hidden="1"/>
    </xf>
    <xf numFmtId="4" fontId="5" fillId="24" borderId="9" xfId="0" applyNumberFormat="1" applyFont="1" applyFill="1" applyBorder="1" applyProtection="1">
      <protection hidden="1"/>
    </xf>
    <xf numFmtId="167" fontId="1" fillId="24" borderId="1" xfId="0" applyNumberFormat="1" applyFont="1" applyFill="1" applyBorder="1" applyAlignment="1" applyProtection="1">
      <alignment horizontal="center"/>
      <protection hidden="1"/>
    </xf>
    <xf numFmtId="0" fontId="5" fillId="24" borderId="1" xfId="0" applyFont="1" applyFill="1" applyBorder="1" applyAlignment="1" applyProtection="1">
      <alignment horizontal="left"/>
      <protection hidden="1"/>
    </xf>
    <xf numFmtId="0" fontId="6" fillId="24" borderId="1" xfId="0" applyFont="1" applyFill="1" applyBorder="1" applyAlignment="1" applyProtection="1">
      <alignment horizontal="left"/>
      <protection hidden="1"/>
    </xf>
    <xf numFmtId="0" fontId="6" fillId="24" borderId="1" xfId="0" applyFont="1" applyFill="1" applyBorder="1" applyAlignment="1" applyProtection="1">
      <alignment horizontal="right"/>
      <protection hidden="1"/>
    </xf>
    <xf numFmtId="167" fontId="1" fillId="24" borderId="9" xfId="0" applyNumberFormat="1" applyFont="1" applyFill="1" applyBorder="1" applyAlignment="1" applyProtection="1">
      <alignment horizontal="center"/>
      <protection hidden="1"/>
    </xf>
    <xf numFmtId="0" fontId="4" fillId="24" borderId="9" xfId="0" applyFont="1" applyFill="1" applyBorder="1" applyAlignment="1" applyProtection="1">
      <alignment horizontal="right"/>
      <protection hidden="1"/>
    </xf>
    <xf numFmtId="167" fontId="48" fillId="24" borderId="25" xfId="0" applyNumberFormat="1" applyFont="1" applyFill="1" applyBorder="1" applyAlignment="1" applyProtection="1">
      <alignment horizontal="right"/>
      <protection hidden="1"/>
    </xf>
    <xf numFmtId="167" fontId="5" fillId="24" borderId="0" xfId="0" applyNumberFormat="1" applyFont="1" applyFill="1" applyBorder="1" applyAlignment="1" applyProtection="1">
      <alignment horizontal="left"/>
      <protection hidden="1"/>
    </xf>
    <xf numFmtId="4" fontId="8" fillId="24" borderId="0" xfId="0" applyNumberFormat="1" applyFont="1" applyFill="1" applyProtection="1">
      <protection hidden="1"/>
    </xf>
    <xf numFmtId="0" fontId="5" fillId="24" borderId="0" xfId="0" applyFont="1" applyFill="1" applyAlignment="1" applyProtection="1">
      <alignment horizontal="right"/>
      <protection hidden="1"/>
    </xf>
    <xf numFmtId="0" fontId="0" fillId="24" borderId="5" xfId="0" applyFill="1" applyBorder="1" applyProtection="1">
      <protection hidden="1"/>
    </xf>
    <xf numFmtId="0" fontId="8" fillId="24" borderId="5" xfId="0" applyFont="1" applyFill="1" applyBorder="1" applyProtection="1">
      <protection hidden="1"/>
    </xf>
    <xf numFmtId="0" fontId="15" fillId="24" borderId="5" xfId="0" applyFont="1" applyFill="1" applyBorder="1" applyAlignment="1" applyProtection="1">
      <alignment horizontal="right"/>
      <protection hidden="1"/>
    </xf>
    <xf numFmtId="0" fontId="4" fillId="24" borderId="29" xfId="0" applyFont="1" applyFill="1" applyBorder="1" applyAlignment="1" applyProtection="1">
      <alignment horizontal="center"/>
      <protection hidden="1"/>
    </xf>
    <xf numFmtId="0" fontId="4" fillId="24" borderId="72" xfId="0" applyFont="1" applyFill="1" applyBorder="1" applyAlignment="1" applyProtection="1">
      <alignment horizontal="center"/>
      <protection hidden="1"/>
    </xf>
    <xf numFmtId="0" fontId="0" fillId="24" borderId="73" xfId="0" applyFill="1" applyBorder="1" applyProtection="1">
      <protection hidden="1"/>
    </xf>
    <xf numFmtId="1" fontId="1" fillId="24" borderId="7" xfId="0" applyNumberFormat="1" applyFont="1" applyFill="1" applyBorder="1" applyAlignment="1" applyProtection="1">
      <alignment horizontal="center"/>
      <protection hidden="1"/>
    </xf>
    <xf numFmtId="4" fontId="5" fillId="24" borderId="0" xfId="0" applyNumberFormat="1" applyFont="1" applyFill="1" applyBorder="1" applyAlignment="1" applyProtection="1">
      <alignment vertical="center"/>
      <protection hidden="1"/>
    </xf>
    <xf numFmtId="1" fontId="8" fillId="24" borderId="0" xfId="0" applyNumberFormat="1" applyFont="1" applyFill="1" applyBorder="1" applyProtection="1">
      <protection hidden="1"/>
    </xf>
    <xf numFmtId="4" fontId="6" fillId="24" borderId="8" xfId="0" applyNumberFormat="1" applyFont="1" applyFill="1" applyBorder="1" applyAlignment="1" applyProtection="1">
      <alignment horizontal="center" vertical="center"/>
      <protection hidden="1"/>
    </xf>
    <xf numFmtId="49" fontId="11" fillId="24" borderId="1" xfId="0" applyNumberFormat="1" applyFont="1" applyFill="1" applyBorder="1" applyAlignment="1" applyProtection="1">
      <alignment horizontal="right"/>
      <protection locked="0"/>
    </xf>
    <xf numFmtId="49" fontId="7" fillId="24" borderId="1" xfId="0" applyNumberFormat="1" applyFont="1" applyFill="1" applyBorder="1" applyAlignment="1" applyProtection="1">
      <alignment horizontal="left"/>
      <protection locked="0"/>
    </xf>
    <xf numFmtId="49" fontId="7" fillId="24" borderId="1" xfId="0" applyNumberFormat="1" applyFont="1" applyFill="1" applyBorder="1" applyAlignment="1" applyProtection="1">
      <alignment horizontal="left"/>
      <protection hidden="1"/>
    </xf>
    <xf numFmtId="1" fontId="8" fillId="24" borderId="1" xfId="0" applyNumberFormat="1" applyFont="1" applyFill="1" applyBorder="1" applyAlignment="1" applyProtection="1">
      <alignment horizontal="right" vertical="center"/>
      <protection hidden="1"/>
    </xf>
    <xf numFmtId="0" fontId="43" fillId="24" borderId="12" xfId="0" applyFont="1" applyFill="1" applyBorder="1" applyAlignment="1" applyProtection="1">
      <alignment horizontal="right" vertical="center"/>
      <protection hidden="1"/>
    </xf>
    <xf numFmtId="0" fontId="0" fillId="25" borderId="40" xfId="0" applyFill="1" applyBorder="1" applyProtection="1">
      <protection hidden="1"/>
    </xf>
    <xf numFmtId="0" fontId="0" fillId="25" borderId="55" xfId="0" applyFill="1" applyBorder="1" applyProtection="1">
      <protection hidden="1"/>
    </xf>
    <xf numFmtId="0" fontId="6" fillId="3" borderId="1" xfId="0" applyFont="1" applyFill="1" applyBorder="1" applyAlignment="1" applyProtection="1">
      <alignment horizontal="left" vertical="center"/>
      <protection hidden="1"/>
    </xf>
    <xf numFmtId="0" fontId="6" fillId="3" borderId="1" xfId="0" applyFont="1" applyFill="1" applyBorder="1" applyAlignment="1" applyProtection="1">
      <alignment horizontal="center" vertical="center"/>
      <protection hidden="1"/>
    </xf>
    <xf numFmtId="0" fontId="169" fillId="2" borderId="0" xfId="0" applyFont="1" applyFill="1" applyBorder="1" applyAlignment="1" applyProtection="1">
      <alignment wrapText="1"/>
      <protection hidden="1"/>
    </xf>
    <xf numFmtId="0" fontId="11" fillId="2" borderId="13" xfId="0" applyFont="1" applyFill="1" applyBorder="1" applyAlignment="1" applyProtection="1">
      <alignment horizontal="center" vertical="center" wrapText="1"/>
      <protection locked="0"/>
    </xf>
    <xf numFmtId="0" fontId="0" fillId="21" borderId="0" xfId="0" applyFill="1" applyBorder="1" applyProtection="1">
      <protection hidden="1"/>
    </xf>
    <xf numFmtId="0" fontId="8" fillId="21" borderId="0" xfId="0" applyFont="1" applyFill="1" applyProtection="1">
      <protection hidden="1"/>
    </xf>
    <xf numFmtId="3" fontId="7" fillId="26" borderId="10" xfId="0" applyNumberFormat="1" applyFont="1" applyFill="1" applyBorder="1" applyProtection="1">
      <protection locked="0"/>
    </xf>
    <xf numFmtId="0" fontId="1" fillId="26" borderId="2" xfId="0" applyFont="1" applyFill="1" applyBorder="1" applyAlignment="1" applyProtection="1">
      <alignment horizontal="center" vertical="center"/>
      <protection locked="0"/>
    </xf>
    <xf numFmtId="4" fontId="6" fillId="3" borderId="25" xfId="0" applyNumberFormat="1" applyFont="1" applyFill="1" applyBorder="1" applyAlignment="1" applyProtection="1">
      <alignment horizontal="right"/>
      <protection hidden="1"/>
    </xf>
    <xf numFmtId="3" fontId="6" fillId="3" borderId="31" xfId="0" applyNumberFormat="1" applyFont="1" applyFill="1" applyBorder="1" applyAlignment="1" applyProtection="1">
      <alignment horizontal="right"/>
      <protection locked="0"/>
    </xf>
    <xf numFmtId="0" fontId="177" fillId="2" borderId="0" xfId="0" applyFont="1" applyFill="1" applyBorder="1" applyAlignment="1" applyProtection="1">
      <alignment horizontal="left"/>
      <protection hidden="1"/>
    </xf>
    <xf numFmtId="0" fontId="177" fillId="2" borderId="0" xfId="0" applyFont="1" applyFill="1" applyBorder="1" applyAlignment="1" applyProtection="1">
      <alignment horizontal="left" vertical="top"/>
      <protection hidden="1"/>
    </xf>
    <xf numFmtId="0" fontId="20" fillId="3" borderId="22" xfId="0" applyFont="1" applyFill="1" applyBorder="1" applyAlignment="1" applyProtection="1">
      <alignment horizontal="left" vertical="center"/>
      <protection hidden="1"/>
    </xf>
    <xf numFmtId="0" fontId="11" fillId="3" borderId="6" xfId="0" applyFont="1" applyFill="1" applyBorder="1" applyAlignment="1" applyProtection="1">
      <alignment horizontal="center"/>
      <protection hidden="1"/>
    </xf>
    <xf numFmtId="4" fontId="4" fillId="26" borderId="13" xfId="0" applyNumberFormat="1" applyFont="1" applyFill="1" applyBorder="1" applyAlignment="1" applyProtection="1">
      <alignment horizontal="center" vertical="center"/>
      <protection locked="0"/>
    </xf>
    <xf numFmtId="0" fontId="5" fillId="3" borderId="9" xfId="0" applyFont="1" applyFill="1" applyBorder="1" applyProtection="1">
      <protection hidden="1"/>
    </xf>
    <xf numFmtId="49" fontId="1" fillId="26" borderId="18" xfId="0" applyNumberFormat="1" applyFont="1" applyFill="1" applyBorder="1" applyAlignment="1" applyProtection="1">
      <alignment horizontal="center"/>
      <protection locked="0"/>
    </xf>
    <xf numFmtId="49" fontId="4" fillId="22" borderId="34" xfId="0" applyNumberFormat="1" applyFont="1" applyFill="1" applyBorder="1" applyAlignment="1" applyProtection="1">
      <alignment horizontal="center"/>
      <protection locked="0"/>
    </xf>
    <xf numFmtId="166" fontId="19" fillId="22" borderId="0" xfId="0" applyNumberFormat="1" applyFont="1" applyFill="1" applyBorder="1" applyAlignment="1" applyProtection="1">
      <alignment horizontal="center" vertical="center"/>
      <protection locked="0"/>
    </xf>
    <xf numFmtId="49" fontId="1" fillId="26" borderId="11" xfId="0" applyNumberFormat="1" applyFont="1" applyFill="1" applyBorder="1" applyAlignment="1" applyProtection="1">
      <alignment horizontal="center" vertical="center"/>
      <protection locked="0"/>
    </xf>
    <xf numFmtId="49" fontId="1" fillId="26" borderId="19" xfId="0" applyNumberFormat="1" applyFont="1" applyFill="1" applyBorder="1" applyAlignment="1" applyProtection="1">
      <alignment horizontal="center" vertical="center"/>
      <protection locked="0"/>
    </xf>
    <xf numFmtId="49" fontId="1" fillId="26" borderId="12" xfId="0" applyNumberFormat="1" applyFont="1" applyFill="1" applyBorder="1" applyAlignment="1" applyProtection="1">
      <alignment horizontal="center" vertical="center"/>
      <protection locked="0"/>
    </xf>
    <xf numFmtId="49" fontId="4" fillId="22" borderId="10" xfId="0" applyNumberFormat="1" applyFont="1" applyFill="1" applyBorder="1" applyAlignment="1" applyProtection="1">
      <alignment horizontal="center" vertical="center"/>
      <protection locked="0"/>
    </xf>
    <xf numFmtId="0" fontId="4" fillId="26" borderId="2" xfId="0" applyFont="1" applyFill="1" applyBorder="1" applyAlignment="1" applyProtection="1">
      <alignment horizontal="center" vertical="center"/>
      <protection locked="0"/>
    </xf>
    <xf numFmtId="0" fontId="6" fillId="3" borderId="73" xfId="0" applyFont="1" applyFill="1" applyBorder="1" applyAlignment="1" applyProtection="1">
      <alignment horizontal="right"/>
      <protection hidden="1"/>
    </xf>
    <xf numFmtId="3" fontId="6" fillId="26" borderId="30" xfId="0" applyNumberFormat="1" applyFont="1" applyFill="1" applyBorder="1" applyAlignment="1" applyProtection="1">
      <alignment horizontal="right"/>
      <protection locked="0"/>
    </xf>
    <xf numFmtId="3" fontId="6" fillId="22" borderId="85" xfId="0" applyNumberFormat="1" applyFont="1" applyFill="1" applyBorder="1" applyAlignment="1" applyProtection="1">
      <alignment horizontal="right"/>
      <protection locked="0"/>
    </xf>
    <xf numFmtId="3" fontId="6" fillId="22" borderId="30" xfId="0" applyNumberFormat="1" applyFont="1" applyFill="1" applyBorder="1" applyAlignment="1" applyProtection="1">
      <alignment horizontal="right"/>
      <protection locked="0"/>
    </xf>
    <xf numFmtId="3" fontId="6" fillId="22" borderId="87" xfId="0" applyNumberFormat="1" applyFont="1" applyFill="1" applyBorder="1" applyAlignment="1" applyProtection="1">
      <alignment horizontal="right"/>
      <protection locked="0"/>
    </xf>
    <xf numFmtId="37" fontId="4" fillId="26" borderId="4" xfId="0" applyNumberFormat="1" applyFont="1" applyFill="1" applyBorder="1" applyAlignment="1" applyProtection="1">
      <alignment horizontal="center"/>
      <protection locked="0"/>
    </xf>
    <xf numFmtId="177" fontId="180" fillId="3" borderId="3" xfId="0" applyNumberFormat="1" applyFont="1" applyFill="1" applyBorder="1" applyProtection="1">
      <protection hidden="1"/>
    </xf>
    <xf numFmtId="0" fontId="19" fillId="3" borderId="0" xfId="0" applyFont="1" applyFill="1" applyBorder="1" applyAlignment="1" applyProtection="1">
      <alignment horizontal="left"/>
      <protection hidden="1"/>
    </xf>
    <xf numFmtId="0" fontId="1" fillId="3" borderId="9" xfId="0" applyNumberFormat="1" applyFont="1" applyFill="1" applyBorder="1" applyAlignment="1" applyProtection="1">
      <alignment horizontal="right" vertical="top" wrapText="1"/>
      <protection hidden="1"/>
    </xf>
    <xf numFmtId="0" fontId="1" fillId="3" borderId="1" xfId="0" applyNumberFormat="1" applyFont="1" applyFill="1" applyBorder="1" applyAlignment="1" applyProtection="1">
      <alignment horizontal="right" vertical="top" wrapText="1"/>
      <protection hidden="1"/>
    </xf>
    <xf numFmtId="37" fontId="6" fillId="26" borderId="11" xfId="0" applyNumberFormat="1" applyFont="1" applyFill="1" applyBorder="1" applyAlignment="1" applyProtection="1">
      <alignment horizontal="right"/>
      <protection locked="0"/>
    </xf>
    <xf numFmtId="37" fontId="6" fillId="22" borderId="11" xfId="0" applyNumberFormat="1" applyFont="1" applyFill="1" applyBorder="1" applyAlignment="1" applyProtection="1">
      <alignment horizontal="right"/>
      <protection locked="0"/>
    </xf>
    <xf numFmtId="37" fontId="6" fillId="26" borderId="12" xfId="0" applyNumberFormat="1" applyFont="1" applyFill="1" applyBorder="1" applyAlignment="1" applyProtection="1">
      <alignment horizontal="right"/>
      <protection locked="0"/>
    </xf>
    <xf numFmtId="0" fontId="0" fillId="27" borderId="0" xfId="0" applyFill="1" applyProtection="1">
      <protection hidden="1"/>
    </xf>
    <xf numFmtId="4" fontId="17" fillId="27" borderId="0" xfId="0" applyNumberFormat="1" applyFont="1" applyFill="1" applyBorder="1" applyProtection="1">
      <protection hidden="1"/>
    </xf>
    <xf numFmtId="0" fontId="5" fillId="27" borderId="0" xfId="0" applyFont="1" applyFill="1" applyBorder="1" applyProtection="1">
      <protection hidden="1"/>
    </xf>
    <xf numFmtId="0" fontId="8" fillId="27" borderId="0" xfId="0" applyFont="1" applyFill="1" applyBorder="1" applyProtection="1">
      <protection hidden="1"/>
    </xf>
    <xf numFmtId="4" fontId="8" fillId="27" borderId="0" xfId="0" applyNumberFormat="1" applyFont="1" applyFill="1" applyBorder="1" applyProtection="1">
      <protection hidden="1"/>
    </xf>
    <xf numFmtId="0" fontId="12" fillId="27" borderId="0" xfId="0" applyFont="1" applyFill="1" applyBorder="1" applyProtection="1">
      <protection hidden="1"/>
    </xf>
    <xf numFmtId="0" fontId="0" fillId="27" borderId="0" xfId="0" applyFill="1" applyBorder="1" applyAlignment="1"/>
    <xf numFmtId="4" fontId="55" fillId="27" borderId="0" xfId="0" applyNumberFormat="1" applyFont="1" applyFill="1" applyBorder="1" applyProtection="1">
      <protection hidden="1"/>
    </xf>
    <xf numFmtId="4" fontId="58" fillId="27" borderId="0" xfId="0" applyNumberFormat="1" applyFont="1" applyFill="1" applyBorder="1" applyAlignment="1" applyProtection="1">
      <alignment horizontal="center"/>
      <protection hidden="1"/>
    </xf>
    <xf numFmtId="4" fontId="100" fillId="27" borderId="0" xfId="0" applyNumberFormat="1" applyFont="1" applyFill="1" applyBorder="1" applyAlignment="1" applyProtection="1">
      <alignment horizontal="center"/>
      <protection hidden="1"/>
    </xf>
    <xf numFmtId="4" fontId="17" fillId="27" borderId="0" xfId="0" applyNumberFormat="1" applyFont="1" applyFill="1" applyBorder="1" applyAlignment="1" applyProtection="1">
      <alignment horizontal="center"/>
      <protection hidden="1"/>
    </xf>
    <xf numFmtId="39" fontId="5" fillId="27" borderId="0" xfId="0" applyNumberFormat="1" applyFont="1" applyFill="1" applyBorder="1" applyAlignment="1" applyProtection="1">
      <alignment horizontal="right"/>
      <protection locked="0"/>
    </xf>
    <xf numFmtId="39" fontId="5" fillId="27" borderId="0" xfId="0" applyNumberFormat="1" applyFont="1" applyFill="1" applyBorder="1" applyAlignment="1" applyProtection="1">
      <protection locked="0"/>
    </xf>
    <xf numFmtId="39" fontId="8" fillId="27" borderId="0" xfId="0" applyNumberFormat="1" applyFont="1" applyFill="1" applyBorder="1" applyAlignment="1" applyProtection="1">
      <alignment horizontal="center"/>
      <protection hidden="1"/>
    </xf>
    <xf numFmtId="39" fontId="5" fillId="27" borderId="0" xfId="0" applyNumberFormat="1" applyFont="1" applyFill="1" applyBorder="1" applyAlignment="1" applyProtection="1">
      <protection hidden="1"/>
    </xf>
    <xf numFmtId="4" fontId="0" fillId="27" borderId="0" xfId="0" applyNumberFormat="1" applyFill="1" applyBorder="1" applyAlignment="1" applyProtection="1">
      <protection hidden="1"/>
    </xf>
    <xf numFmtId="4" fontId="11" fillId="27" borderId="0" xfId="0" applyNumberFormat="1" applyFont="1" applyFill="1" applyBorder="1" applyAlignment="1" applyProtection="1">
      <protection hidden="1"/>
    </xf>
    <xf numFmtId="39" fontId="8" fillId="27" borderId="0" xfId="0" applyNumberFormat="1" applyFont="1" applyFill="1" applyBorder="1" applyAlignment="1" applyProtection="1">
      <protection hidden="1"/>
    </xf>
    <xf numFmtId="4" fontId="4" fillId="27" borderId="0" xfId="0" applyNumberFormat="1" applyFont="1" applyFill="1" applyBorder="1" applyAlignment="1" applyProtection="1">
      <protection hidden="1"/>
    </xf>
    <xf numFmtId="4" fontId="19" fillId="27" borderId="0" xfId="0" applyNumberFormat="1" applyFont="1" applyFill="1" applyBorder="1" applyAlignment="1" applyProtection="1">
      <protection hidden="1"/>
    </xf>
    <xf numFmtId="4" fontId="19" fillId="27" borderId="0" xfId="0" applyNumberFormat="1" applyFont="1" applyFill="1" applyBorder="1" applyAlignment="1" applyProtection="1">
      <alignment vertical="center"/>
      <protection hidden="1"/>
    </xf>
    <xf numFmtId="0" fontId="19" fillId="0" borderId="0" xfId="0" applyFont="1" applyFill="1" applyProtection="1"/>
    <xf numFmtId="37" fontId="6" fillId="20" borderId="31" xfId="0" applyNumberFormat="1" applyFont="1" applyFill="1" applyBorder="1" applyAlignment="1" applyProtection="1">
      <alignment horizontal="right"/>
      <protection hidden="1"/>
    </xf>
    <xf numFmtId="0" fontId="0" fillId="21" borderId="9" xfId="0" applyFill="1" applyBorder="1" applyAlignment="1" applyProtection="1">
      <alignment horizontal="right"/>
      <protection hidden="1"/>
    </xf>
    <xf numFmtId="0" fontId="1" fillId="3" borderId="29" xfId="0" applyFont="1" applyFill="1" applyBorder="1" applyAlignment="1" applyProtection="1">
      <alignment horizontal="right"/>
      <protection hidden="1"/>
    </xf>
    <xf numFmtId="0" fontId="181" fillId="5" borderId="0" xfId="0" applyFont="1" applyFill="1" applyProtection="1">
      <protection hidden="1"/>
    </xf>
    <xf numFmtId="39" fontId="0" fillId="28" borderId="7" xfId="0" applyNumberFormat="1" applyFill="1" applyBorder="1" applyProtection="1">
      <protection hidden="1"/>
    </xf>
    <xf numFmtId="0" fontId="0" fillId="0" borderId="0" xfId="0" applyAlignment="1" applyProtection="1">
      <alignment horizontal="center"/>
      <protection hidden="1"/>
    </xf>
    <xf numFmtId="0" fontId="0" fillId="0" borderId="0" xfId="0" applyAlignment="1" applyProtection="1">
      <protection hidden="1"/>
    </xf>
    <xf numFmtId="0" fontId="59" fillId="11" borderId="1" xfId="0" applyFont="1" applyFill="1" applyBorder="1" applyProtection="1">
      <protection hidden="1"/>
    </xf>
    <xf numFmtId="0" fontId="0" fillId="2" borderId="14" xfId="0" applyFill="1" applyBorder="1" applyProtection="1">
      <protection hidden="1"/>
    </xf>
    <xf numFmtId="0" fontId="0" fillId="2" borderId="75" xfId="0" applyFill="1" applyBorder="1" applyProtection="1">
      <protection hidden="1"/>
    </xf>
    <xf numFmtId="0" fontId="0" fillId="2" borderId="34" xfId="0" applyFill="1" applyBorder="1" applyProtection="1">
      <protection hidden="1"/>
    </xf>
    <xf numFmtId="0" fontId="3" fillId="2" borderId="1" xfId="0" applyFont="1" applyFill="1" applyBorder="1" applyProtection="1">
      <protection hidden="1"/>
    </xf>
    <xf numFmtId="0" fontId="144" fillId="21" borderId="0" xfId="0" applyFont="1" applyFill="1" applyAlignment="1" applyProtection="1">
      <alignment horizontal="center"/>
      <protection hidden="1"/>
    </xf>
    <xf numFmtId="0" fontId="11" fillId="2" borderId="3" xfId="0" applyFont="1" applyFill="1" applyBorder="1" applyProtection="1">
      <protection hidden="1"/>
    </xf>
    <xf numFmtId="0" fontId="6" fillId="0" borderId="13" xfId="0" applyFont="1" applyBorder="1" applyAlignment="1" applyProtection="1">
      <alignment horizontal="left" wrapText="1"/>
      <protection locked="0"/>
    </xf>
    <xf numFmtId="4" fontId="0" fillId="0" borderId="13" xfId="0" applyNumberFormat="1" applyBorder="1" applyAlignment="1" applyProtection="1">
      <alignment wrapText="1"/>
      <protection locked="0"/>
    </xf>
    <xf numFmtId="3" fontId="0" fillId="0" borderId="13" xfId="0" applyNumberFormat="1" applyBorder="1" applyAlignment="1" applyProtection="1">
      <alignment wrapText="1"/>
      <protection locked="0"/>
    </xf>
    <xf numFmtId="4" fontId="3" fillId="0" borderId="40" xfId="0" applyNumberFormat="1" applyFont="1" applyBorder="1" applyAlignment="1" applyProtection="1">
      <alignment horizontal="center" wrapText="1"/>
      <protection locked="0"/>
    </xf>
    <xf numFmtId="174" fontId="0" fillId="0" borderId="13" xfId="0" applyNumberFormat="1" applyBorder="1" applyAlignment="1" applyProtection="1">
      <alignment horizontal="center" wrapText="1"/>
      <protection locked="0"/>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3" fontId="80" fillId="2" borderId="0" xfId="0" applyNumberFormat="1" applyFont="1" applyFill="1" applyAlignment="1" applyProtection="1">
      <alignment horizontal="left"/>
      <protection hidden="1"/>
    </xf>
    <xf numFmtId="0" fontId="6" fillId="26" borderId="13" xfId="0" applyFont="1" applyFill="1" applyBorder="1" applyAlignment="1" applyProtection="1">
      <alignment horizontal="center" vertical="center"/>
      <protection locked="0"/>
    </xf>
    <xf numFmtId="4" fontId="1" fillId="3" borderId="25" xfId="0" applyNumberFormat="1" applyFont="1" applyFill="1" applyBorder="1" applyAlignment="1" applyProtection="1">
      <alignment horizontal="right"/>
      <protection hidden="1"/>
    </xf>
    <xf numFmtId="0" fontId="3" fillId="21" borderId="8" xfId="0" applyFont="1" applyFill="1" applyBorder="1" applyAlignment="1">
      <alignment horizontal="left" vertical="top"/>
    </xf>
    <xf numFmtId="0" fontId="3" fillId="21" borderId="20" xfId="0" applyFont="1" applyFill="1" applyBorder="1" applyAlignment="1">
      <alignment horizontal="left" vertical="top"/>
    </xf>
    <xf numFmtId="0" fontId="3" fillId="21" borderId="0" xfId="0" applyFont="1" applyFill="1" applyAlignment="1">
      <alignment horizontal="left" vertical="top"/>
    </xf>
    <xf numFmtId="0" fontId="3" fillId="21" borderId="21" xfId="0" applyFont="1" applyFill="1" applyBorder="1" applyAlignment="1">
      <alignment horizontal="left" vertical="top"/>
    </xf>
    <xf numFmtId="0" fontId="2" fillId="21" borderId="5" xfId="0" applyFont="1" applyFill="1" applyBorder="1" applyAlignment="1" applyProtection="1">
      <alignment horizontal="left"/>
      <protection hidden="1"/>
    </xf>
    <xf numFmtId="0" fontId="11" fillId="21" borderId="6" xfId="0" applyFont="1" applyFill="1" applyBorder="1" applyAlignment="1" applyProtection="1">
      <alignment horizontal="right"/>
      <protection hidden="1"/>
    </xf>
    <xf numFmtId="164" fontId="6" fillId="21" borderId="0" xfId="0" applyNumberFormat="1" applyFont="1" applyFill="1" applyBorder="1" applyAlignment="1" applyProtection="1">
      <alignment horizontal="right"/>
      <protection hidden="1"/>
    </xf>
    <xf numFmtId="3" fontId="5" fillId="21" borderId="0" xfId="0" applyNumberFormat="1" applyFont="1" applyFill="1" applyBorder="1" applyProtection="1">
      <protection hidden="1"/>
    </xf>
    <xf numFmtId="0" fontId="0" fillId="21" borderId="21" xfId="0" applyFill="1" applyBorder="1" applyProtection="1">
      <protection hidden="1"/>
    </xf>
    <xf numFmtId="0" fontId="0" fillId="21" borderId="0" xfId="0" applyFill="1" applyBorder="1" applyAlignment="1" applyProtection="1">
      <protection hidden="1"/>
    </xf>
    <xf numFmtId="39" fontId="116" fillId="3" borderId="2" xfId="0" applyNumberFormat="1" applyFont="1" applyFill="1" applyBorder="1" applyAlignment="1" applyProtection="1">
      <alignment horizontal="center" vertical="center"/>
      <protection locked="0"/>
    </xf>
    <xf numFmtId="0" fontId="1" fillId="21" borderId="13" xfId="0" applyFont="1" applyFill="1" applyBorder="1" applyAlignment="1" applyProtection="1">
      <alignment horizontal="center" vertical="center"/>
      <protection locked="0"/>
    </xf>
    <xf numFmtId="0" fontId="11" fillId="30" borderId="24" xfId="0" applyFont="1" applyFill="1" applyBorder="1" applyAlignment="1" applyProtection="1">
      <alignment horizontal="right"/>
      <protection hidden="1"/>
    </xf>
    <xf numFmtId="0" fontId="5" fillId="30" borderId="8" xfId="0" applyFont="1" applyFill="1" applyBorder="1" applyAlignment="1" applyProtection="1">
      <alignment vertical="center"/>
      <protection hidden="1"/>
    </xf>
    <xf numFmtId="0" fontId="0" fillId="30" borderId="8" xfId="0" applyFill="1" applyBorder="1" applyAlignment="1" applyProtection="1">
      <protection hidden="1"/>
    </xf>
    <xf numFmtId="0" fontId="0" fillId="30" borderId="20" xfId="0" applyFill="1" applyBorder="1" applyProtection="1">
      <protection hidden="1"/>
    </xf>
    <xf numFmtId="0" fontId="11" fillId="30" borderId="6" xfId="0" applyFont="1" applyFill="1" applyBorder="1" applyAlignment="1" applyProtection="1">
      <alignment horizontal="right"/>
      <protection hidden="1"/>
    </xf>
    <xf numFmtId="0" fontId="5" fillId="30" borderId="0" xfId="0" applyFont="1" applyFill="1" applyBorder="1" applyAlignment="1" applyProtection="1">
      <alignment vertical="center"/>
      <protection hidden="1"/>
    </xf>
    <xf numFmtId="0" fontId="3" fillId="30" borderId="0" xfId="0" applyFont="1" applyFill="1" applyBorder="1" applyAlignment="1" applyProtection="1">
      <alignment horizontal="center"/>
      <protection hidden="1"/>
    </xf>
    <xf numFmtId="0" fontId="0" fillId="30" borderId="0" xfId="0" applyFill="1" applyBorder="1" applyAlignment="1" applyProtection="1">
      <protection hidden="1"/>
    </xf>
    <xf numFmtId="0" fontId="0" fillId="30" borderId="21" xfId="0" applyFill="1" applyBorder="1" applyProtection="1">
      <protection hidden="1"/>
    </xf>
    <xf numFmtId="0" fontId="0" fillId="30" borderId="0" xfId="0" applyFill="1" applyAlignment="1" applyProtection="1">
      <protection hidden="1"/>
    </xf>
    <xf numFmtId="0" fontId="6" fillId="30" borderId="6" xfId="0" applyFont="1" applyFill="1" applyBorder="1" applyAlignment="1" applyProtection="1">
      <alignment horizontal="right"/>
      <protection hidden="1"/>
    </xf>
    <xf numFmtId="0" fontId="5" fillId="30" borderId="0" xfId="0" applyFont="1" applyFill="1" applyAlignment="1" applyProtection="1">
      <protection hidden="1"/>
    </xf>
    <xf numFmtId="0" fontId="5" fillId="30" borderId="0" xfId="0" applyFont="1" applyFill="1" applyAlignment="1" applyProtection="1">
      <alignment horizontal="right"/>
      <protection hidden="1"/>
    </xf>
    <xf numFmtId="0" fontId="167" fillId="30" borderId="21" xfId="0" applyFont="1" applyFill="1" applyBorder="1" applyProtection="1">
      <protection hidden="1"/>
    </xf>
    <xf numFmtId="0" fontId="1" fillId="30" borderId="9" xfId="0" applyFont="1" applyFill="1" applyBorder="1" applyAlignment="1" applyProtection="1">
      <alignment vertical="center"/>
      <protection hidden="1"/>
    </xf>
    <xf numFmtId="0" fontId="5" fillId="30" borderId="6" xfId="0" applyFont="1" applyFill="1" applyBorder="1" applyAlignment="1" applyProtection="1">
      <alignment horizontal="right" wrapText="1"/>
      <protection hidden="1"/>
    </xf>
    <xf numFmtId="0" fontId="5" fillId="30" borderId="0" xfId="0" applyFont="1" applyFill="1" applyAlignment="1" applyProtection="1">
      <alignment horizontal="right" wrapText="1"/>
      <protection hidden="1"/>
    </xf>
    <xf numFmtId="0" fontId="5" fillId="30" borderId="0" xfId="0" applyFont="1" applyFill="1" applyBorder="1" applyAlignment="1" applyProtection="1">
      <alignment horizontal="right"/>
      <protection hidden="1"/>
    </xf>
    <xf numFmtId="0" fontId="1" fillId="30" borderId="1" xfId="0" applyFont="1" applyFill="1" applyBorder="1" applyAlignment="1" applyProtection="1">
      <alignment vertical="center"/>
      <protection hidden="1"/>
    </xf>
    <xf numFmtId="0" fontId="5" fillId="30" borderId="25" xfId="0" applyFont="1" applyFill="1" applyBorder="1" applyAlignment="1" applyProtection="1">
      <alignment horizontal="right"/>
      <protection hidden="1"/>
    </xf>
    <xf numFmtId="0" fontId="3" fillId="30" borderId="0" xfId="0" applyFont="1" applyFill="1" applyAlignment="1" applyProtection="1">
      <alignment horizontal="right"/>
      <protection hidden="1"/>
    </xf>
    <xf numFmtId="0" fontId="1" fillId="30" borderId="0" xfId="0" applyFont="1" applyFill="1" applyBorder="1" applyAlignment="1" applyProtection="1">
      <alignment vertical="center"/>
      <protection hidden="1"/>
    </xf>
    <xf numFmtId="0" fontId="5" fillId="30" borderId="0" xfId="0" applyFont="1" applyFill="1" applyBorder="1" applyAlignment="1" applyProtection="1">
      <alignment horizontal="right" vertical="top"/>
      <protection hidden="1"/>
    </xf>
    <xf numFmtId="0" fontId="11" fillId="30" borderId="22" xfId="0" applyFont="1" applyFill="1" applyBorder="1" applyAlignment="1" applyProtection="1">
      <alignment horizontal="right"/>
      <protection hidden="1"/>
    </xf>
    <xf numFmtId="0" fontId="5" fillId="30" borderId="5" xfId="0" applyFont="1" applyFill="1" applyBorder="1" applyAlignment="1" applyProtection="1">
      <alignment vertical="center"/>
      <protection hidden="1"/>
    </xf>
    <xf numFmtId="0" fontId="0" fillId="30" borderId="5" xfId="0" applyFill="1" applyBorder="1" applyAlignment="1" applyProtection="1">
      <protection hidden="1"/>
    </xf>
    <xf numFmtId="0" fontId="167" fillId="30" borderId="23" xfId="0" applyFont="1" applyFill="1" applyBorder="1" applyProtection="1">
      <protection hidden="1"/>
    </xf>
    <xf numFmtId="0" fontId="177" fillId="21" borderId="0" xfId="0" applyFont="1" applyFill="1" applyBorder="1" applyAlignment="1" applyProtection="1">
      <alignment vertical="center"/>
      <protection hidden="1"/>
    </xf>
    <xf numFmtId="3" fontId="6" fillId="2" borderId="1" xfId="0" applyNumberFormat="1" applyFont="1" applyFill="1" applyBorder="1" applyAlignment="1" applyProtection="1">
      <alignment horizontal="right"/>
      <protection hidden="1"/>
    </xf>
    <xf numFmtId="3" fontId="8" fillId="0" borderId="0" xfId="0" applyNumberFormat="1" applyFont="1" applyAlignment="1" applyProtection="1">
      <alignment horizontal="right"/>
      <protection hidden="1"/>
    </xf>
    <xf numFmtId="0" fontId="185" fillId="2" borderId="0" xfId="0" applyFont="1" applyFill="1" applyBorder="1" applyAlignment="1" applyProtection="1">
      <alignment horizontal="left"/>
      <protection hidden="1"/>
    </xf>
    <xf numFmtId="0" fontId="185" fillId="2" borderId="0" xfId="0" applyFont="1" applyFill="1" applyBorder="1" applyAlignment="1" applyProtection="1">
      <alignment horizontal="left" vertical="top"/>
      <protection hidden="1"/>
    </xf>
    <xf numFmtId="0" fontId="45" fillId="3" borderId="0" xfId="0" applyFont="1" applyFill="1" applyBorder="1" applyAlignment="1" applyProtection="1">
      <alignment horizontal="center"/>
      <protection hidden="1"/>
    </xf>
    <xf numFmtId="0" fontId="1" fillId="3" borderId="55" xfId="0" quotePrefix="1" applyFont="1" applyFill="1" applyBorder="1" applyAlignment="1" applyProtection="1">
      <alignment horizontal="center"/>
      <protection locked="0"/>
    </xf>
    <xf numFmtId="0" fontId="11" fillId="3" borderId="3" xfId="0" applyFont="1" applyFill="1" applyBorder="1" applyAlignment="1" applyProtection="1">
      <alignment horizontal="center" vertical="center" wrapText="1"/>
      <protection locked="0"/>
    </xf>
    <xf numFmtId="0" fontId="11" fillId="3" borderId="10" xfId="0" applyFont="1" applyFill="1" applyBorder="1" applyAlignment="1" applyProtection="1">
      <alignment horizontal="center" vertical="center" wrapText="1"/>
      <protection locked="0"/>
    </xf>
    <xf numFmtId="0" fontId="4" fillId="3" borderId="13" xfId="0" quotePrefix="1" applyFont="1" applyFill="1" applyBorder="1" applyAlignment="1" applyProtection="1">
      <alignment horizontal="center"/>
      <protection locked="0"/>
    </xf>
    <xf numFmtId="0" fontId="1" fillId="3" borderId="15" xfId="0" quotePrefix="1" applyFont="1" applyFill="1" applyBorder="1" applyAlignment="1" applyProtection="1">
      <alignment horizontal="center"/>
      <protection locked="0"/>
    </xf>
    <xf numFmtId="0" fontId="1" fillId="3" borderId="1" xfId="0" applyFont="1" applyFill="1" applyBorder="1" applyAlignment="1" applyProtection="1">
      <alignment horizontal="center" vertical="top"/>
      <protection hidden="1"/>
    </xf>
    <xf numFmtId="0" fontId="1" fillId="3" borderId="3" xfId="0" applyFont="1" applyFill="1" applyBorder="1" applyAlignment="1" applyProtection="1">
      <alignment horizontal="right" vertical="top"/>
      <protection hidden="1"/>
    </xf>
    <xf numFmtId="0" fontId="4" fillId="3" borderId="12" xfId="0" applyFont="1" applyFill="1" applyBorder="1" applyAlignment="1" applyProtection="1">
      <alignment vertical="top"/>
      <protection hidden="1"/>
    </xf>
    <xf numFmtId="0" fontId="6" fillId="3" borderId="11" xfId="0" applyFont="1" applyFill="1" applyBorder="1" applyAlignment="1" applyProtection="1">
      <alignment vertical="center" wrapText="1"/>
      <protection hidden="1"/>
    </xf>
    <xf numFmtId="0" fontId="169" fillId="20" borderId="9" xfId="0" applyFont="1" applyFill="1" applyBorder="1" applyAlignment="1" applyProtection="1">
      <alignment horizontal="right" vertical="center"/>
      <protection hidden="1"/>
    </xf>
    <xf numFmtId="0" fontId="167" fillId="21" borderId="9" xfId="0" applyFont="1" applyFill="1" applyBorder="1" applyAlignment="1">
      <alignment horizontal="right" vertical="center"/>
    </xf>
    <xf numFmtId="0" fontId="11" fillId="3" borderId="26" xfId="0" applyFont="1" applyFill="1" applyBorder="1" applyAlignment="1" applyProtection="1">
      <alignment horizontal="center" vertical="top"/>
      <protection hidden="1"/>
    </xf>
    <xf numFmtId="0" fontId="5" fillId="3" borderId="26" xfId="0" applyFont="1" applyFill="1" applyBorder="1" applyAlignment="1" applyProtection="1">
      <alignment horizontal="left"/>
      <protection hidden="1"/>
    </xf>
    <xf numFmtId="0" fontId="5" fillId="3" borderId="55" xfId="0" applyFont="1" applyFill="1" applyBorder="1" applyAlignment="1" applyProtection="1">
      <alignment horizontal="left"/>
      <protection hidden="1"/>
    </xf>
    <xf numFmtId="38" fontId="6" fillId="3" borderId="115" xfId="0" applyNumberFormat="1" applyFont="1" applyFill="1" applyBorder="1" applyProtection="1">
      <protection hidden="1"/>
    </xf>
    <xf numFmtId="0" fontId="163" fillId="21" borderId="7" xfId="0" applyFont="1" applyFill="1" applyBorder="1" applyAlignment="1">
      <alignment horizontal="center" wrapText="1"/>
    </xf>
    <xf numFmtId="0" fontId="163" fillId="20" borderId="7" xfId="0" applyFont="1" applyFill="1" applyBorder="1" applyAlignment="1" applyProtection="1">
      <alignment horizontal="center" wrapText="1"/>
      <protection hidden="1"/>
    </xf>
    <xf numFmtId="166" fontId="4" fillId="22" borderId="11" xfId="0" applyNumberFormat="1" applyFont="1" applyFill="1" applyBorder="1" applyAlignment="1" applyProtection="1">
      <alignment horizontal="center" vertical="center"/>
      <protection locked="0"/>
    </xf>
    <xf numFmtId="166" fontId="4" fillId="22" borderId="52" xfId="0" applyNumberFormat="1" applyFont="1" applyFill="1" applyBorder="1" applyAlignment="1" applyProtection="1">
      <alignment horizontal="center" vertical="center"/>
      <protection locked="0"/>
    </xf>
    <xf numFmtId="38" fontId="4" fillId="2" borderId="40" xfId="0" applyNumberFormat="1" applyFont="1" applyFill="1" applyBorder="1" applyAlignment="1" applyProtection="1">
      <alignment horizontal="center"/>
      <protection hidden="1"/>
    </xf>
    <xf numFmtId="0" fontId="0" fillId="0" borderId="26" xfId="0" applyBorder="1" applyAlignment="1" applyProtection="1">
      <alignment horizontal="center"/>
      <protection hidden="1"/>
    </xf>
    <xf numFmtId="0" fontId="0" fillId="0" borderId="13" xfId="0" applyBorder="1" applyAlignment="1" applyProtection="1">
      <alignment horizontal="center" vertical="center"/>
      <protection locked="0"/>
    </xf>
    <xf numFmtId="38" fontId="4" fillId="2" borderId="29" xfId="0" applyNumberFormat="1" applyFont="1" applyFill="1" applyBorder="1" applyAlignment="1" applyProtection="1">
      <alignment horizontal="right"/>
      <protection hidden="1"/>
    </xf>
    <xf numFmtId="38" fontId="0" fillId="2" borderId="0" xfId="0" applyNumberFormat="1" applyFill="1" applyBorder="1" applyAlignment="1" applyProtection="1">
      <alignment vertical="center"/>
      <protection hidden="1"/>
    </xf>
    <xf numFmtId="38" fontId="4" fillId="2" borderId="0" xfId="0" applyNumberFormat="1" applyFont="1" applyFill="1" applyBorder="1" applyAlignment="1" applyProtection="1">
      <alignment vertical="center"/>
      <protection hidden="1"/>
    </xf>
    <xf numFmtId="38" fontId="57" fillId="17" borderId="116" xfId="0" applyNumberFormat="1" applyFont="1" applyFill="1" applyBorder="1" applyAlignment="1" applyProtection="1">
      <alignment horizontal="left"/>
      <protection hidden="1"/>
    </xf>
    <xf numFmtId="38" fontId="59" fillId="17" borderId="116" xfId="0" applyNumberFormat="1" applyFont="1" applyFill="1" applyBorder="1" applyAlignment="1" applyProtection="1">
      <alignment horizontal="left"/>
      <protection hidden="1"/>
    </xf>
    <xf numFmtId="38" fontId="16" fillId="2" borderId="116" xfId="0" applyNumberFormat="1" applyFont="1" applyFill="1" applyBorder="1" applyProtection="1">
      <protection hidden="1"/>
    </xf>
    <xf numFmtId="38" fontId="0" fillId="5" borderId="25" xfId="0" applyNumberFormat="1" applyFill="1" applyBorder="1" applyProtection="1">
      <protection hidden="1"/>
    </xf>
    <xf numFmtId="38" fontId="0" fillId="5" borderId="31" xfId="0" applyNumberFormat="1" applyFill="1" applyBorder="1" applyProtection="1">
      <protection hidden="1"/>
    </xf>
    <xf numFmtId="38" fontId="0" fillId="5" borderId="15" xfId="0" applyNumberFormat="1" applyFill="1" applyBorder="1" applyProtection="1">
      <protection hidden="1"/>
    </xf>
    <xf numFmtId="38" fontId="0" fillId="5" borderId="3" xfId="0" applyNumberFormat="1" applyFill="1" applyBorder="1" applyProtection="1">
      <protection hidden="1"/>
    </xf>
    <xf numFmtId="38" fontId="4" fillId="2" borderId="11" xfId="0" applyNumberFormat="1" applyFont="1" applyFill="1" applyBorder="1" applyAlignment="1" applyProtection="1">
      <alignment horizontal="center" vertical="center"/>
      <protection hidden="1"/>
    </xf>
    <xf numFmtId="38" fontId="1" fillId="2" borderId="0" xfId="0" applyNumberFormat="1" applyFont="1" applyFill="1" applyBorder="1" applyProtection="1">
      <protection hidden="1"/>
    </xf>
    <xf numFmtId="38" fontId="4" fillId="22" borderId="2" xfId="0" applyNumberFormat="1" applyFont="1" applyFill="1" applyBorder="1" applyAlignment="1" applyProtection="1">
      <alignment horizontal="center" vertical="center"/>
      <protection locked="0"/>
    </xf>
    <xf numFmtId="38" fontId="0" fillId="21" borderId="0" xfId="0" applyNumberFormat="1" applyFill="1" applyProtection="1">
      <protection hidden="1"/>
    </xf>
    <xf numFmtId="38" fontId="0" fillId="21" borderId="5" xfId="0" applyNumberFormat="1" applyFill="1" applyBorder="1" applyProtection="1">
      <protection hidden="1"/>
    </xf>
    <xf numFmtId="38" fontId="1" fillId="2" borderId="0" xfId="0" applyNumberFormat="1" applyFont="1" applyFill="1" applyProtection="1">
      <protection hidden="1"/>
    </xf>
    <xf numFmtId="38" fontId="4" fillId="2" borderId="13" xfId="0" applyNumberFormat="1" applyFont="1" applyFill="1" applyBorder="1" applyAlignment="1" applyProtection="1">
      <alignment horizontal="center" vertical="center"/>
      <protection hidden="1"/>
    </xf>
    <xf numFmtId="38" fontId="4" fillId="2" borderId="52" xfId="0" applyNumberFormat="1" applyFont="1" applyFill="1" applyBorder="1" applyAlignment="1" applyProtection="1">
      <alignment horizontal="center" vertical="center"/>
      <protection hidden="1"/>
    </xf>
    <xf numFmtId="38" fontId="4" fillId="22" borderId="13" xfId="0" applyNumberFormat="1" applyFont="1" applyFill="1" applyBorder="1" applyAlignment="1" applyProtection="1">
      <alignment horizontal="center"/>
      <protection locked="0"/>
    </xf>
    <xf numFmtId="0" fontId="0" fillId="22" borderId="13" xfId="0" applyFill="1" applyBorder="1" applyAlignment="1" applyProtection="1">
      <alignment horizontal="center" vertical="center"/>
      <protection locked="0"/>
    </xf>
    <xf numFmtId="0" fontId="4" fillId="2" borderId="0" xfId="0" applyNumberFormat="1" applyFont="1" applyFill="1" applyBorder="1" applyProtection="1">
      <protection hidden="1"/>
    </xf>
    <xf numFmtId="38" fontId="4" fillId="2" borderId="0" xfId="0" applyNumberFormat="1" applyFont="1" applyFill="1" applyBorder="1" applyAlignment="1" applyProtection="1">
      <alignment horizontal="left"/>
      <protection hidden="1"/>
    </xf>
    <xf numFmtId="38" fontId="0" fillId="7" borderId="118" xfId="0" applyNumberFormat="1" applyFill="1" applyBorder="1" applyProtection="1">
      <protection hidden="1"/>
    </xf>
    <xf numFmtId="38" fontId="4" fillId="2" borderId="92" xfId="0" applyNumberFormat="1" applyFont="1" applyFill="1" applyBorder="1" applyAlignment="1" applyProtection="1">
      <alignment horizontal="center"/>
      <protection hidden="1"/>
    </xf>
    <xf numFmtId="38" fontId="4" fillId="2" borderId="13" xfId="0" applyNumberFormat="1" applyFont="1" applyFill="1" applyBorder="1" applyAlignment="1" applyProtection="1">
      <alignment horizontal="right" vertical="center"/>
      <protection hidden="1"/>
    </xf>
    <xf numFmtId="38" fontId="6" fillId="22" borderId="52" xfId="0" applyNumberFormat="1" applyFont="1" applyFill="1" applyBorder="1" applyProtection="1">
      <protection locked="0"/>
    </xf>
    <xf numFmtId="38" fontId="6" fillId="22" borderId="13" xfId="0" applyNumberFormat="1" applyFont="1" applyFill="1" applyBorder="1" applyProtection="1">
      <protection locked="0"/>
    </xf>
    <xf numFmtId="38" fontId="17" fillId="3" borderId="8" xfId="0" applyNumberFormat="1" applyFont="1" applyFill="1" applyBorder="1" applyProtection="1">
      <protection hidden="1"/>
    </xf>
    <xf numFmtId="38" fontId="158" fillId="3" borderId="8" xfId="0" applyNumberFormat="1" applyFont="1" applyFill="1" applyBorder="1" applyAlignment="1" applyProtection="1">
      <alignment horizontal="left"/>
      <protection hidden="1"/>
    </xf>
    <xf numFmtId="38" fontId="0" fillId="3" borderId="8" xfId="0" applyNumberFormat="1" applyFill="1" applyBorder="1" applyProtection="1">
      <protection hidden="1"/>
    </xf>
    <xf numFmtId="0" fontId="0" fillId="0" borderId="0" xfId="0" applyAlignment="1"/>
    <xf numFmtId="0" fontId="0" fillId="0" borderId="0" xfId="0" applyAlignment="1" applyProtection="1">
      <protection hidden="1"/>
    </xf>
    <xf numFmtId="164" fontId="13" fillId="4" borderId="0" xfId="0" applyNumberFormat="1" applyFont="1" applyFill="1" applyBorder="1" applyAlignment="1" applyProtection="1">
      <alignment vertical="center"/>
      <protection locked="0" hidden="1"/>
    </xf>
    <xf numFmtId="40" fontId="84" fillId="2" borderId="0" xfId="0" applyNumberFormat="1" applyFont="1" applyFill="1" applyBorder="1" applyAlignment="1" applyProtection="1">
      <alignment horizontal="right" vertical="center"/>
      <protection hidden="1"/>
    </xf>
    <xf numFmtId="0" fontId="3" fillId="2" borderId="0" xfId="0" applyFont="1" applyFill="1" applyBorder="1" applyAlignment="1" applyProtection="1">
      <alignment horizontal="left" vertical="top"/>
      <protection hidden="1"/>
    </xf>
    <xf numFmtId="0" fontId="1" fillId="0" borderId="0" xfId="0" applyFont="1" applyAlignment="1" applyProtection="1">
      <protection hidden="1"/>
    </xf>
    <xf numFmtId="0" fontId="3" fillId="2" borderId="0" xfId="4" applyFill="1" applyBorder="1" applyAlignment="1" applyProtection="1">
      <alignment horizontal="left" vertical="center"/>
      <protection hidden="1"/>
    </xf>
    <xf numFmtId="3" fontId="7" fillId="26" borderId="119" xfId="0" applyNumberFormat="1" applyFont="1" applyFill="1" applyBorder="1" applyProtection="1">
      <protection locked="0"/>
    </xf>
    <xf numFmtId="0" fontId="10" fillId="2" borderId="17" xfId="4" applyFont="1" applyFill="1" applyBorder="1" applyAlignment="1" applyProtection="1">
      <alignment horizontal="left" vertical="center"/>
      <protection hidden="1"/>
    </xf>
    <xf numFmtId="0" fontId="72" fillId="2" borderId="17" xfId="4" applyFont="1" applyFill="1" applyBorder="1" applyAlignment="1" applyProtection="1">
      <alignment horizontal="center" vertical="center"/>
      <protection hidden="1"/>
    </xf>
    <xf numFmtId="0" fontId="4" fillId="2" borderId="17" xfId="4" applyNumberFormat="1" applyFont="1" applyFill="1" applyBorder="1" applyAlignment="1" applyProtection="1">
      <alignment horizontal="center"/>
      <protection hidden="1"/>
    </xf>
    <xf numFmtId="0" fontId="42" fillId="2" borderId="17" xfId="4" applyFont="1" applyFill="1" applyBorder="1" applyAlignment="1" applyProtection="1">
      <alignment horizontal="left" vertical="center"/>
      <protection hidden="1"/>
    </xf>
    <xf numFmtId="0" fontId="8" fillId="2" borderId="17" xfId="4" applyFont="1" applyFill="1" applyBorder="1" applyAlignment="1" applyProtection="1">
      <alignment horizontal="left" vertical="center"/>
      <protection hidden="1"/>
    </xf>
    <xf numFmtId="0" fontId="3" fillId="2" borderId="17" xfId="4" applyFill="1" applyBorder="1" applyAlignment="1" applyProtection="1">
      <alignment horizontal="left" vertical="center"/>
      <protection hidden="1"/>
    </xf>
    <xf numFmtId="49" fontId="6" fillId="2" borderId="17" xfId="4" applyNumberFormat="1" applyFont="1" applyFill="1" applyBorder="1" applyAlignment="1" applyProtection="1">
      <alignment horizontal="left" vertical="center"/>
      <protection hidden="1"/>
    </xf>
    <xf numFmtId="40" fontId="21" fillId="2" borderId="17" xfId="4" applyNumberFormat="1" applyFont="1" applyFill="1" applyBorder="1" applyAlignment="1" applyProtection="1">
      <alignment horizontal="left" vertical="center"/>
      <protection hidden="1"/>
    </xf>
    <xf numFmtId="0" fontId="3" fillId="2" borderId="9" xfId="4" applyFont="1" applyFill="1" applyBorder="1" applyAlignment="1" applyProtection="1">
      <alignment horizontal="center" vertical="center"/>
      <protection locked="0"/>
    </xf>
    <xf numFmtId="3" fontId="3" fillId="2" borderId="0" xfId="4" applyNumberFormat="1" applyFont="1" applyFill="1" applyBorder="1" applyAlignment="1" applyProtection="1">
      <alignment horizontal="right"/>
      <protection locked="0"/>
    </xf>
    <xf numFmtId="49" fontId="1" fillId="2" borderId="13" xfId="4" applyNumberFormat="1" applyFont="1" applyFill="1" applyBorder="1" applyAlignment="1" applyProtection="1">
      <alignment horizontal="center" vertical="center"/>
      <protection hidden="1"/>
    </xf>
    <xf numFmtId="0" fontId="0" fillId="2" borderId="25" xfId="0" applyFill="1" applyBorder="1" applyAlignment="1" applyProtection="1">
      <protection hidden="1"/>
    </xf>
    <xf numFmtId="0" fontId="1" fillId="2" borderId="0" xfId="0" applyFont="1" applyFill="1" applyAlignment="1" applyProtection="1">
      <alignment horizontal="left"/>
      <protection hidden="1"/>
    </xf>
    <xf numFmtId="0" fontId="0" fillId="0" borderId="0" xfId="0" applyAlignment="1">
      <alignment vertical="center"/>
    </xf>
    <xf numFmtId="0" fontId="10" fillId="22" borderId="2" xfId="0" applyFont="1" applyFill="1" applyBorder="1" applyAlignment="1" applyProtection="1">
      <alignment horizontal="center" vertical="center"/>
      <protection locked="0"/>
    </xf>
    <xf numFmtId="0" fontId="167" fillId="21" borderId="0" xfId="0" applyFont="1" applyFill="1" applyAlignment="1" applyProtection="1">
      <alignment horizontal="center"/>
      <protection hidden="1"/>
    </xf>
    <xf numFmtId="0" fontId="8" fillId="0" borderId="0" xfId="0" applyFont="1" applyAlignment="1" applyProtection="1">
      <alignment vertical="center"/>
      <protection hidden="1"/>
    </xf>
    <xf numFmtId="0" fontId="11" fillId="0" borderId="0" xfId="0" applyFont="1" applyAlignment="1" applyProtection="1">
      <alignment vertical="center"/>
      <protection hidden="1"/>
    </xf>
    <xf numFmtId="0" fontId="11" fillId="0" borderId="0" xfId="0" applyFont="1" applyAlignment="1" applyProtection="1">
      <protection hidden="1"/>
    </xf>
    <xf numFmtId="37" fontId="188" fillId="3" borderId="15" xfId="0" applyNumberFormat="1" applyFont="1" applyFill="1" applyBorder="1" applyAlignment="1" applyProtection="1">
      <alignment horizontal="right"/>
      <protection hidden="1"/>
    </xf>
    <xf numFmtId="0" fontId="5" fillId="21" borderId="0" xfId="0" applyFont="1" applyFill="1" applyProtection="1">
      <protection hidden="1"/>
    </xf>
    <xf numFmtId="0" fontId="185" fillId="21" borderId="0" xfId="0" applyFont="1" applyFill="1" applyAlignment="1" applyProtection="1">
      <alignment horizontal="left"/>
      <protection hidden="1"/>
    </xf>
    <xf numFmtId="0" fontId="0" fillId="0" borderId="0" xfId="0" applyAlignment="1">
      <alignment vertical="center"/>
    </xf>
    <xf numFmtId="0" fontId="8" fillId="0" borderId="0" xfId="0" applyFont="1" applyAlignment="1">
      <alignment vertical="center"/>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0" fontId="163" fillId="5" borderId="0" xfId="0" applyFont="1" applyFill="1" applyAlignment="1" applyProtection="1">
      <alignment horizontal="center"/>
      <protection hidden="1"/>
    </xf>
    <xf numFmtId="37" fontId="6" fillId="3" borderId="16" xfId="0" applyNumberFormat="1" applyFont="1" applyFill="1" applyBorder="1" applyAlignment="1" applyProtection="1">
      <alignment horizontal="right"/>
      <protection hidden="1"/>
    </xf>
    <xf numFmtId="37" fontId="6" fillId="0" borderId="16" xfId="0" applyNumberFormat="1" applyFont="1" applyBorder="1" applyAlignment="1" applyProtection="1">
      <alignment horizontal="right"/>
      <protection hidden="1"/>
    </xf>
    <xf numFmtId="37" fontId="6" fillId="3" borderId="15" xfId="0" applyNumberFormat="1" applyFont="1" applyFill="1" applyBorder="1" applyAlignment="1" applyProtection="1">
      <alignment horizontal="right"/>
      <protection hidden="1"/>
    </xf>
    <xf numFmtId="37" fontId="6" fillId="21" borderId="16" xfId="0" applyNumberFormat="1" applyFont="1" applyFill="1" applyBorder="1" applyAlignment="1" applyProtection="1">
      <alignment horizontal="right"/>
      <protection hidden="1"/>
    </xf>
    <xf numFmtId="164" fontId="1" fillId="2" borderId="2" xfId="0" applyNumberFormat="1" applyFont="1" applyFill="1" applyBorder="1" applyAlignment="1" applyProtection="1">
      <alignment horizontal="center" vertical="center"/>
      <protection locked="0"/>
    </xf>
    <xf numFmtId="0" fontId="167" fillId="0" borderId="0" xfId="0" applyFont="1"/>
    <xf numFmtId="40" fontId="67" fillId="2" borderId="0" xfId="0" applyNumberFormat="1" applyFont="1" applyFill="1" applyBorder="1" applyAlignment="1" applyProtection="1">
      <alignment horizontal="right" vertical="center"/>
      <protection hidden="1"/>
    </xf>
    <xf numFmtId="3" fontId="0" fillId="2" borderId="2" xfId="0" applyNumberFormat="1" applyFill="1" applyBorder="1" applyProtection="1">
      <protection locked="0"/>
    </xf>
    <xf numFmtId="0" fontId="0" fillId="21" borderId="24" xfId="0" applyFill="1" applyBorder="1" applyProtection="1">
      <protection hidden="1"/>
    </xf>
    <xf numFmtId="0" fontId="0" fillId="21" borderId="8" xfId="0" applyFill="1" applyBorder="1" applyProtection="1">
      <protection hidden="1"/>
    </xf>
    <xf numFmtId="0" fontId="0" fillId="21" borderId="20" xfId="0" applyFill="1" applyBorder="1" applyProtection="1">
      <protection hidden="1"/>
    </xf>
    <xf numFmtId="0" fontId="0" fillId="21" borderId="6" xfId="0" applyFill="1" applyBorder="1" applyAlignment="1" applyProtection="1">
      <alignment vertical="top"/>
      <protection hidden="1"/>
    </xf>
    <xf numFmtId="0" fontId="3" fillId="21" borderId="0" xfId="0" applyFont="1" applyFill="1" applyBorder="1" applyProtection="1">
      <protection hidden="1"/>
    </xf>
    <xf numFmtId="0" fontId="0" fillId="21" borderId="0" xfId="0" applyFill="1" applyBorder="1" applyAlignment="1" applyProtection="1">
      <alignment vertical="top"/>
      <protection hidden="1"/>
    </xf>
    <xf numFmtId="0" fontId="0" fillId="21" borderId="21" xfId="0" applyFill="1" applyBorder="1" applyAlignment="1" applyProtection="1">
      <alignment vertical="top"/>
      <protection hidden="1"/>
    </xf>
    <xf numFmtId="0" fontId="0" fillId="21" borderId="6" xfId="0" applyFill="1" applyBorder="1" applyProtection="1">
      <protection hidden="1"/>
    </xf>
    <xf numFmtId="0" fontId="0" fillId="21" borderId="22" xfId="0" applyFill="1" applyBorder="1" applyProtection="1">
      <protection hidden="1"/>
    </xf>
    <xf numFmtId="0" fontId="0" fillId="21" borderId="5" xfId="0" applyFill="1" applyBorder="1" applyProtection="1">
      <protection hidden="1"/>
    </xf>
    <xf numFmtId="0" fontId="0" fillId="21" borderId="23" xfId="0" applyFill="1" applyBorder="1" applyProtection="1">
      <protection hidden="1"/>
    </xf>
    <xf numFmtId="0" fontId="16" fillId="2" borderId="5" xfId="0" applyFont="1" applyFill="1" applyBorder="1" applyAlignment="1" applyProtection="1">
      <alignment horizontal="center" wrapText="1"/>
      <protection hidden="1"/>
    </xf>
    <xf numFmtId="0" fontId="16" fillId="2" borderId="0" xfId="0" applyFont="1" applyFill="1" applyBorder="1" applyAlignment="1" applyProtection="1">
      <alignment horizontal="center" wrapText="1"/>
      <protection hidden="1"/>
    </xf>
    <xf numFmtId="0" fontId="16" fillId="2" borderId="26" xfId="0" applyFont="1" applyFill="1" applyBorder="1" applyAlignment="1" applyProtection="1">
      <alignment horizontal="center" wrapText="1"/>
      <protection hidden="1"/>
    </xf>
    <xf numFmtId="0" fontId="16" fillId="2" borderId="1" xfId="0" applyFont="1" applyFill="1" applyBorder="1" applyAlignment="1" applyProtection="1">
      <alignment horizontal="center" wrapText="1"/>
      <protection hidden="1"/>
    </xf>
    <xf numFmtId="0" fontId="1" fillId="21" borderId="0" xfId="0" applyFont="1" applyFill="1" applyProtection="1">
      <protection hidden="1"/>
    </xf>
    <xf numFmtId="0" fontId="167" fillId="21" borderId="0" xfId="0" applyFont="1" applyFill="1" applyProtection="1">
      <protection hidden="1"/>
    </xf>
    <xf numFmtId="0" fontId="3" fillId="21" borderId="0" xfId="0" applyFont="1" applyFill="1" applyProtection="1">
      <protection hidden="1"/>
    </xf>
    <xf numFmtId="0" fontId="187" fillId="21" borderId="0" xfId="0" applyFont="1" applyFill="1" applyProtection="1">
      <protection hidden="1"/>
    </xf>
    <xf numFmtId="0" fontId="167" fillId="0" borderId="0" xfId="0" applyFont="1" applyProtection="1">
      <protection hidden="1"/>
    </xf>
    <xf numFmtId="0" fontId="1" fillId="21" borderId="2" xfId="0" applyFont="1" applyFill="1" applyBorder="1" applyAlignment="1" applyProtection="1">
      <alignment horizontal="center" vertical="center"/>
      <protection locked="0"/>
    </xf>
    <xf numFmtId="3" fontId="0" fillId="21" borderId="31" xfId="0" applyNumberFormat="1" applyFill="1" applyBorder="1" applyAlignment="1" applyProtection="1">
      <alignment vertical="center"/>
      <protection hidden="1"/>
    </xf>
    <xf numFmtId="0" fontId="0" fillId="21" borderId="9" xfId="0" applyFill="1" applyBorder="1" applyAlignment="1" applyProtection="1">
      <alignment vertical="center"/>
      <protection hidden="1"/>
    </xf>
    <xf numFmtId="3" fontId="167" fillId="0" borderId="0" xfId="0" applyNumberFormat="1" applyFont="1" applyFill="1"/>
    <xf numFmtId="0" fontId="13" fillId="2" borderId="0" xfId="0" applyFont="1" applyFill="1" applyBorder="1" applyAlignment="1" applyProtection="1">
      <alignment horizontal="center" wrapText="1"/>
      <protection hidden="1"/>
    </xf>
    <xf numFmtId="172" fontId="5" fillId="3" borderId="0" xfId="0" applyNumberFormat="1" applyFont="1" applyFill="1" applyBorder="1" applyProtection="1">
      <protection hidden="1"/>
    </xf>
    <xf numFmtId="0" fontId="0" fillId="0" borderId="0" xfId="0" applyAlignment="1" applyProtection="1">
      <protection hidden="1"/>
    </xf>
    <xf numFmtId="0" fontId="3" fillId="0" borderId="0" xfId="0" applyFont="1" applyFill="1" applyAlignment="1" applyProtection="1">
      <alignment horizontal="center"/>
      <protection hidden="1"/>
    </xf>
    <xf numFmtId="0" fontId="3" fillId="0" borderId="0" xfId="0" applyFont="1" applyAlignment="1" applyProtection="1">
      <alignment horizontal="center"/>
      <protection hidden="1"/>
    </xf>
    <xf numFmtId="0" fontId="3" fillId="0" borderId="1" xfId="0" applyFont="1" applyBorder="1" applyAlignment="1" applyProtection="1">
      <alignment horizontal="center"/>
      <protection hidden="1"/>
    </xf>
    <xf numFmtId="0" fontId="3" fillId="0" borderId="0" xfId="0" applyFont="1" applyAlignment="1">
      <alignment horizontal="center"/>
    </xf>
    <xf numFmtId="0" fontId="3" fillId="0" borderId="1" xfId="0" applyFont="1" applyBorder="1" applyAlignment="1">
      <alignment horizontal="center"/>
    </xf>
    <xf numFmtId="0" fontId="181" fillId="5" borderId="0" xfId="0" applyFont="1" applyFill="1" applyAlignment="1" applyProtection="1">
      <alignment horizontal="center"/>
      <protection hidden="1"/>
    </xf>
    <xf numFmtId="0" fontId="3" fillId="0" borderId="1" xfId="0" applyFont="1" applyFill="1" applyBorder="1" applyAlignment="1">
      <alignment horizontal="center"/>
    </xf>
    <xf numFmtId="0" fontId="189" fillId="3" borderId="31" xfId="0" applyFont="1" applyFill="1" applyBorder="1" applyAlignment="1" applyProtection="1">
      <alignment horizontal="right" vertical="center"/>
      <protection hidden="1"/>
    </xf>
    <xf numFmtId="0" fontId="170" fillId="5" borderId="0" xfId="0" applyFont="1" applyFill="1" applyProtection="1">
      <protection hidden="1"/>
    </xf>
    <xf numFmtId="0" fontId="1" fillId="0" borderId="2" xfId="0" applyFont="1" applyBorder="1" applyAlignment="1" applyProtection="1">
      <alignment horizontal="center"/>
      <protection locked="0"/>
    </xf>
    <xf numFmtId="0" fontId="170" fillId="5" borderId="0" xfId="0" applyFont="1" applyFill="1" applyAlignment="1" applyProtection="1">
      <alignment horizontal="center"/>
      <protection hidden="1"/>
    </xf>
    <xf numFmtId="0" fontId="1" fillId="3" borderId="7" xfId="0" applyFont="1" applyFill="1" applyBorder="1" applyAlignment="1" applyProtection="1">
      <alignment horizontal="center"/>
      <protection hidden="1"/>
    </xf>
    <xf numFmtId="1" fontId="7" fillId="31" borderId="1" xfId="0" applyNumberFormat="1" applyFont="1" applyFill="1" applyBorder="1" applyAlignment="1" applyProtection="1">
      <alignment horizontal="center"/>
      <protection hidden="1"/>
    </xf>
    <xf numFmtId="1" fontId="7" fillId="31" borderId="60" xfId="0" applyNumberFormat="1" applyFont="1" applyFill="1" applyBorder="1" applyAlignment="1" applyProtection="1">
      <alignment horizontal="center"/>
      <protection hidden="1"/>
    </xf>
    <xf numFmtId="4" fontId="6" fillId="31" borderId="2" xfId="0" applyNumberFormat="1" applyFont="1" applyFill="1" applyBorder="1" applyAlignment="1" applyProtection="1">
      <alignment horizontal="center" vertical="center"/>
      <protection hidden="1"/>
    </xf>
    <xf numFmtId="0" fontId="10" fillId="32" borderId="1" xfId="0" quotePrefix="1" applyFont="1" applyFill="1" applyBorder="1" applyProtection="1">
      <protection hidden="1"/>
    </xf>
    <xf numFmtId="0" fontId="1" fillId="32" borderId="1" xfId="0" applyFont="1" applyFill="1" applyBorder="1" applyProtection="1">
      <protection hidden="1"/>
    </xf>
    <xf numFmtId="0" fontId="7" fillId="32" borderId="1" xfId="0" applyFont="1" applyFill="1" applyBorder="1" applyAlignment="1" applyProtection="1">
      <alignment horizontal="left"/>
      <protection hidden="1"/>
    </xf>
    <xf numFmtId="0" fontId="6" fillId="22" borderId="13" xfId="0" applyFont="1" applyFill="1" applyBorder="1" applyAlignment="1" applyProtection="1">
      <alignment horizontal="center" vertical="center" wrapText="1"/>
      <protection locked="0"/>
    </xf>
    <xf numFmtId="0" fontId="0" fillId="0" borderId="0" xfId="0" applyAlignment="1">
      <alignment horizontal="center"/>
    </xf>
    <xf numFmtId="0" fontId="0" fillId="0" borderId="7" xfId="0" applyBorder="1" applyAlignment="1">
      <alignment horizontal="center" wrapText="1"/>
    </xf>
    <xf numFmtId="0" fontId="17" fillId="0" borderId="7" xfId="0" applyFont="1" applyBorder="1" applyAlignment="1">
      <alignment horizontal="center" wrapText="1"/>
    </xf>
    <xf numFmtId="0" fontId="0" fillId="0" borderId="7" xfId="0" applyBorder="1" applyAlignment="1">
      <alignment horizontal="center"/>
    </xf>
    <xf numFmtId="4" fontId="35" fillId="24" borderId="0" xfId="0" applyNumberFormat="1" applyFont="1" applyFill="1" applyBorder="1" applyAlignment="1" applyProtection="1">
      <protection hidden="1"/>
    </xf>
    <xf numFmtId="4" fontId="35" fillId="24" borderId="0" xfId="0" applyNumberFormat="1" applyFont="1" applyFill="1" applyBorder="1" applyProtection="1">
      <protection hidden="1"/>
    </xf>
    <xf numFmtId="4" fontId="8" fillId="24" borderId="0" xfId="0" applyNumberFormat="1" applyFont="1" applyFill="1" applyBorder="1" applyAlignment="1" applyProtection="1">
      <alignment horizontal="left" vertical="center" wrapText="1"/>
      <protection hidden="1"/>
    </xf>
    <xf numFmtId="4" fontId="8" fillId="24" borderId="0" xfId="0" applyNumberFormat="1" applyFont="1" applyFill="1" applyBorder="1" applyProtection="1">
      <protection hidden="1"/>
    </xf>
    <xf numFmtId="4" fontId="8" fillId="24" borderId="0" xfId="0" applyNumberFormat="1" applyFont="1" applyFill="1" applyBorder="1" applyAlignment="1" applyProtection="1">
      <alignment vertical="center"/>
      <protection hidden="1"/>
    </xf>
    <xf numFmtId="0" fontId="6" fillId="24" borderId="1" xfId="0" applyFont="1" applyFill="1" applyBorder="1" applyProtection="1">
      <protection hidden="1"/>
    </xf>
    <xf numFmtId="4" fontId="8" fillId="24" borderId="0" xfId="0" applyNumberFormat="1" applyFont="1" applyFill="1" applyAlignment="1" applyProtection="1">
      <alignment horizontal="left"/>
      <protection hidden="1"/>
    </xf>
    <xf numFmtId="4" fontId="8" fillId="24" borderId="0" xfId="0" applyNumberFormat="1" applyFont="1" applyFill="1" applyBorder="1" applyAlignment="1" applyProtection="1">
      <alignment wrapText="1"/>
      <protection hidden="1"/>
    </xf>
    <xf numFmtId="0" fontId="8" fillId="21" borderId="3" xfId="0" applyFont="1" applyFill="1" applyBorder="1" applyProtection="1">
      <protection hidden="1"/>
    </xf>
    <xf numFmtId="0" fontId="8" fillId="21" borderId="25" xfId="0" applyFont="1" applyFill="1" applyBorder="1" applyProtection="1">
      <protection hidden="1"/>
    </xf>
    <xf numFmtId="4" fontId="8" fillId="21" borderId="3" xfId="0" applyNumberFormat="1" applyFont="1" applyFill="1" applyBorder="1" applyProtection="1">
      <protection hidden="1"/>
    </xf>
    <xf numFmtId="1" fontId="8" fillId="21" borderId="0" xfId="0" applyNumberFormat="1" applyFont="1" applyFill="1" applyBorder="1" applyProtection="1">
      <protection hidden="1"/>
    </xf>
    <xf numFmtId="0" fontId="4" fillId="21" borderId="0" xfId="0" applyFont="1" applyFill="1" applyBorder="1" applyAlignment="1" applyProtection="1">
      <alignment horizontal="right"/>
      <protection hidden="1"/>
    </xf>
    <xf numFmtId="0" fontId="0" fillId="22" borderId="0" xfId="0" applyFill="1" applyBorder="1"/>
    <xf numFmtId="0" fontId="17" fillId="22" borderId="0" xfId="0" applyFont="1" applyFill="1" applyBorder="1" applyAlignment="1">
      <alignment horizontal="left"/>
    </xf>
    <xf numFmtId="0" fontId="5" fillId="22" borderId="0" xfId="0" applyFont="1" applyFill="1" applyBorder="1"/>
    <xf numFmtId="1" fontId="12" fillId="22" borderId="0" xfId="0" applyNumberFormat="1" applyFont="1" applyFill="1" applyBorder="1" applyAlignment="1" applyProtection="1">
      <alignment horizontal="center" vertical="center"/>
      <protection hidden="1"/>
    </xf>
    <xf numFmtId="1" fontId="12" fillId="22" borderId="0" xfId="0" applyNumberFormat="1" applyFont="1" applyFill="1" applyBorder="1" applyAlignment="1" applyProtection="1">
      <alignment horizontal="right" vertical="center"/>
      <protection hidden="1"/>
    </xf>
    <xf numFmtId="0" fontId="8" fillId="3" borderId="0" xfId="0" applyFont="1" applyFill="1" applyAlignment="1" applyProtection="1">
      <protection hidden="1"/>
    </xf>
    <xf numFmtId="0" fontId="1" fillId="8" borderId="7" xfId="0" applyFont="1" applyFill="1" applyBorder="1" applyProtection="1">
      <protection hidden="1"/>
    </xf>
    <xf numFmtId="0" fontId="167" fillId="0" borderId="0" xfId="0" applyFont="1" applyAlignment="1">
      <alignment horizontal="center"/>
    </xf>
    <xf numFmtId="0" fontId="5" fillId="21" borderId="0" xfId="0" applyFont="1" applyFill="1" applyBorder="1" applyAlignment="1">
      <alignment horizontal="left" vertical="top"/>
    </xf>
    <xf numFmtId="0" fontId="3" fillId="21" borderId="3" xfId="0" applyFont="1" applyFill="1" applyBorder="1" applyAlignment="1">
      <alignment horizontal="center"/>
    </xf>
    <xf numFmtId="0" fontId="3" fillId="21" borderId="25" xfId="0" applyFont="1" applyFill="1" applyBorder="1" applyAlignment="1">
      <alignment horizontal="center"/>
    </xf>
    <xf numFmtId="4" fontId="17" fillId="20" borderId="25" xfId="0" applyNumberFormat="1" applyFont="1" applyFill="1" applyBorder="1" applyAlignment="1" applyProtection="1">
      <alignment horizontal="center" vertical="center"/>
      <protection hidden="1"/>
    </xf>
    <xf numFmtId="0" fontId="17" fillId="21" borderId="3" xfId="0" applyFont="1" applyFill="1" applyBorder="1" applyAlignment="1"/>
    <xf numFmtId="0" fontId="17" fillId="21" borderId="0" xfId="0" applyFont="1" applyFill="1" applyBorder="1" applyAlignment="1"/>
    <xf numFmtId="0" fontId="3" fillId="25" borderId="25" xfId="0" applyFont="1" applyFill="1" applyBorder="1" applyAlignment="1" applyProtection="1">
      <alignment horizontal="center" wrapText="1"/>
      <protection hidden="1"/>
    </xf>
    <xf numFmtId="37" fontId="5" fillId="28" borderId="12" xfId="0" applyNumberFormat="1" applyFont="1" applyFill="1" applyBorder="1" applyAlignment="1" applyProtection="1">
      <alignment horizontal="right"/>
      <protection hidden="1"/>
    </xf>
    <xf numFmtId="0" fontId="3" fillId="25" borderId="3" xfId="0" applyFont="1" applyFill="1" applyBorder="1" applyAlignment="1" applyProtection="1">
      <alignment horizontal="center" wrapText="1"/>
      <protection hidden="1"/>
    </xf>
    <xf numFmtId="0" fontId="3" fillId="25" borderId="0" xfId="0" applyFont="1" applyFill="1" applyBorder="1" applyAlignment="1" applyProtection="1">
      <alignment horizontal="center" wrapText="1"/>
      <protection hidden="1"/>
    </xf>
    <xf numFmtId="0" fontId="0" fillId="25" borderId="25" xfId="0" applyFill="1" applyBorder="1" applyAlignment="1" applyProtection="1">
      <alignment horizontal="center" wrapText="1"/>
      <protection hidden="1"/>
    </xf>
    <xf numFmtId="37" fontId="6" fillId="34" borderId="12" xfId="0" applyNumberFormat="1" applyFont="1" applyFill="1" applyBorder="1" applyAlignment="1" applyProtection="1">
      <alignment horizontal="right"/>
      <protection hidden="1"/>
    </xf>
    <xf numFmtId="0" fontId="10" fillId="34" borderId="1" xfId="0" quotePrefix="1" applyFont="1" applyFill="1" applyBorder="1" applyProtection="1">
      <protection hidden="1"/>
    </xf>
    <xf numFmtId="0" fontId="7" fillId="34" borderId="1" xfId="0" quotePrefix="1" applyFont="1" applyFill="1" applyBorder="1" applyProtection="1">
      <protection hidden="1"/>
    </xf>
    <xf numFmtId="0" fontId="6" fillId="34" borderId="1" xfId="0" applyFont="1" applyFill="1" applyBorder="1" applyProtection="1">
      <protection hidden="1"/>
    </xf>
    <xf numFmtId="0" fontId="0" fillId="34" borderId="1" xfId="0" applyFill="1" applyBorder="1" applyProtection="1">
      <protection hidden="1"/>
    </xf>
    <xf numFmtId="4" fontId="0" fillId="34" borderId="1" xfId="0" applyNumberFormat="1" applyFill="1" applyBorder="1" applyProtection="1">
      <protection hidden="1"/>
    </xf>
    <xf numFmtId="39" fontId="3" fillId="34" borderId="1" xfId="0" applyNumberFormat="1" applyFont="1" applyFill="1" applyBorder="1" applyProtection="1">
      <protection hidden="1"/>
    </xf>
    <xf numFmtId="0" fontId="6" fillId="34" borderId="13" xfId="0" applyFont="1" applyFill="1" applyBorder="1" applyAlignment="1" applyProtection="1">
      <alignment horizontal="center" vertical="center"/>
      <protection hidden="1"/>
    </xf>
    <xf numFmtId="0" fontId="0" fillId="0" borderId="1" xfId="0" applyBorder="1" applyAlignment="1" applyProtection="1">
      <alignment horizontal="center"/>
      <protection hidden="1"/>
    </xf>
    <xf numFmtId="0" fontId="7" fillId="20" borderId="31" xfId="0" applyFont="1" applyFill="1" applyBorder="1" applyAlignment="1" applyProtection="1">
      <alignment horizontal="center"/>
      <protection hidden="1"/>
    </xf>
    <xf numFmtId="0" fontId="7" fillId="20" borderId="3" xfId="0" applyFont="1" applyFill="1" applyBorder="1" applyAlignment="1" applyProtection="1">
      <alignment horizontal="center"/>
      <protection hidden="1"/>
    </xf>
    <xf numFmtId="39" fontId="3" fillId="3" borderId="0" xfId="0" applyNumberFormat="1" applyFont="1" applyFill="1" applyBorder="1" applyProtection="1">
      <protection hidden="1"/>
    </xf>
    <xf numFmtId="0" fontId="185" fillId="3" borderId="0" xfId="0" applyFont="1" applyFill="1" applyBorder="1" applyAlignment="1" applyProtection="1">
      <alignment horizontal="left"/>
      <protection hidden="1"/>
    </xf>
    <xf numFmtId="178" fontId="0" fillId="2" borderId="1" xfId="0" applyNumberFormat="1" applyFill="1" applyBorder="1" applyProtection="1">
      <protection locked="0"/>
    </xf>
    <xf numFmtId="37" fontId="4" fillId="2" borderId="1" xfId="0" applyNumberFormat="1" applyFont="1" applyFill="1" applyBorder="1" applyProtection="1">
      <protection locked="0"/>
    </xf>
    <xf numFmtId="37" fontId="5" fillId="32" borderId="1" xfId="0" applyNumberFormat="1" applyFont="1" applyFill="1" applyBorder="1" applyAlignment="1" applyProtection="1">
      <alignment horizontal="right"/>
      <protection hidden="1"/>
    </xf>
    <xf numFmtId="37" fontId="3" fillId="2" borderId="1" xfId="0" applyNumberFormat="1" applyFont="1" applyFill="1" applyBorder="1" applyAlignment="1" applyProtection="1">
      <protection locked="0"/>
    </xf>
    <xf numFmtId="1" fontId="1" fillId="3" borderId="0" xfId="0" applyNumberFormat="1" applyFont="1" applyFill="1" applyBorder="1" applyAlignment="1" applyProtection="1">
      <alignment horizontal="right"/>
      <protection hidden="1"/>
    </xf>
    <xf numFmtId="0" fontId="0" fillId="0" borderId="0" xfId="0" applyAlignment="1">
      <alignment horizontal="center"/>
    </xf>
    <xf numFmtId="177" fontId="34" fillId="0" borderId="0" xfId="0" applyNumberFormat="1" applyFont="1" applyFill="1" applyBorder="1" applyProtection="1">
      <protection hidden="1"/>
    </xf>
    <xf numFmtId="3" fontId="1" fillId="0" borderId="31" xfId="0" applyNumberFormat="1" applyFont="1" applyBorder="1" applyAlignment="1" applyProtection="1">
      <alignment horizontal="center"/>
      <protection hidden="1"/>
    </xf>
    <xf numFmtId="3" fontId="1" fillId="0" borderId="3" xfId="0" applyNumberFormat="1" applyFont="1" applyBorder="1" applyAlignment="1" applyProtection="1">
      <alignment horizontal="center"/>
      <protection hidden="1"/>
    </xf>
    <xf numFmtId="4" fontId="34" fillId="0" borderId="0" xfId="0" quotePrefix="1" applyNumberFormat="1" applyFont="1" applyFill="1" applyBorder="1" applyAlignment="1" applyProtection="1">
      <alignment horizontal="center"/>
      <protection hidden="1"/>
    </xf>
    <xf numFmtId="4" fontId="3" fillId="0" borderId="25" xfId="0" applyNumberFormat="1" applyFont="1" applyBorder="1" applyProtection="1">
      <protection hidden="1"/>
    </xf>
    <xf numFmtId="0" fontId="1" fillId="22" borderId="13" xfId="0" applyFont="1" applyFill="1" applyBorder="1" applyAlignment="1" applyProtection="1">
      <alignment horizontal="center"/>
      <protection locked="0"/>
    </xf>
    <xf numFmtId="3" fontId="19" fillId="2" borderId="0" xfId="0" applyNumberFormat="1" applyFont="1" applyFill="1" applyBorder="1" applyAlignment="1" applyProtection="1">
      <alignment horizontal="right"/>
      <protection hidden="1"/>
    </xf>
    <xf numFmtId="0" fontId="1" fillId="2" borderId="6" xfId="0" quotePrefix="1" applyFont="1" applyFill="1" applyBorder="1" applyAlignment="1" applyProtection="1">
      <alignment horizontal="right"/>
      <protection hidden="1"/>
    </xf>
    <xf numFmtId="3" fontId="3" fillId="2" borderId="1" xfId="0" applyNumberFormat="1" applyFont="1" applyFill="1" applyBorder="1" applyProtection="1">
      <protection hidden="1"/>
    </xf>
    <xf numFmtId="0" fontId="167" fillId="2" borderId="0" xfId="0" applyFont="1" applyFill="1" applyBorder="1" applyProtection="1">
      <protection hidden="1"/>
    </xf>
    <xf numFmtId="4" fontId="167" fillId="2" borderId="0" xfId="0" applyNumberFormat="1" applyFont="1" applyFill="1" applyBorder="1" applyProtection="1">
      <protection hidden="1"/>
    </xf>
    <xf numFmtId="3" fontId="167" fillId="2" borderId="0" xfId="0" applyNumberFormat="1" applyFont="1" applyFill="1" applyBorder="1" applyProtection="1">
      <protection hidden="1"/>
    </xf>
    <xf numFmtId="1" fontId="167" fillId="2" borderId="0" xfId="0" applyNumberFormat="1" applyFont="1" applyFill="1" applyBorder="1" applyProtection="1">
      <protection hidden="1"/>
    </xf>
    <xf numFmtId="0" fontId="192" fillId="2" borderId="0" xfId="0" applyFont="1" applyFill="1" applyBorder="1" applyProtection="1">
      <protection hidden="1"/>
    </xf>
    <xf numFmtId="177" fontId="0" fillId="0" borderId="0" xfId="0" applyNumberFormat="1"/>
    <xf numFmtId="3" fontId="1" fillId="2" borderId="0" xfId="0" quotePrefix="1" applyNumberFormat="1" applyFont="1" applyFill="1" applyBorder="1" applyAlignment="1" applyProtection="1">
      <alignment horizontal="right"/>
      <protection hidden="1"/>
    </xf>
    <xf numFmtId="3" fontId="193" fillId="2" borderId="0" xfId="0" applyNumberFormat="1" applyFont="1" applyFill="1" applyBorder="1" applyProtection="1">
      <protection hidden="1"/>
    </xf>
    <xf numFmtId="0" fontId="192" fillId="2" borderId="0" xfId="0" applyFont="1" applyFill="1" applyBorder="1" applyAlignment="1" applyProtection="1">
      <alignment horizontal="center"/>
      <protection hidden="1"/>
    </xf>
    <xf numFmtId="1" fontId="23" fillId="2" borderId="0" xfId="0" applyNumberFormat="1" applyFont="1" applyFill="1" applyBorder="1" applyAlignment="1" applyProtection="1">
      <alignment horizontal="right"/>
      <protection hidden="1"/>
    </xf>
    <xf numFmtId="179" fontId="31" fillId="2" borderId="0" xfId="0" applyNumberFormat="1" applyFont="1" applyFill="1" applyBorder="1" applyAlignment="1" applyProtection="1">
      <alignment horizontal="center"/>
      <protection hidden="1"/>
    </xf>
    <xf numFmtId="0" fontId="167" fillId="2" borderId="5" xfId="0" applyFont="1" applyFill="1" applyBorder="1" applyProtection="1">
      <protection hidden="1"/>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0" fontId="4" fillId="33" borderId="11" xfId="0" applyFont="1" applyFill="1" applyBorder="1" applyAlignment="1" applyProtection="1">
      <alignment horizontal="center" vertical="center"/>
      <protection hidden="1"/>
    </xf>
    <xf numFmtId="0" fontId="4" fillId="33" borderId="13" xfId="0" applyFont="1" applyFill="1" applyBorder="1" applyAlignment="1" applyProtection="1">
      <alignment horizontal="center" vertical="center"/>
      <protection locked="0"/>
    </xf>
    <xf numFmtId="0" fontId="169" fillId="0" borderId="0" xfId="0" applyFont="1" applyAlignment="1" applyProtection="1">
      <alignment horizontal="right"/>
      <protection hidden="1"/>
    </xf>
    <xf numFmtId="37" fontId="5" fillId="3" borderId="9" xfId="0" applyNumberFormat="1" applyFont="1" applyFill="1" applyBorder="1" applyAlignment="1" applyProtection="1">
      <alignment horizontal="right"/>
      <protection locked="0"/>
    </xf>
    <xf numFmtId="0" fontId="6" fillId="3" borderId="2" xfId="0" applyFont="1" applyFill="1" applyBorder="1" applyAlignment="1" applyProtection="1">
      <alignment horizontal="center" vertical="center"/>
      <protection hidden="1"/>
    </xf>
    <xf numFmtId="4" fontId="180" fillId="3" borderId="3" xfId="0" applyNumberFormat="1" applyFont="1" applyFill="1" applyBorder="1" applyProtection="1">
      <protection hidden="1"/>
    </xf>
    <xf numFmtId="3" fontId="7" fillId="34" borderId="10" xfId="0" applyNumberFormat="1" applyFont="1" applyFill="1" applyBorder="1" applyProtection="1">
      <protection hidden="1"/>
    </xf>
    <xf numFmtId="4" fontId="8" fillId="0" borderId="0" xfId="0" applyNumberFormat="1" applyFont="1" applyAlignment="1" applyProtection="1">
      <alignment horizontal="center"/>
      <protection hidden="1"/>
    </xf>
    <xf numFmtId="3" fontId="197" fillId="5" borderId="0" xfId="0" applyNumberFormat="1" applyFont="1" applyFill="1" applyProtection="1">
      <protection hidden="1"/>
    </xf>
    <xf numFmtId="0" fontId="197" fillId="5" borderId="0" xfId="0" applyFont="1" applyFill="1" applyProtection="1">
      <protection hidden="1"/>
    </xf>
    <xf numFmtId="37" fontId="180" fillId="3" borderId="31" xfId="0" applyNumberFormat="1" applyFont="1" applyFill="1" applyBorder="1" applyAlignment="1" applyProtection="1">
      <alignment horizontal="right"/>
      <protection hidden="1"/>
    </xf>
    <xf numFmtId="37" fontId="197" fillId="5" borderId="0" xfId="0" applyNumberFormat="1" applyFont="1" applyFill="1" applyProtection="1">
      <protection hidden="1"/>
    </xf>
    <xf numFmtId="4" fontId="169" fillId="0" borderId="0" xfId="0" applyNumberFormat="1" applyFont="1" applyAlignment="1" applyProtection="1">
      <alignment horizontal="left"/>
      <protection hidden="1"/>
    </xf>
    <xf numFmtId="168" fontId="8" fillId="3" borderId="0" xfId="0" applyNumberFormat="1" applyFont="1" applyFill="1" applyBorder="1" applyAlignment="1" applyProtection="1">
      <alignment horizontal="center"/>
      <protection hidden="1"/>
    </xf>
    <xf numFmtId="3" fontId="169" fillId="0" borderId="0" xfId="0" applyNumberFormat="1" applyFont="1" applyAlignment="1" applyProtection="1">
      <alignment horizontal="right"/>
      <protection hidden="1"/>
    </xf>
    <xf numFmtId="3" fontId="169" fillId="0" borderId="0" xfId="0" applyNumberFormat="1" applyFont="1" applyBorder="1" applyAlignment="1" applyProtection="1">
      <alignment horizontal="right"/>
      <protection hidden="1"/>
    </xf>
    <xf numFmtId="4" fontId="169" fillId="0" borderId="0" xfId="0" applyNumberFormat="1" applyFont="1" applyAlignment="1" applyProtection="1">
      <alignment horizontal="right"/>
      <protection hidden="1"/>
    </xf>
    <xf numFmtId="37" fontId="169" fillId="3" borderId="31" xfId="0" applyNumberFormat="1" applyFont="1" applyFill="1" applyBorder="1" applyAlignment="1" applyProtection="1">
      <alignment horizontal="right"/>
      <protection hidden="1"/>
    </xf>
    <xf numFmtId="37" fontId="169" fillId="3" borderId="3" xfId="0" applyNumberFormat="1" applyFont="1" applyFill="1" applyBorder="1" applyAlignment="1" applyProtection="1">
      <alignment horizontal="right"/>
      <protection hidden="1"/>
    </xf>
    <xf numFmtId="0" fontId="16" fillId="2" borderId="2" xfId="0" applyFont="1" applyFill="1" applyBorder="1" applyAlignment="1" applyProtection="1">
      <alignment horizontal="center" vertical="center"/>
      <protection locked="0"/>
    </xf>
    <xf numFmtId="0" fontId="1" fillId="2" borderId="2" xfId="0" applyFont="1" applyFill="1" applyBorder="1" applyAlignment="1" applyProtection="1">
      <alignment horizontal="center" vertical="center"/>
      <protection locked="0"/>
    </xf>
    <xf numFmtId="3" fontId="169" fillId="0" borderId="0" xfId="0" applyNumberFormat="1" applyFont="1" applyProtection="1">
      <protection hidden="1"/>
    </xf>
    <xf numFmtId="3" fontId="169" fillId="0" borderId="0" xfId="0" applyNumberFormat="1" applyFont="1" applyFill="1" applyProtection="1">
      <protection hidden="1"/>
    </xf>
    <xf numFmtId="39" fontId="169" fillId="3" borderId="3" xfId="0" applyNumberFormat="1" applyFont="1" applyFill="1" applyBorder="1" applyAlignment="1" applyProtection="1">
      <alignment horizontal="right"/>
      <protection hidden="1"/>
    </xf>
    <xf numFmtId="0" fontId="177" fillId="5" borderId="0" xfId="0" applyFont="1" applyFill="1" applyProtection="1">
      <protection hidden="1"/>
    </xf>
    <xf numFmtId="3" fontId="180" fillId="3" borderId="0" xfId="0" applyNumberFormat="1" applyFont="1" applyFill="1" applyBorder="1" applyAlignment="1" applyProtection="1">
      <alignment horizontal="right"/>
      <protection hidden="1"/>
    </xf>
    <xf numFmtId="0" fontId="192" fillId="3" borderId="3" xfId="0" applyFont="1" applyFill="1" applyBorder="1" applyAlignment="1" applyProtection="1">
      <alignment horizontal="right"/>
      <protection hidden="1"/>
    </xf>
    <xf numFmtId="39" fontId="169" fillId="3" borderId="0" xfId="0" applyNumberFormat="1" applyFont="1" applyFill="1" applyBorder="1" applyAlignment="1" applyProtection="1">
      <alignment horizontal="right"/>
      <protection hidden="1"/>
    </xf>
    <xf numFmtId="4" fontId="1" fillId="3" borderId="0" xfId="0" applyNumberFormat="1" applyFont="1" applyFill="1" applyBorder="1" applyAlignment="1" applyProtection="1">
      <alignment horizontal="right"/>
      <protection hidden="1"/>
    </xf>
    <xf numFmtId="37" fontId="6" fillId="3" borderId="0" xfId="0" applyNumberFormat="1" applyFont="1" applyFill="1" applyBorder="1" applyAlignment="1" applyProtection="1">
      <alignment horizontal="left"/>
      <protection hidden="1"/>
    </xf>
    <xf numFmtId="4" fontId="6" fillId="3" borderId="0" xfId="0" applyNumberFormat="1" applyFont="1" applyFill="1" applyBorder="1" applyAlignment="1" applyProtection="1">
      <alignment horizontal="left"/>
      <protection hidden="1"/>
    </xf>
    <xf numFmtId="0" fontId="1" fillId="5" borderId="0" xfId="0" applyFont="1" applyFill="1" applyAlignment="1" applyProtection="1">
      <alignment horizontal="center"/>
      <protection hidden="1"/>
    </xf>
    <xf numFmtId="0" fontId="199" fillId="5" borderId="0" xfId="0" applyFont="1" applyFill="1" applyProtection="1">
      <protection hidden="1"/>
    </xf>
    <xf numFmtId="0" fontId="200" fillId="5" borderId="0" xfId="0" applyFont="1" applyFill="1" applyProtection="1">
      <protection hidden="1"/>
    </xf>
    <xf numFmtId="0" fontId="5" fillId="2" borderId="0" xfId="0" applyFont="1" applyFill="1" applyBorder="1" applyAlignment="1" applyProtection="1">
      <protection hidden="1"/>
    </xf>
    <xf numFmtId="0" fontId="5" fillId="2" borderId="3" xfId="0" applyFont="1" applyFill="1" applyBorder="1" applyAlignment="1" applyProtection="1">
      <protection hidden="1"/>
    </xf>
    <xf numFmtId="38" fontId="166" fillId="7" borderId="13" xfId="0" applyNumberFormat="1" applyFont="1" applyFill="1" applyBorder="1" applyProtection="1">
      <protection hidden="1"/>
    </xf>
    <xf numFmtId="38" fontId="166" fillId="7" borderId="40" xfId="0" applyNumberFormat="1" applyFont="1" applyFill="1" applyBorder="1" applyProtection="1">
      <protection hidden="1"/>
    </xf>
    <xf numFmtId="3" fontId="6" fillId="2" borderId="2" xfId="0" applyNumberFormat="1" applyFont="1" applyFill="1" applyBorder="1" applyAlignment="1" applyProtection="1">
      <alignment horizontal="right"/>
      <protection locked="0"/>
    </xf>
    <xf numFmtId="38" fontId="6" fillId="33" borderId="13" xfId="0" applyNumberFormat="1" applyFont="1" applyFill="1" applyBorder="1" applyProtection="1">
      <protection hidden="1"/>
    </xf>
    <xf numFmtId="38" fontId="0" fillId="33" borderId="40" xfId="0" applyNumberFormat="1" applyFill="1" applyBorder="1" applyProtection="1">
      <protection hidden="1"/>
    </xf>
    <xf numFmtId="38" fontId="6" fillId="33" borderId="118" xfId="0" applyNumberFormat="1" applyFont="1" applyFill="1" applyBorder="1" applyProtection="1">
      <protection hidden="1"/>
    </xf>
    <xf numFmtId="4" fontId="1" fillId="3" borderId="0" xfId="0" applyNumberFormat="1" applyFont="1" applyFill="1" applyBorder="1" applyAlignment="1" applyProtection="1">
      <alignment horizontal="center"/>
      <protection hidden="1"/>
    </xf>
    <xf numFmtId="4" fontId="8" fillId="7" borderId="25" xfId="0" applyNumberFormat="1" applyFont="1" applyFill="1" applyBorder="1" applyProtection="1">
      <protection hidden="1"/>
    </xf>
    <xf numFmtId="0" fontId="3" fillId="5" borderId="0" xfId="0" applyFont="1" applyFill="1"/>
    <xf numFmtId="0" fontId="2" fillId="2" borderId="26" xfId="0" applyFont="1" applyFill="1" applyBorder="1" applyAlignment="1" applyProtection="1">
      <alignment vertical="center"/>
      <protection hidden="1"/>
    </xf>
    <xf numFmtId="0" fontId="1" fillId="2" borderId="5" xfId="0" applyFont="1" applyFill="1" applyBorder="1" applyAlignment="1" applyProtection="1">
      <alignment vertical="center"/>
      <protection hidden="1"/>
    </xf>
    <xf numFmtId="0" fontId="1" fillId="2" borderId="73" xfId="0" applyFont="1" applyFill="1" applyBorder="1" applyAlignment="1" applyProtection="1">
      <alignment horizontal="right" vertical="center"/>
      <protection hidden="1"/>
    </xf>
    <xf numFmtId="0" fontId="1" fillId="2" borderId="0" xfId="0" applyFont="1" applyFill="1" applyAlignment="1" applyProtection="1">
      <alignment horizontal="right" vertical="center"/>
      <protection hidden="1"/>
    </xf>
    <xf numFmtId="0" fontId="1" fillId="2" borderId="0" xfId="0" applyFont="1" applyFill="1" applyAlignment="1" applyProtection="1">
      <protection hidden="1"/>
    </xf>
    <xf numFmtId="0" fontId="0" fillId="2" borderId="5" xfId="0" applyFill="1" applyBorder="1" applyAlignment="1" applyProtection="1">
      <alignment vertical="top"/>
      <protection hidden="1"/>
    </xf>
    <xf numFmtId="0" fontId="3" fillId="2" borderId="0" xfId="0" applyFont="1" applyFill="1" applyBorder="1" applyAlignment="1" applyProtection="1">
      <protection hidden="1"/>
    </xf>
    <xf numFmtId="0" fontId="187" fillId="21" borderId="0" xfId="0" applyFont="1" applyFill="1" applyBorder="1" applyProtection="1">
      <protection hidden="1"/>
    </xf>
    <xf numFmtId="0" fontId="3" fillId="0" borderId="0" xfId="0" applyFont="1"/>
    <xf numFmtId="0" fontId="0" fillId="21" borderId="74" xfId="0" applyFill="1" applyBorder="1" applyProtection="1">
      <protection hidden="1"/>
    </xf>
    <xf numFmtId="0" fontId="0" fillId="21" borderId="17" xfId="0" applyFill="1" applyBorder="1" applyProtection="1">
      <protection hidden="1"/>
    </xf>
    <xf numFmtId="0" fontId="0" fillId="21" borderId="33" xfId="0" applyFill="1" applyBorder="1" applyProtection="1">
      <protection hidden="1"/>
    </xf>
    <xf numFmtId="0" fontId="0" fillId="21" borderId="113" xfId="0" applyFill="1" applyBorder="1" applyProtection="1">
      <protection hidden="1"/>
    </xf>
    <xf numFmtId="0" fontId="0" fillId="21" borderId="79" xfId="0" applyFill="1" applyBorder="1" applyProtection="1">
      <protection hidden="1"/>
    </xf>
    <xf numFmtId="0" fontId="201" fillId="21" borderId="0" xfId="0" applyFont="1" applyFill="1" applyBorder="1" applyProtection="1">
      <protection hidden="1"/>
    </xf>
    <xf numFmtId="0" fontId="201" fillId="21" borderId="0" xfId="0" applyFont="1" applyFill="1" applyBorder="1" applyAlignment="1" applyProtection="1">
      <alignment horizontal="center" vertical="center"/>
      <protection hidden="1"/>
    </xf>
    <xf numFmtId="0" fontId="0" fillId="21" borderId="0" xfId="0" applyFill="1" applyBorder="1" applyAlignment="1" applyProtection="1">
      <alignment horizontal="center" vertical="center"/>
      <protection hidden="1"/>
    </xf>
    <xf numFmtId="0" fontId="0" fillId="21" borderId="75" xfId="0" applyFill="1" applyBorder="1" applyProtection="1">
      <protection hidden="1"/>
    </xf>
    <xf numFmtId="0" fontId="0" fillId="21" borderId="14" xfId="0" applyFill="1" applyBorder="1" applyProtection="1">
      <protection hidden="1"/>
    </xf>
    <xf numFmtId="0" fontId="0" fillId="21" borderId="34" xfId="0" applyFill="1" applyBorder="1" applyProtection="1">
      <protection hidden="1"/>
    </xf>
    <xf numFmtId="0" fontId="202" fillId="21" borderId="0" xfId="0" applyFont="1" applyFill="1" applyProtection="1">
      <protection hidden="1"/>
    </xf>
    <xf numFmtId="0" fontId="8" fillId="2" borderId="0" xfId="0" applyFont="1" applyFill="1" applyBorder="1" applyAlignment="1">
      <alignment horizontal="left" vertical="top"/>
    </xf>
    <xf numFmtId="0" fontId="8" fillId="2" borderId="0" xfId="0" applyFont="1" applyFill="1" applyBorder="1" applyAlignment="1" applyProtection="1">
      <alignment horizontal="left" vertical="center"/>
      <protection hidden="1"/>
    </xf>
    <xf numFmtId="0" fontId="8" fillId="2" borderId="0" xfId="0" applyFont="1" applyFill="1" applyBorder="1" applyAlignment="1" applyProtection="1">
      <alignment horizontal="left" vertical="top"/>
      <protection hidden="1"/>
    </xf>
    <xf numFmtId="38" fontId="5" fillId="33" borderId="1" xfId="0" applyNumberFormat="1" applyFont="1" applyFill="1" applyBorder="1" applyProtection="1">
      <protection hidden="1"/>
    </xf>
    <xf numFmtId="38" fontId="5" fillId="22" borderId="1" xfId="0" applyNumberFormat="1" applyFont="1" applyFill="1" applyBorder="1" applyProtection="1">
      <protection locked="0"/>
    </xf>
    <xf numFmtId="164" fontId="4" fillId="2" borderId="0" xfId="0" applyNumberFormat="1" applyFont="1" applyFill="1" applyBorder="1" applyAlignment="1" applyProtection="1">
      <alignment horizontal="right" vertical="center"/>
      <protection hidden="1"/>
    </xf>
    <xf numFmtId="0" fontId="1" fillId="2" borderId="0" xfId="0" applyFont="1" applyFill="1" applyBorder="1" applyAlignment="1" applyProtection="1">
      <alignment horizontal="center" vertical="center"/>
      <protection locked="0"/>
    </xf>
    <xf numFmtId="38" fontId="19" fillId="33" borderId="1" xfId="0" applyNumberFormat="1" applyFont="1" applyFill="1" applyBorder="1" applyAlignment="1" applyProtection="1">
      <alignment horizontal="right"/>
      <protection hidden="1"/>
    </xf>
    <xf numFmtId="164" fontId="4" fillId="33" borderId="2" xfId="0" applyNumberFormat="1" applyFont="1" applyFill="1" applyBorder="1" applyAlignment="1" applyProtection="1">
      <alignment horizontal="center" vertical="center"/>
      <protection hidden="1"/>
    </xf>
    <xf numFmtId="164" fontId="1" fillId="22" borderId="2" xfId="0" applyNumberFormat="1" applyFont="1" applyFill="1" applyBorder="1" applyAlignment="1" applyProtection="1">
      <alignment horizontal="center" vertical="center"/>
      <protection locked="0"/>
    </xf>
    <xf numFmtId="39" fontId="180" fillId="2" borderId="0" xfId="0" applyNumberFormat="1" applyFont="1" applyFill="1" applyBorder="1" applyProtection="1">
      <protection hidden="1"/>
    </xf>
    <xf numFmtId="37" fontId="5" fillId="33" borderId="1" xfId="0" applyNumberFormat="1" applyFont="1" applyFill="1" applyBorder="1" applyProtection="1">
      <protection hidden="1"/>
    </xf>
    <xf numFmtId="37" fontId="5" fillId="22" borderId="1" xfId="0" applyNumberFormat="1" applyFont="1" applyFill="1" applyBorder="1" applyProtection="1">
      <protection locked="0"/>
    </xf>
    <xf numFmtId="0" fontId="6" fillId="33" borderId="2" xfId="0" applyFont="1" applyFill="1" applyBorder="1" applyAlignment="1" applyProtection="1">
      <alignment horizontal="center" vertical="center"/>
      <protection hidden="1"/>
    </xf>
    <xf numFmtId="0" fontId="203" fillId="3" borderId="0" xfId="4" applyFont="1" applyFill="1" applyAlignment="1">
      <alignment horizontal="right"/>
    </xf>
    <xf numFmtId="3" fontId="1" fillId="2" borderId="80" xfId="4" applyNumberFormat="1" applyFont="1" applyFill="1" applyBorder="1" applyAlignment="1" applyProtection="1">
      <alignment horizontal="right" vertical="center"/>
      <protection locked="0"/>
    </xf>
    <xf numFmtId="3" fontId="1" fillId="2" borderId="80" xfId="4" applyNumberFormat="1" applyFont="1" applyFill="1" applyBorder="1" applyAlignment="1" applyProtection="1">
      <alignment horizontal="left" vertical="center"/>
      <protection locked="0"/>
    </xf>
    <xf numFmtId="3" fontId="3" fillId="31" borderId="13" xfId="4" applyNumberFormat="1" applyFont="1" applyFill="1" applyBorder="1" applyAlignment="1" applyProtection="1">
      <alignment horizontal="right" vertical="center"/>
      <protection hidden="1"/>
    </xf>
    <xf numFmtId="3" fontId="3" fillId="31" borderId="13" xfId="4" applyNumberFormat="1" applyFont="1" applyFill="1" applyBorder="1" applyAlignment="1" applyProtection="1">
      <alignment horizontal="right"/>
      <protection locked="0"/>
    </xf>
    <xf numFmtId="0" fontId="4" fillId="31" borderId="2" xfId="4" applyFont="1" applyFill="1" applyBorder="1" applyAlignment="1" applyProtection="1">
      <alignment horizontal="center" vertical="center"/>
      <protection hidden="1"/>
    </xf>
    <xf numFmtId="0" fontId="3" fillId="31" borderId="1" xfId="4" applyFont="1" applyFill="1" applyBorder="1" applyAlignment="1" applyProtection="1">
      <alignment horizontal="center" vertical="center"/>
      <protection locked="0"/>
    </xf>
    <xf numFmtId="0" fontId="3" fillId="31" borderId="1" xfId="4" applyFont="1" applyFill="1" applyBorder="1" applyAlignment="1" applyProtection="1">
      <alignment horizontal="right"/>
      <protection hidden="1"/>
    </xf>
    <xf numFmtId="3" fontId="3" fillId="31" borderId="1" xfId="4" applyNumberFormat="1" applyFont="1" applyFill="1" applyBorder="1" applyAlignment="1" applyProtection="1">
      <alignment horizontal="right"/>
      <protection hidden="1"/>
    </xf>
    <xf numFmtId="0" fontId="3" fillId="22" borderId="1" xfId="4" applyFont="1" applyFill="1" applyBorder="1" applyAlignment="1" applyProtection="1">
      <alignment horizontal="right"/>
      <protection locked="0"/>
    </xf>
    <xf numFmtId="3" fontId="3" fillId="33" borderId="13" xfId="4" applyNumberFormat="1" applyFont="1" applyFill="1" applyBorder="1" applyAlignment="1" applyProtection="1">
      <alignment horizontal="right" vertical="center"/>
      <protection hidden="1"/>
    </xf>
    <xf numFmtId="40" fontId="4" fillId="33" borderId="13" xfId="4" applyNumberFormat="1" applyFont="1" applyFill="1" applyBorder="1" applyAlignment="1" applyProtection="1">
      <alignment horizontal="center" vertical="center"/>
      <protection hidden="1"/>
    </xf>
    <xf numFmtId="3" fontId="3" fillId="22" borderId="13" xfId="4" applyNumberFormat="1" applyFont="1" applyFill="1" applyBorder="1" applyAlignment="1" applyProtection="1">
      <alignment horizontal="right"/>
      <protection locked="0"/>
    </xf>
    <xf numFmtId="3" fontId="3" fillId="31" borderId="60" xfId="4" applyNumberFormat="1" applyFont="1" applyFill="1" applyBorder="1" applyAlignment="1" applyProtection="1">
      <alignment horizontal="right" vertical="center"/>
      <protection hidden="1"/>
    </xf>
    <xf numFmtId="37" fontId="5" fillId="34" borderId="10" xfId="0" applyNumberFormat="1" applyFont="1" applyFill="1" applyBorder="1" applyAlignment="1" applyProtection="1">
      <alignment horizontal="right"/>
      <protection hidden="1"/>
    </xf>
    <xf numFmtId="37" fontId="5" fillId="26" borderId="10" xfId="0" applyNumberFormat="1" applyFont="1" applyFill="1" applyBorder="1" applyAlignment="1" applyProtection="1">
      <alignment horizontal="right"/>
      <protection locked="0"/>
    </xf>
    <xf numFmtId="37" fontId="5" fillId="34" borderId="3" xfId="0" applyNumberFormat="1" applyFont="1" applyFill="1" applyBorder="1" applyAlignment="1" applyProtection="1">
      <alignment horizontal="right"/>
      <protection hidden="1"/>
    </xf>
    <xf numFmtId="37" fontId="5" fillId="34" borderId="53" xfId="0" applyNumberFormat="1" applyFont="1" applyFill="1" applyBorder="1" applyAlignment="1" applyProtection="1">
      <alignment horizontal="right"/>
      <protection hidden="1"/>
    </xf>
    <xf numFmtId="0" fontId="0" fillId="2" borderId="0" xfId="0" applyFill="1" applyBorder="1" applyAlignment="1" applyProtection="1">
      <protection hidden="1"/>
    </xf>
    <xf numFmtId="0" fontId="0" fillId="2" borderId="0" xfId="0" applyFill="1" applyAlignment="1" applyProtection="1">
      <protection hidden="1"/>
    </xf>
    <xf numFmtId="0" fontId="0" fillId="0" borderId="0" xfId="0" applyAlignment="1" applyProtection="1">
      <alignment horizontal="center"/>
      <protection hidden="1"/>
    </xf>
    <xf numFmtId="0" fontId="3" fillId="2" borderId="0" xfId="0" applyFont="1" applyFill="1" applyBorder="1" applyAlignment="1" applyProtection="1">
      <protection hidden="1"/>
    </xf>
    <xf numFmtId="0" fontId="0" fillId="0" borderId="0" xfId="0" applyAlignment="1" applyProtection="1">
      <protection hidden="1"/>
    </xf>
    <xf numFmtId="0" fontId="55" fillId="2" borderId="0" xfId="0" applyFont="1" applyFill="1" applyAlignment="1" applyProtection="1">
      <protection hidden="1"/>
    </xf>
    <xf numFmtId="0" fontId="3" fillId="2" borderId="0" xfId="0" applyFont="1" applyFill="1" applyAlignment="1" applyProtection="1">
      <protection hidden="1"/>
    </xf>
    <xf numFmtId="0" fontId="3" fillId="2" borderId="0" xfId="0" applyFont="1" applyFill="1" applyBorder="1" applyAlignment="1" applyProtection="1">
      <alignment vertical="center"/>
      <protection hidden="1"/>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0" fontId="5" fillId="24" borderId="0" xfId="0" applyFont="1" applyFill="1" applyAlignment="1" applyProtection="1">
      <protection hidden="1"/>
    </xf>
    <xf numFmtId="0" fontId="3" fillId="2" borderId="5" xfId="0" applyFont="1" applyFill="1" applyBorder="1" applyAlignment="1" applyProtection="1">
      <alignment vertical="top"/>
      <protection hidden="1"/>
    </xf>
    <xf numFmtId="0" fontId="1" fillId="3" borderId="11" xfId="0" applyFont="1" applyFill="1" applyBorder="1" applyAlignment="1" applyProtection="1">
      <alignment horizontal="center"/>
      <protection hidden="1"/>
    </xf>
    <xf numFmtId="0" fontId="8" fillId="30" borderId="0" xfId="0" applyFont="1" applyFill="1" applyBorder="1" applyProtection="1">
      <protection hidden="1"/>
    </xf>
    <xf numFmtId="0" fontId="1" fillId="0" borderId="0" xfId="0" applyFont="1" applyAlignment="1" applyProtection="1">
      <alignment horizontal="right"/>
      <protection hidden="1"/>
    </xf>
    <xf numFmtId="0" fontId="1" fillId="21" borderId="8" xfId="0" applyFont="1" applyFill="1" applyBorder="1" applyAlignment="1" applyProtection="1">
      <alignment horizontal="left"/>
      <protection hidden="1"/>
    </xf>
    <xf numFmtId="0" fontId="8" fillId="21" borderId="0" xfId="0" applyFont="1" applyFill="1" applyBorder="1" applyAlignment="1" applyProtection="1">
      <alignment horizontal="left"/>
      <protection hidden="1"/>
    </xf>
    <xf numFmtId="0" fontId="1" fillId="21" borderId="22" xfId="0" applyFont="1" applyFill="1" applyBorder="1" applyAlignment="1" applyProtection="1">
      <alignment horizontal="right"/>
      <protection hidden="1"/>
    </xf>
    <xf numFmtId="0" fontId="1" fillId="21" borderId="24" xfId="0" applyFont="1" applyFill="1" applyBorder="1" applyAlignment="1" applyProtection="1">
      <alignment horizontal="right"/>
      <protection hidden="1"/>
    </xf>
    <xf numFmtId="0" fontId="10" fillId="21" borderId="6" xfId="0" applyFont="1" applyFill="1" applyBorder="1" applyAlignment="1" applyProtection="1">
      <alignment horizontal="left"/>
      <protection hidden="1"/>
    </xf>
    <xf numFmtId="0" fontId="24" fillId="21" borderId="0" xfId="0" applyFont="1" applyFill="1" applyBorder="1" applyAlignment="1" applyProtection="1">
      <alignment horizontal="right"/>
      <protection hidden="1"/>
    </xf>
    <xf numFmtId="0" fontId="1" fillId="30" borderId="24" xfId="0" applyFont="1" applyFill="1" applyBorder="1" applyAlignment="1" applyProtection="1">
      <alignment horizontal="right"/>
      <protection hidden="1"/>
    </xf>
    <xf numFmtId="0" fontId="0" fillId="30" borderId="8" xfId="0" applyFill="1" applyBorder="1" applyProtection="1">
      <protection hidden="1"/>
    </xf>
    <xf numFmtId="0" fontId="11" fillId="30" borderId="6" xfId="0" quotePrefix="1" applyFont="1" applyFill="1" applyBorder="1" applyAlignment="1" applyProtection="1">
      <alignment horizontal="right"/>
      <protection hidden="1"/>
    </xf>
    <xf numFmtId="0" fontId="0" fillId="30" borderId="0" xfId="0" applyFill="1" applyBorder="1" applyProtection="1">
      <protection hidden="1"/>
    </xf>
    <xf numFmtId="0" fontId="11" fillId="30" borderId="0" xfId="0" quotePrefix="1" applyFont="1" applyFill="1" applyBorder="1" applyAlignment="1" applyProtection="1">
      <alignment horizontal="right"/>
      <protection hidden="1"/>
    </xf>
    <xf numFmtId="0" fontId="1" fillId="30" borderId="6" xfId="0" applyFont="1" applyFill="1" applyBorder="1" applyAlignment="1" applyProtection="1">
      <alignment horizontal="right"/>
      <protection hidden="1"/>
    </xf>
    <xf numFmtId="0" fontId="0" fillId="30" borderId="5" xfId="0" applyFill="1" applyBorder="1" applyProtection="1">
      <protection hidden="1"/>
    </xf>
    <xf numFmtId="0" fontId="0" fillId="30" borderId="6" xfId="0" applyFill="1" applyBorder="1" applyProtection="1">
      <protection hidden="1"/>
    </xf>
    <xf numFmtId="0" fontId="11" fillId="30" borderId="0" xfId="0" applyFont="1" applyFill="1" applyBorder="1" applyProtection="1">
      <protection hidden="1"/>
    </xf>
    <xf numFmtId="0" fontId="196" fillId="30" borderId="0" xfId="0" applyFont="1" applyFill="1" applyBorder="1" applyAlignment="1" applyProtection="1">
      <alignment horizontal="center" vertical="center"/>
      <protection hidden="1"/>
    </xf>
    <xf numFmtId="0" fontId="8" fillId="30" borderId="0" xfId="0" applyFont="1" applyFill="1" applyBorder="1" applyAlignment="1" applyProtection="1">
      <alignment vertical="center"/>
      <protection hidden="1"/>
    </xf>
    <xf numFmtId="0" fontId="194" fillId="30" borderId="0" xfId="0" applyFont="1" applyFill="1" applyBorder="1" applyProtection="1">
      <protection hidden="1"/>
    </xf>
    <xf numFmtId="0" fontId="8" fillId="30" borderId="0" xfId="0" applyFont="1" applyFill="1" applyBorder="1" applyAlignment="1" applyProtection="1">
      <alignment vertical="top"/>
      <protection hidden="1"/>
    </xf>
    <xf numFmtId="3" fontId="195" fillId="35" borderId="9" xfId="0" applyNumberFormat="1" applyFont="1" applyFill="1" applyBorder="1" applyProtection="1">
      <protection hidden="1"/>
    </xf>
    <xf numFmtId="0" fontId="1" fillId="30" borderId="22" xfId="0" applyFont="1" applyFill="1" applyBorder="1" applyAlignment="1" applyProtection="1">
      <alignment horizontal="right"/>
      <protection hidden="1"/>
    </xf>
    <xf numFmtId="0" fontId="0" fillId="30" borderId="23" xfId="0" applyFill="1" applyBorder="1" applyProtection="1">
      <protection hidden="1"/>
    </xf>
    <xf numFmtId="3" fontId="7" fillId="34" borderId="1" xfId="0" applyNumberFormat="1" applyFont="1" applyFill="1" applyBorder="1" applyProtection="1">
      <protection hidden="1"/>
    </xf>
    <xf numFmtId="0" fontId="6" fillId="24" borderId="0" xfId="0" applyFont="1" applyFill="1" applyAlignment="1" applyProtection="1">
      <alignment vertical="center"/>
      <protection hidden="1"/>
    </xf>
    <xf numFmtId="0" fontId="8" fillId="24" borderId="9" xfId="0" applyFont="1" applyFill="1" applyBorder="1" applyAlignment="1" applyProtection="1">
      <alignment horizontal="center" vertical="center"/>
      <protection hidden="1"/>
    </xf>
    <xf numFmtId="0" fontId="6" fillId="24" borderId="9" xfId="0" applyFont="1" applyFill="1" applyBorder="1" applyAlignment="1" applyProtection="1">
      <alignment horizontal="left" vertical="center"/>
      <protection hidden="1"/>
    </xf>
    <xf numFmtId="1" fontId="8" fillId="24" borderId="0" xfId="0" applyNumberFormat="1" applyFont="1" applyFill="1" applyBorder="1" applyAlignment="1" applyProtection="1">
      <alignment horizontal="right" vertical="center"/>
      <protection hidden="1"/>
    </xf>
    <xf numFmtId="0" fontId="5" fillId="2" borderId="0" xfId="0" applyFont="1" applyFill="1" applyBorder="1" applyAlignment="1" applyProtection="1">
      <protection hidden="1"/>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37" fontId="5" fillId="33" borderId="0" xfId="0" applyNumberFormat="1" applyFont="1" applyFill="1" applyBorder="1" applyProtection="1">
      <protection hidden="1"/>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168" fontId="5" fillId="3" borderId="0" xfId="0" applyNumberFormat="1" applyFont="1" applyFill="1" applyBorder="1" applyAlignment="1" applyProtection="1">
      <alignment horizontal="right"/>
      <protection hidden="1"/>
    </xf>
    <xf numFmtId="173" fontId="167" fillId="3" borderId="3" xfId="0" applyNumberFormat="1" applyFont="1" applyFill="1" applyBorder="1" applyAlignment="1" applyProtection="1">
      <alignment horizontal="right"/>
      <protection hidden="1"/>
    </xf>
    <xf numFmtId="4" fontId="8" fillId="3" borderId="16" xfId="0" applyNumberFormat="1" applyFont="1" applyFill="1" applyBorder="1" applyAlignment="1" applyProtection="1">
      <alignment horizontal="left"/>
      <protection hidden="1"/>
    </xf>
    <xf numFmtId="0" fontId="5" fillId="3" borderId="0" xfId="0" quotePrefix="1" applyFont="1" applyFill="1" applyBorder="1" applyAlignment="1" applyProtection="1">
      <alignment horizontal="left"/>
      <protection hidden="1"/>
    </xf>
    <xf numFmtId="0" fontId="167" fillId="3" borderId="0" xfId="0" applyFont="1" applyFill="1" applyBorder="1" applyAlignment="1" applyProtection="1">
      <alignment horizontal="right"/>
      <protection hidden="1"/>
    </xf>
    <xf numFmtId="0" fontId="204" fillId="2" borderId="3" xfId="0" applyFont="1" applyFill="1" applyBorder="1" applyProtection="1">
      <protection hidden="1"/>
    </xf>
    <xf numFmtId="0" fontId="1" fillId="2" borderId="3" xfId="0" applyFont="1" applyFill="1" applyBorder="1" applyProtection="1">
      <protection hidden="1"/>
    </xf>
    <xf numFmtId="4" fontId="166" fillId="0" borderId="0" xfId="0" applyNumberFormat="1" applyFont="1" applyFill="1" applyBorder="1" applyProtection="1">
      <protection hidden="1"/>
    </xf>
    <xf numFmtId="0" fontId="6" fillId="22" borderId="13" xfId="0" applyFont="1" applyFill="1" applyBorder="1" applyAlignment="1" applyProtection="1">
      <alignment horizontal="center" vertical="center"/>
      <protection locked="0" hidden="1"/>
    </xf>
    <xf numFmtId="0" fontId="14" fillId="21" borderId="9" xfId="0" applyFont="1" applyFill="1" applyBorder="1" applyAlignment="1" applyProtection="1">
      <protection hidden="1"/>
    </xf>
    <xf numFmtId="0" fontId="14" fillId="21" borderId="15" xfId="0" applyFont="1" applyFill="1" applyBorder="1" applyAlignment="1" applyProtection="1">
      <protection hidden="1"/>
    </xf>
    <xf numFmtId="0" fontId="14" fillId="21" borderId="1" xfId="0" applyFont="1" applyFill="1" applyBorder="1" applyAlignment="1" applyProtection="1">
      <protection hidden="1"/>
    </xf>
    <xf numFmtId="0" fontId="14" fillId="21" borderId="12" xfId="0" applyFont="1" applyFill="1" applyBorder="1" applyAlignment="1" applyProtection="1">
      <protection hidden="1"/>
    </xf>
    <xf numFmtId="0" fontId="8" fillId="21" borderId="31" xfId="0" applyFont="1" applyFill="1" applyBorder="1" applyAlignment="1" applyProtection="1">
      <protection hidden="1"/>
    </xf>
    <xf numFmtId="0" fontId="8" fillId="21" borderId="10" xfId="0" applyFont="1" applyFill="1" applyBorder="1" applyAlignment="1" applyProtection="1">
      <protection hidden="1"/>
    </xf>
    <xf numFmtId="0" fontId="1" fillId="0" borderId="13" xfId="0" applyFont="1" applyBorder="1" applyAlignment="1" applyProtection="1">
      <alignment horizontal="center" vertical="center"/>
      <protection locked="0"/>
    </xf>
    <xf numFmtId="0" fontId="63" fillId="11" borderId="9" xfId="0" applyFont="1" applyFill="1" applyBorder="1" applyAlignment="1" applyProtection="1">
      <alignment horizontal="center"/>
      <protection hidden="1"/>
    </xf>
    <xf numFmtId="39" fontId="19" fillId="3" borderId="31" xfId="0" applyNumberFormat="1" applyFont="1" applyFill="1" applyBorder="1" applyAlignment="1" applyProtection="1">
      <alignment horizontal="right"/>
      <protection hidden="1"/>
    </xf>
    <xf numFmtId="0" fontId="16" fillId="3" borderId="0" xfId="0" applyFont="1" applyFill="1" applyBorder="1" applyAlignment="1" applyProtection="1">
      <alignment horizontal="left"/>
      <protection hidden="1"/>
    </xf>
    <xf numFmtId="37" fontId="5" fillId="20" borderId="31" xfId="0" applyNumberFormat="1" applyFont="1" applyFill="1" applyBorder="1" applyAlignment="1" applyProtection="1">
      <alignment horizontal="right"/>
      <protection locked="0"/>
    </xf>
    <xf numFmtId="39" fontId="19" fillId="20" borderId="3" xfId="0" applyNumberFormat="1" applyFont="1" applyFill="1" applyBorder="1" applyAlignment="1" applyProtection="1">
      <alignment horizontal="right"/>
      <protection hidden="1"/>
    </xf>
    <xf numFmtId="4" fontId="1" fillId="26" borderId="13" xfId="0" applyNumberFormat="1" applyFont="1" applyFill="1" applyBorder="1" applyAlignment="1" applyProtection="1">
      <alignment horizontal="center" vertical="center"/>
      <protection locked="0"/>
    </xf>
    <xf numFmtId="0" fontId="0" fillId="21" borderId="24" xfId="0" applyFill="1" applyBorder="1"/>
    <xf numFmtId="0" fontId="3" fillId="21" borderId="8" xfId="0" applyFont="1" applyFill="1" applyBorder="1"/>
    <xf numFmtId="0" fontId="3" fillId="21" borderId="20" xfId="0" applyFont="1" applyFill="1" applyBorder="1"/>
    <xf numFmtId="0" fontId="0" fillId="21" borderId="6" xfId="0" applyFill="1" applyBorder="1"/>
    <xf numFmtId="0" fontId="10" fillId="21" borderId="0" xfId="0" applyFont="1" applyFill="1" applyBorder="1" applyAlignment="1">
      <alignment vertical="center"/>
    </xf>
    <xf numFmtId="0" fontId="8" fillId="21" borderId="0" xfId="0" applyFont="1" applyFill="1" applyBorder="1"/>
    <xf numFmtId="0" fontId="205" fillId="21" borderId="0" xfId="0" applyFont="1" applyFill="1" applyBorder="1"/>
    <xf numFmtId="0" fontId="8" fillId="21" borderId="21" xfId="0" applyFont="1" applyFill="1" applyBorder="1"/>
    <xf numFmtId="0" fontId="3" fillId="21" borderId="0" xfId="0" applyFont="1" applyFill="1" applyBorder="1"/>
    <xf numFmtId="0" fontId="1" fillId="21" borderId="0" xfId="0" quotePrefix="1" applyFont="1" applyFill="1" applyBorder="1" applyAlignment="1">
      <alignment horizontal="right"/>
    </xf>
    <xf numFmtId="0" fontId="3" fillId="21" borderId="21" xfId="0" applyFont="1" applyFill="1" applyBorder="1"/>
    <xf numFmtId="0" fontId="0" fillId="21" borderId="22" xfId="0" applyFill="1" applyBorder="1"/>
    <xf numFmtId="0" fontId="8" fillId="21" borderId="5" xfId="0" applyFont="1" applyFill="1" applyBorder="1"/>
    <xf numFmtId="0" fontId="8" fillId="21" borderId="23" xfId="0" applyFont="1" applyFill="1" applyBorder="1"/>
    <xf numFmtId="0" fontId="1" fillId="21" borderId="0" xfId="0" applyFont="1" applyFill="1" applyBorder="1"/>
    <xf numFmtId="0" fontId="24" fillId="21" borderId="0" xfId="0" applyFont="1" applyFill="1" applyBorder="1" applyAlignment="1">
      <alignment horizontal="right"/>
    </xf>
    <xf numFmtId="0" fontId="3" fillId="21" borderId="0" xfId="0" quotePrefix="1" applyFont="1" applyFill="1" applyBorder="1"/>
    <xf numFmtId="0" fontId="3" fillId="21" borderId="0" xfId="0" quotePrefix="1" applyFont="1" applyFill="1" applyBorder="1" applyAlignment="1">
      <alignment horizontal="right"/>
    </xf>
    <xf numFmtId="37" fontId="5" fillId="26" borderId="1" xfId="0" applyNumberFormat="1" applyFont="1" applyFill="1" applyBorder="1" applyAlignment="1" applyProtection="1">
      <alignment horizontal="right"/>
      <protection locked="0"/>
    </xf>
    <xf numFmtId="37" fontId="5" fillId="34" borderId="1" xfId="0" applyNumberFormat="1" applyFont="1" applyFill="1" applyBorder="1" applyAlignment="1" applyProtection="1">
      <alignment horizontal="right"/>
      <protection hidden="1"/>
    </xf>
    <xf numFmtId="0" fontId="0" fillId="21" borderId="88" xfId="0" applyFill="1" applyBorder="1"/>
    <xf numFmtId="0" fontId="8" fillId="21" borderId="9" xfId="0" applyFont="1" applyFill="1" applyBorder="1"/>
    <xf numFmtId="0" fontId="8" fillId="21" borderId="99" xfId="0" applyFont="1" applyFill="1" applyBorder="1"/>
    <xf numFmtId="0" fontId="24" fillId="21" borderId="0" xfId="0" applyFont="1" applyFill="1" applyBorder="1" applyAlignment="1">
      <alignment horizontal="center"/>
    </xf>
    <xf numFmtId="6" fontId="3" fillId="0" borderId="0" xfId="0" applyNumberFormat="1" applyFont="1"/>
    <xf numFmtId="6" fontId="19" fillId="0" borderId="0" xfId="0" applyNumberFormat="1" applyFont="1"/>
    <xf numFmtId="37" fontId="180" fillId="20" borderId="31" xfId="0" applyNumberFormat="1" applyFont="1" applyFill="1" applyBorder="1" applyAlignment="1" applyProtection="1">
      <alignment horizontal="right"/>
      <protection locked="0"/>
    </xf>
    <xf numFmtId="37" fontId="180" fillId="20" borderId="3" xfId="0" applyNumberFormat="1" applyFont="1" applyFill="1" applyBorder="1" applyAlignment="1" applyProtection="1">
      <alignment horizontal="right"/>
      <protection locked="0"/>
    </xf>
    <xf numFmtId="39" fontId="167" fillId="3" borderId="3" xfId="0" applyNumberFormat="1" applyFont="1" applyFill="1" applyBorder="1" applyAlignment="1" applyProtection="1">
      <alignment horizontal="right"/>
      <protection hidden="1"/>
    </xf>
    <xf numFmtId="0" fontId="1" fillId="2" borderId="10" xfId="0" applyFont="1" applyFill="1" applyBorder="1" applyProtection="1">
      <protection hidden="1"/>
    </xf>
    <xf numFmtId="0" fontId="206" fillId="2" borderId="0" xfId="0" applyFont="1" applyFill="1" applyBorder="1" applyAlignment="1" applyProtection="1">
      <alignment horizontal="left"/>
      <protection hidden="1"/>
    </xf>
    <xf numFmtId="0" fontId="167" fillId="0" borderId="0" xfId="0" applyFont="1" applyAlignment="1" applyProtection="1">
      <alignment horizontal="center"/>
      <protection hidden="1"/>
    </xf>
    <xf numFmtId="180" fontId="23" fillId="2" borderId="0" xfId="0" applyNumberFormat="1" applyFont="1" applyFill="1" applyBorder="1" applyAlignment="1" applyProtection="1">
      <protection hidden="1"/>
    </xf>
    <xf numFmtId="3" fontId="167" fillId="0" borderId="0" xfId="0" applyNumberFormat="1" applyFont="1" applyProtection="1">
      <protection hidden="1"/>
    </xf>
    <xf numFmtId="38" fontId="180" fillId="2" borderId="0" xfId="0" applyNumberFormat="1" applyFont="1" applyFill="1" applyBorder="1" applyProtection="1">
      <protection hidden="1"/>
    </xf>
    <xf numFmtId="0" fontId="166" fillId="0" borderId="0" xfId="0" applyFont="1" applyBorder="1" applyAlignment="1" applyProtection="1">
      <alignment horizontal="center" vertical="center"/>
      <protection hidden="1"/>
    </xf>
    <xf numFmtId="14" fontId="167" fillId="0" borderId="0" xfId="0" applyNumberFormat="1" applyFont="1" applyAlignment="1" applyProtection="1">
      <alignment horizontal="center"/>
      <protection hidden="1"/>
    </xf>
    <xf numFmtId="0" fontId="8" fillId="5" borderId="38" xfId="0" applyFont="1" applyFill="1" applyBorder="1" applyAlignment="1" applyProtection="1">
      <alignment horizontal="center"/>
      <protection hidden="1"/>
    </xf>
    <xf numFmtId="0" fontId="8" fillId="5" borderId="121" xfId="0" applyFont="1" applyFill="1" applyBorder="1" applyAlignment="1" applyProtection="1">
      <alignment horizontal="center"/>
      <protection hidden="1"/>
    </xf>
    <xf numFmtId="37" fontId="5" fillId="3" borderId="39" xfId="0" applyNumberFormat="1" applyFont="1" applyFill="1" applyBorder="1" applyAlignment="1" applyProtection="1">
      <alignment horizontal="right"/>
      <protection locked="0"/>
    </xf>
    <xf numFmtId="3" fontId="6" fillId="21" borderId="3" xfId="0" applyNumberFormat="1" applyFont="1" applyFill="1" applyBorder="1" applyAlignment="1" applyProtection="1">
      <alignment horizontal="right"/>
      <protection hidden="1"/>
    </xf>
    <xf numFmtId="3" fontId="6" fillId="21" borderId="0" xfId="0" applyNumberFormat="1" applyFont="1" applyFill="1" applyBorder="1" applyAlignment="1" applyProtection="1">
      <alignment horizontal="right"/>
      <protection hidden="1"/>
    </xf>
    <xf numFmtId="0" fontId="1" fillId="22" borderId="2" xfId="0" applyFont="1" applyFill="1" applyBorder="1" applyAlignment="1" applyProtection="1">
      <alignment horizontal="center"/>
      <protection locked="0"/>
    </xf>
    <xf numFmtId="37" fontId="5" fillId="20" borderId="3" xfId="0" applyNumberFormat="1" applyFont="1" applyFill="1" applyBorder="1" applyAlignment="1" applyProtection="1">
      <alignment horizontal="right"/>
      <protection hidden="1"/>
    </xf>
    <xf numFmtId="0" fontId="0" fillId="0" borderId="0" xfId="0" applyAlignment="1">
      <alignment vertical="top" wrapText="1"/>
    </xf>
    <xf numFmtId="0" fontId="0" fillId="0" borderId="0" xfId="0" applyAlignment="1">
      <alignment horizontal="center" vertical="top" wrapText="1"/>
    </xf>
    <xf numFmtId="174" fontId="0" fillId="0" borderId="0" xfId="0" applyNumberFormat="1" applyAlignment="1">
      <alignment horizontal="center" vertical="top" wrapText="1"/>
    </xf>
    <xf numFmtId="0" fontId="1" fillId="0" borderId="5" xfId="0" applyFont="1" applyBorder="1" applyAlignment="1" applyProtection="1">
      <alignment horizontal="center" wrapText="1"/>
    </xf>
    <xf numFmtId="0" fontId="4" fillId="0" borderId="5" xfId="0" applyFont="1" applyBorder="1" applyAlignment="1" applyProtection="1">
      <alignment horizontal="center" wrapText="1"/>
    </xf>
    <xf numFmtId="0" fontId="78" fillId="0" borderId="0" xfId="2" applyAlignment="1" applyProtection="1">
      <alignment horizontal="center" wrapText="1"/>
    </xf>
    <xf numFmtId="0" fontId="19" fillId="3" borderId="0" xfId="0" applyFont="1" applyFill="1" applyBorder="1" applyAlignment="1" applyProtection="1">
      <alignment horizontal="left"/>
      <protection hidden="1"/>
    </xf>
    <xf numFmtId="39" fontId="5" fillId="3" borderId="0" xfId="0" applyNumberFormat="1" applyFont="1" applyFill="1" applyBorder="1" applyAlignment="1" applyProtection="1">
      <alignment horizontal="center"/>
      <protection hidden="1"/>
    </xf>
    <xf numFmtId="0" fontId="19" fillId="3" borderId="0" xfId="0" applyFont="1" applyFill="1" applyBorder="1" applyAlignment="1" applyProtection="1">
      <alignment horizontal="left"/>
      <protection hidden="1"/>
    </xf>
    <xf numFmtId="0" fontId="0" fillId="0" borderId="0" xfId="0" applyBorder="1" applyAlignment="1"/>
    <xf numFmtId="0" fontId="1" fillId="2" borderId="46" xfId="0" applyFont="1" applyFill="1" applyBorder="1" applyAlignment="1" applyProtection="1">
      <alignment horizontal="center" vertical="center" wrapText="1"/>
      <protection hidden="1"/>
    </xf>
    <xf numFmtId="0" fontId="11" fillId="3" borderId="10" xfId="0" applyFont="1" applyFill="1" applyBorder="1" applyAlignment="1" applyProtection="1">
      <alignment horizontal="center"/>
      <protection hidden="1"/>
    </xf>
    <xf numFmtId="0" fontId="8" fillId="3" borderId="0" xfId="0" applyFont="1" applyFill="1" applyBorder="1" applyAlignment="1" applyProtection="1">
      <alignment horizontal="left"/>
      <protection hidden="1"/>
    </xf>
    <xf numFmtId="0" fontId="6" fillId="3" borderId="6" xfId="0" applyFont="1" applyFill="1" applyBorder="1" applyProtection="1">
      <protection hidden="1"/>
    </xf>
    <xf numFmtId="0" fontId="17" fillId="3" borderId="0" xfId="0" applyFont="1" applyFill="1" applyBorder="1" applyAlignment="1" applyProtection="1">
      <alignment wrapText="1"/>
      <protection hidden="1"/>
    </xf>
    <xf numFmtId="0" fontId="6" fillId="22" borderId="13" xfId="0" applyFont="1" applyFill="1" applyBorder="1" applyAlignment="1" applyProtection="1">
      <alignment horizontal="center"/>
      <protection locked="0"/>
    </xf>
    <xf numFmtId="0" fontId="6" fillId="21" borderId="0" xfId="0" applyFont="1" applyFill="1" applyBorder="1" applyAlignment="1" applyProtection="1">
      <alignment horizontal="center"/>
      <protection hidden="1"/>
    </xf>
    <xf numFmtId="0" fontId="0" fillId="3" borderId="9" xfId="0" applyFill="1" applyBorder="1" applyProtection="1">
      <protection hidden="1"/>
    </xf>
    <xf numFmtId="0" fontId="8" fillId="21" borderId="0" xfId="0" applyFont="1" applyFill="1" applyBorder="1" applyAlignment="1" applyProtection="1">
      <alignment horizontal="left" vertical="center"/>
      <protection hidden="1"/>
    </xf>
    <xf numFmtId="0" fontId="6" fillId="21" borderId="1" xfId="0" applyFont="1" applyFill="1" applyBorder="1" applyAlignment="1" applyProtection="1">
      <alignment horizontal="center"/>
      <protection hidden="1"/>
    </xf>
    <xf numFmtId="0" fontId="5" fillId="21" borderId="1" xfId="0" applyFont="1" applyFill="1" applyBorder="1" applyAlignment="1" applyProtection="1">
      <alignment horizontal="left" vertical="center"/>
      <protection hidden="1"/>
    </xf>
    <xf numFmtId="0" fontId="1" fillId="3" borderId="31" xfId="0" applyFont="1" applyFill="1" applyBorder="1" applyProtection="1">
      <protection hidden="1"/>
    </xf>
    <xf numFmtId="0" fontId="10" fillId="3" borderId="26" xfId="0" applyFont="1" applyFill="1" applyBorder="1" applyProtection="1">
      <protection hidden="1"/>
    </xf>
    <xf numFmtId="0" fontId="3" fillId="3" borderId="26" xfId="0" applyFont="1" applyFill="1" applyBorder="1" applyProtection="1">
      <protection hidden="1"/>
    </xf>
    <xf numFmtId="39" fontId="6" fillId="3" borderId="11" xfId="0" applyNumberFormat="1" applyFont="1" applyFill="1" applyBorder="1" applyAlignment="1" applyProtection="1">
      <alignment horizontal="center"/>
      <protection hidden="1"/>
    </xf>
    <xf numFmtId="39" fontId="6" fillId="3" borderId="3" xfId="0" applyNumberFormat="1" applyFont="1" applyFill="1" applyBorder="1" applyAlignment="1" applyProtection="1">
      <alignment horizontal="center"/>
      <protection hidden="1"/>
    </xf>
    <xf numFmtId="39" fontId="5" fillId="3" borderId="0" xfId="0" applyNumberFormat="1" applyFont="1" applyFill="1" applyBorder="1" applyAlignment="1" applyProtection="1">
      <alignment horizontal="left"/>
      <protection hidden="1"/>
    </xf>
    <xf numFmtId="39" fontId="5" fillId="20" borderId="0" xfId="0" applyNumberFormat="1" applyFont="1" applyFill="1" applyBorder="1" applyAlignment="1" applyProtection="1">
      <alignment horizontal="left"/>
      <protection hidden="1"/>
    </xf>
    <xf numFmtId="0" fontId="0" fillId="21" borderId="0" xfId="0" applyFill="1" applyBorder="1" applyAlignment="1">
      <alignment horizontal="left"/>
    </xf>
    <xf numFmtId="3" fontId="9" fillId="3" borderId="3" xfId="0" applyNumberFormat="1" applyFont="1" applyFill="1" applyBorder="1" applyAlignment="1" applyProtection="1">
      <alignment horizontal="center"/>
      <protection hidden="1"/>
    </xf>
    <xf numFmtId="0" fontId="6" fillId="3" borderId="0" xfId="0" applyFont="1" applyFill="1" applyBorder="1" applyAlignment="1" applyProtection="1">
      <alignment horizontal="right" indent="1"/>
      <protection hidden="1"/>
    </xf>
    <xf numFmtId="1" fontId="6" fillId="26" borderId="13" xfId="0" applyNumberFormat="1" applyFont="1" applyFill="1" applyBorder="1" applyAlignment="1" applyProtection="1">
      <alignment horizontal="center"/>
      <protection locked="0"/>
    </xf>
    <xf numFmtId="4" fontId="6" fillId="3" borderId="0" xfId="0" applyNumberFormat="1" applyFont="1" applyFill="1" applyBorder="1" applyAlignment="1" applyProtection="1">
      <alignment horizontal="right" vertical="center"/>
      <protection hidden="1"/>
    </xf>
    <xf numFmtId="0" fontId="7" fillId="3" borderId="16" xfId="0" applyFont="1" applyFill="1" applyBorder="1" applyAlignment="1" applyProtection="1">
      <alignment horizontal="center"/>
      <protection hidden="1"/>
    </xf>
    <xf numFmtId="0" fontId="7" fillId="20" borderId="31" xfId="0" applyFont="1" applyFill="1" applyBorder="1" applyAlignment="1" applyProtection="1">
      <alignment horizontal="center"/>
      <protection hidden="1"/>
    </xf>
    <xf numFmtId="0" fontId="55" fillId="3" borderId="9" xfId="0" applyFont="1" applyFill="1" applyBorder="1" applyProtection="1">
      <protection hidden="1"/>
    </xf>
    <xf numFmtId="0" fontId="7" fillId="3" borderId="31" xfId="0" applyFont="1" applyFill="1" applyBorder="1" applyAlignment="1" applyProtection="1">
      <alignment horizontal="center"/>
      <protection hidden="1"/>
    </xf>
    <xf numFmtId="0" fontId="7" fillId="3" borderId="9" xfId="0" applyFont="1" applyFill="1" applyBorder="1" applyAlignment="1" applyProtection="1">
      <alignment horizontal="center"/>
      <protection hidden="1"/>
    </xf>
    <xf numFmtId="0" fontId="11" fillId="3" borderId="11" xfId="0" applyFont="1" applyFill="1" applyBorder="1" applyAlignment="1" applyProtection="1">
      <alignment horizontal="right"/>
      <protection hidden="1"/>
    </xf>
    <xf numFmtId="0" fontId="19" fillId="20" borderId="0" xfId="0" applyFont="1" applyFill="1" applyBorder="1" applyAlignment="1" applyProtection="1">
      <alignment horizontal="left"/>
      <protection hidden="1"/>
    </xf>
    <xf numFmtId="0" fontId="0" fillId="21" borderId="0" xfId="0" applyFill="1" applyAlignment="1"/>
    <xf numFmtId="3" fontId="6" fillId="20" borderId="9" xfId="0" applyNumberFormat="1" applyFont="1" applyFill="1" applyBorder="1" applyAlignment="1" applyProtection="1">
      <alignment horizontal="right"/>
      <protection hidden="1"/>
    </xf>
    <xf numFmtId="0" fontId="11" fillId="3" borderId="10" xfId="0" applyFont="1" applyFill="1" applyBorder="1" applyAlignment="1" applyProtection="1">
      <alignment horizontal="right"/>
      <protection hidden="1"/>
    </xf>
    <xf numFmtId="39" fontId="9" fillId="3" borderId="0" xfId="0" applyNumberFormat="1" applyFont="1" applyFill="1" applyBorder="1" applyAlignment="1" applyProtection="1">
      <protection hidden="1"/>
    </xf>
    <xf numFmtId="0" fontId="0" fillId="0" borderId="21" xfId="0" applyBorder="1" applyAlignment="1">
      <alignment wrapText="1"/>
    </xf>
    <xf numFmtId="0" fontId="17" fillId="20" borderId="27" xfId="0" applyFont="1" applyFill="1" applyBorder="1" applyAlignment="1" applyProtection="1">
      <alignment horizontal="centerContinuous"/>
      <protection hidden="1"/>
    </xf>
    <xf numFmtId="0" fontId="0" fillId="21" borderId="1" xfId="0" applyFill="1" applyBorder="1" applyAlignment="1">
      <alignment horizontal="centerContinuous"/>
    </xf>
    <xf numFmtId="0" fontId="5" fillId="21" borderId="0" xfId="0" applyFont="1" applyFill="1" applyBorder="1" applyAlignment="1">
      <alignment horizontal="centerContinuous"/>
    </xf>
    <xf numFmtId="0" fontId="3" fillId="21" borderId="0" xfId="0" applyFont="1" applyFill="1" applyBorder="1" applyAlignment="1">
      <alignment horizontal="centerContinuous" vertical="center"/>
    </xf>
    <xf numFmtId="0" fontId="11" fillId="20" borderId="27" xfId="0" applyFont="1" applyFill="1" applyBorder="1" applyAlignment="1" applyProtection="1">
      <alignment horizontal="center"/>
      <protection hidden="1"/>
    </xf>
    <xf numFmtId="0" fontId="0" fillId="21" borderId="1" xfId="0" applyFill="1" applyBorder="1" applyAlignment="1">
      <alignment horizontal="center"/>
    </xf>
    <xf numFmtId="39" fontId="9" fillId="3" borderId="16" xfId="0" applyNumberFormat="1" applyFont="1" applyFill="1" applyBorder="1" applyProtection="1">
      <protection hidden="1"/>
    </xf>
    <xf numFmtId="39" fontId="9" fillId="28" borderId="16" xfId="0" applyNumberFormat="1" applyFont="1" applyFill="1" applyBorder="1" applyProtection="1">
      <protection hidden="1"/>
    </xf>
    <xf numFmtId="39" fontId="9" fillId="28" borderId="7" xfId="0" applyNumberFormat="1" applyFont="1" applyFill="1" applyBorder="1" applyProtection="1">
      <protection hidden="1"/>
    </xf>
    <xf numFmtId="0" fontId="55" fillId="3" borderId="31" xfId="0" applyFont="1" applyFill="1" applyBorder="1" applyProtection="1">
      <protection hidden="1"/>
    </xf>
    <xf numFmtId="1" fontId="6" fillId="3" borderId="0" xfId="0" applyNumberFormat="1" applyFont="1" applyFill="1" applyBorder="1" applyAlignment="1" applyProtection="1">
      <alignment horizontal="right"/>
      <protection hidden="1"/>
    </xf>
    <xf numFmtId="39" fontId="6" fillId="3" borderId="7" xfId="0" applyNumberFormat="1" applyFont="1" applyFill="1" applyBorder="1" applyAlignment="1" applyProtection="1">
      <alignment horizontal="right"/>
      <protection hidden="1"/>
    </xf>
    <xf numFmtId="1" fontId="6" fillId="3" borderId="11" xfId="0" applyNumberFormat="1" applyFont="1" applyFill="1" applyBorder="1" applyAlignment="1" applyProtection="1">
      <alignment horizontal="right"/>
      <protection hidden="1"/>
    </xf>
    <xf numFmtId="0" fontId="42" fillId="3" borderId="0" xfId="0" applyFont="1" applyFill="1" applyBorder="1" applyProtection="1">
      <protection hidden="1"/>
    </xf>
    <xf numFmtId="0" fontId="8" fillId="3" borderId="0" xfId="0" applyFont="1" applyFill="1" applyBorder="1" applyAlignment="1" applyProtection="1">
      <alignment horizontal="left" indent="1"/>
      <protection hidden="1"/>
    </xf>
    <xf numFmtId="0" fontId="21" fillId="3" borderId="0" xfId="0" applyFont="1" applyFill="1" applyBorder="1" applyAlignment="1" applyProtection="1">
      <alignment horizontal="left" vertical="center"/>
      <protection hidden="1"/>
    </xf>
    <xf numFmtId="0" fontId="11" fillId="3" borderId="3" xfId="0" applyFont="1" applyFill="1" applyBorder="1" applyProtection="1">
      <protection hidden="1"/>
    </xf>
    <xf numFmtId="0" fontId="4" fillId="26" borderId="13" xfId="0" applyFont="1" applyFill="1" applyBorder="1" applyAlignment="1" applyProtection="1">
      <alignment horizontal="center" vertical="center"/>
      <protection locked="0"/>
    </xf>
    <xf numFmtId="0" fontId="42" fillId="3" borderId="0" xfId="0" applyFont="1" applyFill="1" applyBorder="1" applyAlignment="1" applyProtection="1">
      <alignment horizontal="left" indent="2"/>
      <protection hidden="1"/>
    </xf>
    <xf numFmtId="0" fontId="4" fillId="21" borderId="0" xfId="0" applyFont="1" applyFill="1" applyProtection="1">
      <protection hidden="1"/>
    </xf>
    <xf numFmtId="0" fontId="6" fillId="3" borderId="1" xfId="0" applyFont="1" applyFill="1" applyBorder="1" applyAlignment="1" applyProtection="1">
      <alignment horizontal="center"/>
      <protection hidden="1"/>
    </xf>
    <xf numFmtId="0" fontId="1" fillId="3" borderId="1" xfId="0" applyFont="1" applyFill="1" applyBorder="1" applyAlignment="1" applyProtection="1">
      <alignment horizontal="right"/>
      <protection hidden="1"/>
    </xf>
    <xf numFmtId="0" fontId="7" fillId="3" borderId="1" xfId="0" applyFont="1" applyFill="1" applyBorder="1" applyAlignment="1" applyProtection="1">
      <alignment horizontal="right"/>
      <protection hidden="1"/>
    </xf>
    <xf numFmtId="0" fontId="4" fillId="26" borderId="26" xfId="0" applyFont="1" applyFill="1" applyBorder="1" applyAlignment="1" applyProtection="1">
      <alignment horizontal="center" vertical="center"/>
      <protection locked="0"/>
    </xf>
    <xf numFmtId="0" fontId="6" fillId="3" borderId="1" xfId="0" applyFont="1" applyFill="1" applyBorder="1" applyAlignment="1" applyProtection="1">
      <alignment horizontal="left"/>
      <protection hidden="1"/>
    </xf>
    <xf numFmtId="39" fontId="9" fillId="3" borderId="14" xfId="0" applyNumberFormat="1" applyFont="1" applyFill="1" applyBorder="1" applyProtection="1">
      <protection hidden="1"/>
    </xf>
    <xf numFmtId="39" fontId="9" fillId="3" borderId="14" xfId="0" applyNumberFormat="1" applyFont="1" applyFill="1" applyBorder="1" applyAlignment="1" applyProtection="1">
      <alignment horizontal="right"/>
      <protection hidden="1"/>
    </xf>
    <xf numFmtId="39" fontId="5" fillId="3" borderId="14" xfId="0" applyNumberFormat="1" applyFont="1" applyFill="1" applyBorder="1" applyAlignment="1" applyProtection="1">
      <alignment horizontal="right"/>
      <protection hidden="1"/>
    </xf>
    <xf numFmtId="39" fontId="10" fillId="3" borderId="14" xfId="0" applyNumberFormat="1" applyFont="1" applyFill="1" applyBorder="1" applyAlignment="1" applyProtection="1">
      <alignment horizontal="left"/>
      <protection hidden="1"/>
    </xf>
    <xf numFmtId="0" fontId="55" fillId="3" borderId="35" xfId="0" applyFont="1" applyFill="1" applyBorder="1" applyProtection="1">
      <protection hidden="1"/>
    </xf>
    <xf numFmtId="39" fontId="9" fillId="3" borderId="25" xfId="0" applyNumberFormat="1" applyFont="1" applyFill="1" applyBorder="1" applyProtection="1">
      <protection hidden="1"/>
    </xf>
    <xf numFmtId="0" fontId="0" fillId="21" borderId="25" xfId="0" applyFill="1" applyBorder="1" applyAlignment="1">
      <alignment horizontal="left"/>
    </xf>
    <xf numFmtId="0" fontId="55" fillId="3" borderId="25" xfId="0" applyFont="1" applyFill="1" applyBorder="1" applyProtection="1">
      <protection hidden="1"/>
    </xf>
    <xf numFmtId="39" fontId="11" fillId="3" borderId="11" xfId="0" applyNumberFormat="1" applyFont="1" applyFill="1" applyBorder="1" applyAlignment="1" applyProtection="1">
      <alignment horizontal="center"/>
      <protection hidden="1"/>
    </xf>
    <xf numFmtId="0" fontId="5" fillId="3" borderId="14" xfId="0" applyFont="1" applyFill="1" applyBorder="1" applyAlignment="1" applyProtection="1">
      <alignment horizontal="left"/>
      <protection hidden="1"/>
    </xf>
    <xf numFmtId="39" fontId="9" fillId="3" borderId="14" xfId="0" applyNumberFormat="1" applyFont="1" applyFill="1" applyBorder="1" applyAlignment="1" applyProtection="1">
      <protection hidden="1"/>
    </xf>
    <xf numFmtId="0" fontId="16" fillId="3" borderId="35" xfId="0" applyFont="1" applyFill="1" applyBorder="1" applyAlignment="1" applyProtection="1">
      <alignment vertical="center"/>
      <protection hidden="1"/>
    </xf>
    <xf numFmtId="0" fontId="11" fillId="20" borderId="6" xfId="0" applyFont="1" applyFill="1" applyBorder="1" applyAlignment="1" applyProtection="1">
      <alignment horizontal="centerContinuous" vertical="center"/>
      <protection hidden="1"/>
    </xf>
    <xf numFmtId="0" fontId="11" fillId="20" borderId="6" xfId="0" applyFont="1" applyFill="1" applyBorder="1" applyAlignment="1" applyProtection="1">
      <alignment horizontal="centerContinuous"/>
      <protection hidden="1"/>
    </xf>
    <xf numFmtId="1" fontId="6" fillId="3" borderId="12" xfId="0" applyNumberFormat="1" applyFont="1" applyFill="1" applyBorder="1" applyAlignment="1" applyProtection="1">
      <alignment horizontal="right"/>
      <protection hidden="1"/>
    </xf>
    <xf numFmtId="0" fontId="6" fillId="3" borderId="25" xfId="0" applyFont="1" applyFill="1" applyBorder="1" applyAlignment="1" applyProtection="1">
      <alignment horizontal="right"/>
      <protection hidden="1"/>
    </xf>
    <xf numFmtId="0" fontId="5" fillId="3" borderId="5" xfId="0" applyFont="1" applyFill="1" applyBorder="1" applyProtection="1">
      <protection hidden="1"/>
    </xf>
    <xf numFmtId="0" fontId="6" fillId="21" borderId="40" xfId="0" applyFont="1" applyFill="1" applyBorder="1" applyAlignment="1" applyProtection="1">
      <alignment horizontal="center" vertical="center" wrapText="1"/>
      <protection hidden="1"/>
    </xf>
    <xf numFmtId="0" fontId="1" fillId="21" borderId="26" xfId="0" applyFont="1" applyFill="1" applyBorder="1" applyAlignment="1" applyProtection="1">
      <alignment horizontal="center" vertical="center" wrapText="1"/>
      <protection hidden="1"/>
    </xf>
    <xf numFmtId="0" fontId="11" fillId="3" borderId="26" xfId="0" applyFont="1" applyFill="1" applyBorder="1" applyAlignment="1" applyProtection="1">
      <alignment horizontal="center" vertical="center"/>
      <protection hidden="1"/>
    </xf>
    <xf numFmtId="0" fontId="5" fillId="5" borderId="0" xfId="0" applyFont="1" applyFill="1"/>
    <xf numFmtId="0" fontId="3" fillId="0" borderId="0" xfId="0" applyFont="1" applyAlignment="1">
      <alignment horizontal="center" vertical="top" wrapText="1"/>
    </xf>
    <xf numFmtId="0" fontId="3" fillId="0" borderId="0" xfId="0" applyFont="1" applyAlignment="1">
      <alignment vertical="top" wrapText="1"/>
    </xf>
    <xf numFmtId="0" fontId="6" fillId="3" borderId="16" xfId="0" applyFont="1" applyFill="1" applyBorder="1" applyAlignment="1" applyProtection="1">
      <alignment horizontal="center"/>
      <protection hidden="1"/>
    </xf>
    <xf numFmtId="39" fontId="6" fillId="3" borderId="9" xfId="0" applyNumberFormat="1" applyFont="1" applyFill="1" applyBorder="1" applyProtection="1">
      <protection hidden="1"/>
    </xf>
    <xf numFmtId="39" fontId="9" fillId="3" borderId="9" xfId="0" applyNumberFormat="1" applyFont="1" applyFill="1" applyBorder="1" applyProtection="1">
      <protection hidden="1"/>
    </xf>
    <xf numFmtId="39" fontId="9" fillId="3" borderId="9" xfId="0" applyNumberFormat="1" applyFont="1" applyFill="1" applyBorder="1" applyAlignment="1" applyProtection="1">
      <alignment horizontal="center"/>
      <protection hidden="1"/>
    </xf>
    <xf numFmtId="0" fontId="7" fillId="3" borderId="40" xfId="0" applyFont="1" applyFill="1" applyBorder="1" applyAlignment="1" applyProtection="1">
      <alignment horizontal="center"/>
      <protection hidden="1"/>
    </xf>
    <xf numFmtId="0" fontId="6" fillId="3" borderId="24" xfId="0" applyFont="1" applyFill="1" applyBorder="1" applyProtection="1">
      <protection hidden="1"/>
    </xf>
    <xf numFmtId="4" fontId="0" fillId="3" borderId="20" xfId="0" applyNumberFormat="1" applyFill="1" applyBorder="1" applyProtection="1">
      <protection hidden="1"/>
    </xf>
    <xf numFmtId="0" fontId="6" fillId="21" borderId="6" xfId="0" applyFont="1" applyFill="1" applyBorder="1" applyAlignment="1" applyProtection="1">
      <alignment horizontal="center"/>
      <protection hidden="1"/>
    </xf>
    <xf numFmtId="0" fontId="6" fillId="21" borderId="22" xfId="0" applyFont="1" applyFill="1" applyBorder="1" applyAlignment="1" applyProtection="1">
      <alignment horizontal="center"/>
      <protection hidden="1"/>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0" fontId="210" fillId="3" borderId="0" xfId="0" applyFont="1" applyFill="1" applyBorder="1" applyProtection="1">
      <protection hidden="1"/>
    </xf>
    <xf numFmtId="0" fontId="209" fillId="3" borderId="0" xfId="0" applyFont="1" applyFill="1" applyBorder="1" applyAlignment="1" applyProtection="1">
      <alignment horizontal="left"/>
      <protection hidden="1"/>
    </xf>
    <xf numFmtId="0" fontId="210" fillId="3" borderId="0" xfId="0" applyFont="1" applyFill="1" applyBorder="1" applyAlignment="1" applyProtection="1">
      <alignment horizontal="left"/>
      <protection hidden="1"/>
    </xf>
    <xf numFmtId="0" fontId="210" fillId="3" borderId="0" xfId="0" applyFont="1" applyFill="1" applyBorder="1" applyAlignment="1" applyProtection="1">
      <alignment horizontal="left" vertical="center"/>
      <protection hidden="1"/>
    </xf>
    <xf numFmtId="0" fontId="4" fillId="24" borderId="0" xfId="0" applyFont="1" applyFill="1" applyBorder="1" applyAlignment="1" applyProtection="1">
      <alignment horizontal="center"/>
      <protection locked="0"/>
    </xf>
    <xf numFmtId="0" fontId="8" fillId="22" borderId="0" xfId="0" applyFont="1" applyFill="1" applyBorder="1" applyAlignment="1">
      <alignment vertical="center"/>
    </xf>
    <xf numFmtId="0" fontId="0" fillId="0" borderId="0" xfId="0" applyAlignment="1">
      <alignment horizontal="center"/>
    </xf>
    <xf numFmtId="0" fontId="19" fillId="3" borderId="0" xfId="0" applyFont="1" applyFill="1" applyBorder="1" applyAlignment="1" applyProtection="1">
      <alignment horizontal="left"/>
      <protection hidden="1"/>
    </xf>
    <xf numFmtId="37" fontId="6" fillId="34" borderId="1" xfId="0" applyNumberFormat="1" applyFont="1" applyFill="1" applyBorder="1" applyAlignment="1" applyProtection="1">
      <alignment horizontal="right"/>
      <protection hidden="1"/>
    </xf>
    <xf numFmtId="0" fontId="8" fillId="3" borderId="0" xfId="0" applyFont="1" applyFill="1" applyBorder="1" applyAlignment="1" applyProtection="1">
      <alignment horizontal="left"/>
      <protection hidden="1"/>
    </xf>
    <xf numFmtId="0" fontId="211" fillId="0" borderId="0" xfId="0" applyFont="1" applyAlignment="1">
      <alignment vertical="center"/>
    </xf>
    <xf numFmtId="0" fontId="212" fillId="0" borderId="0" xfId="0" applyFont="1" applyAlignment="1">
      <alignment vertical="center"/>
    </xf>
    <xf numFmtId="3" fontId="211" fillId="0" borderId="0" xfId="0" applyNumberFormat="1" applyFont="1" applyAlignment="1">
      <alignment vertical="center"/>
    </xf>
    <xf numFmtId="0" fontId="8" fillId="21" borderId="3" xfId="0" applyFont="1" applyFill="1" applyBorder="1" applyAlignment="1" applyProtection="1">
      <protection hidden="1"/>
    </xf>
    <xf numFmtId="0" fontId="0" fillId="0" borderId="0" xfId="0" applyBorder="1" applyAlignment="1">
      <alignment horizontal="center"/>
    </xf>
    <xf numFmtId="0" fontId="19" fillId="21" borderId="24" xfId="0" applyFont="1" applyFill="1" applyBorder="1" applyProtection="1">
      <protection hidden="1"/>
    </xf>
    <xf numFmtId="0" fontId="19" fillId="21" borderId="8" xfId="0" applyFont="1" applyFill="1" applyBorder="1" applyProtection="1">
      <protection hidden="1"/>
    </xf>
    <xf numFmtId="0" fontId="66" fillId="21" borderId="8" xfId="0" applyFont="1" applyFill="1" applyBorder="1" applyAlignment="1">
      <alignment horizontal="center"/>
    </xf>
    <xf numFmtId="0" fontId="0" fillId="21" borderId="8" xfId="0" applyFill="1" applyBorder="1"/>
    <xf numFmtId="0" fontId="0" fillId="21" borderId="20" xfId="0" applyFill="1" applyBorder="1"/>
    <xf numFmtId="0" fontId="19" fillId="21" borderId="6" xfId="0" applyFont="1" applyFill="1" applyBorder="1" applyAlignment="1" applyProtection="1">
      <alignment horizontal="center"/>
      <protection hidden="1"/>
    </xf>
    <xf numFmtId="0" fontId="19" fillId="21" borderId="0" xfId="0" applyFont="1" applyFill="1" applyBorder="1" applyProtection="1">
      <protection hidden="1"/>
    </xf>
    <xf numFmtId="0" fontId="66" fillId="21" borderId="0" xfId="0" applyFont="1" applyFill="1" applyBorder="1" applyAlignment="1">
      <alignment horizontal="center"/>
    </xf>
    <xf numFmtId="0" fontId="0" fillId="21" borderId="0" xfId="0" applyFill="1" applyBorder="1"/>
    <xf numFmtId="0" fontId="0" fillId="21" borderId="21" xfId="0" applyFill="1" applyBorder="1"/>
    <xf numFmtId="0" fontId="0" fillId="21" borderId="6" xfId="0" applyFill="1" applyBorder="1" applyAlignment="1">
      <alignment horizontal="center"/>
    </xf>
    <xf numFmtId="0" fontId="19" fillId="21" borderId="1" xfId="0" applyFont="1" applyFill="1" applyBorder="1" applyAlignment="1" applyProtection="1">
      <alignment horizontal="center" vertical="center"/>
      <protection hidden="1"/>
    </xf>
    <xf numFmtId="0" fontId="3" fillId="21" borderId="1" xfId="0" applyFont="1" applyFill="1" applyBorder="1" applyAlignment="1" applyProtection="1">
      <alignment horizontal="center" vertical="center"/>
      <protection hidden="1"/>
    </xf>
    <xf numFmtId="0" fontId="19" fillId="21" borderId="30" xfId="0" applyFont="1" applyFill="1" applyBorder="1" applyAlignment="1" applyProtection="1">
      <alignment horizontal="center" vertical="center"/>
      <protection hidden="1"/>
    </xf>
    <xf numFmtId="0" fontId="19" fillId="21" borderId="0" xfId="0" applyFont="1" applyFill="1" applyBorder="1" applyAlignment="1" applyProtection="1">
      <alignment horizontal="right" vertical="center"/>
      <protection hidden="1"/>
    </xf>
    <xf numFmtId="0" fontId="3" fillId="21" borderId="0" xfId="0" applyFont="1" applyFill="1" applyBorder="1" applyAlignment="1" applyProtection="1">
      <alignment horizontal="right" vertical="center"/>
      <protection hidden="1"/>
    </xf>
    <xf numFmtId="0" fontId="19" fillId="21" borderId="21" xfId="0" applyFont="1" applyFill="1" applyBorder="1" applyAlignment="1" applyProtection="1">
      <alignment horizontal="right" vertical="center"/>
      <protection hidden="1"/>
    </xf>
    <xf numFmtId="0" fontId="3" fillId="21" borderId="21" xfId="0" applyFont="1" applyFill="1" applyBorder="1" applyProtection="1">
      <protection hidden="1"/>
    </xf>
    <xf numFmtId="0" fontId="19" fillId="21" borderId="0" xfId="0" applyFont="1" applyFill="1" applyBorder="1" applyAlignment="1" applyProtection="1">
      <alignment horizontal="center"/>
      <protection hidden="1"/>
    </xf>
    <xf numFmtId="0" fontId="19" fillId="21" borderId="22" xfId="0" applyFont="1" applyFill="1" applyBorder="1" applyAlignment="1" applyProtection="1">
      <alignment horizontal="center"/>
      <protection hidden="1"/>
    </xf>
    <xf numFmtId="0" fontId="19" fillId="21" borderId="5" xfId="0" applyFont="1" applyFill="1" applyBorder="1" applyAlignment="1" applyProtection="1">
      <alignment horizontal="center"/>
      <protection hidden="1"/>
    </xf>
    <xf numFmtId="0" fontId="0" fillId="21" borderId="5" xfId="0" applyFill="1" applyBorder="1"/>
    <xf numFmtId="0" fontId="0" fillId="21" borderId="23" xfId="0" applyFill="1" applyBorder="1"/>
    <xf numFmtId="0" fontId="2" fillId="4" borderId="0" xfId="0" applyFont="1" applyFill="1" applyBorder="1" applyAlignment="1" applyProtection="1">
      <alignment vertical="center"/>
      <protection hidden="1"/>
    </xf>
    <xf numFmtId="0" fontId="148" fillId="2" borderId="0" xfId="4" applyFont="1" applyFill="1" applyBorder="1" applyAlignment="1" applyProtection="1">
      <alignment horizontal="right"/>
      <protection hidden="1"/>
    </xf>
    <xf numFmtId="0" fontId="213" fillId="2" borderId="0" xfId="4" applyFont="1" applyFill="1" applyBorder="1" applyAlignment="1" applyProtection="1">
      <alignment horizontal="left" vertical="center"/>
      <protection hidden="1"/>
    </xf>
    <xf numFmtId="49" fontId="4" fillId="2" borderId="3" xfId="4" applyNumberFormat="1" applyFont="1" applyFill="1" applyBorder="1" applyAlignment="1" applyProtection="1">
      <alignment horizontal="right"/>
      <protection hidden="1"/>
    </xf>
    <xf numFmtId="49" fontId="4" fillId="2" borderId="3" xfId="4" applyNumberFormat="1" applyFont="1" applyFill="1" applyBorder="1" applyAlignment="1" applyProtection="1">
      <alignment horizontal="right" vertical="center"/>
      <protection hidden="1"/>
    </xf>
    <xf numFmtId="49" fontId="4" fillId="2" borderId="3" xfId="4" applyNumberFormat="1" applyFont="1" applyFill="1" applyBorder="1" applyAlignment="1" applyProtection="1">
      <alignment horizontal="right" vertical="top"/>
      <protection hidden="1"/>
    </xf>
    <xf numFmtId="0" fontId="4" fillId="2" borderId="3" xfId="4" applyFont="1" applyFill="1" applyBorder="1" applyProtection="1">
      <protection hidden="1"/>
    </xf>
    <xf numFmtId="0" fontId="3" fillId="2" borderId="25" xfId="4" applyFont="1" applyFill="1" applyBorder="1" applyProtection="1">
      <protection hidden="1"/>
    </xf>
    <xf numFmtId="4" fontId="3" fillId="2" borderId="3" xfId="4" applyNumberFormat="1" applyFont="1" applyFill="1" applyBorder="1" applyProtection="1">
      <protection hidden="1"/>
    </xf>
    <xf numFmtId="37" fontId="5" fillId="3" borderId="0" xfId="0" applyNumberFormat="1" applyFont="1" applyFill="1" applyBorder="1" applyAlignment="1" applyProtection="1">
      <alignment horizontal="right"/>
      <protection locked="0"/>
    </xf>
    <xf numFmtId="37" fontId="5" fillId="36" borderId="1" xfId="0" applyNumberFormat="1" applyFont="1" applyFill="1" applyBorder="1" applyAlignment="1" applyProtection="1">
      <alignment horizontal="right"/>
      <protection locked="0"/>
    </xf>
    <xf numFmtId="37" fontId="8" fillId="36" borderId="1" xfId="0" applyNumberFormat="1" applyFont="1" applyFill="1" applyBorder="1" applyAlignment="1" applyProtection="1">
      <alignment horizontal="right"/>
      <protection locked="0"/>
    </xf>
    <xf numFmtId="0" fontId="6" fillId="15" borderId="0" xfId="0" applyFont="1" applyFill="1" applyBorder="1" applyAlignment="1" applyProtection="1">
      <alignment horizontal="right" vertical="center"/>
      <protection hidden="1"/>
    </xf>
    <xf numFmtId="4" fontId="0" fillId="21" borderId="0" xfId="0" applyNumberFormat="1" applyFill="1" applyProtection="1">
      <protection hidden="1"/>
    </xf>
    <xf numFmtId="4" fontId="169" fillId="2" borderId="0" xfId="0" applyNumberFormat="1" applyFont="1" applyFill="1" applyAlignment="1" applyProtection="1">
      <alignment horizontal="right"/>
      <protection hidden="1"/>
    </xf>
    <xf numFmtId="37" fontId="5" fillId="34" borderId="40" xfId="0" applyNumberFormat="1" applyFont="1" applyFill="1" applyBorder="1" applyAlignment="1" applyProtection="1">
      <alignment horizontal="right"/>
      <protection hidden="1"/>
    </xf>
    <xf numFmtId="0" fontId="1" fillId="3" borderId="0" xfId="0" applyFont="1" applyFill="1" applyBorder="1" applyAlignment="1" applyProtection="1">
      <alignment horizontal="center" vertical="center"/>
      <protection locked="0"/>
    </xf>
    <xf numFmtId="0" fontId="3" fillId="5" borderId="0" xfId="0" applyFont="1" applyFill="1" applyAlignment="1" applyProtection="1">
      <alignment horizontal="right"/>
      <protection hidden="1"/>
    </xf>
    <xf numFmtId="39" fontId="214" fillId="3" borderId="0" xfId="0" applyNumberFormat="1" applyFont="1" applyFill="1" applyBorder="1" applyAlignment="1" applyProtection="1">
      <alignment horizontal="center"/>
      <protection hidden="1"/>
    </xf>
    <xf numFmtId="39" fontId="167" fillId="3" borderId="0" xfId="0" applyNumberFormat="1" applyFont="1" applyFill="1" applyBorder="1" applyAlignment="1" applyProtection="1">
      <alignment horizontal="right"/>
      <protection hidden="1"/>
    </xf>
    <xf numFmtId="0" fontId="169" fillId="0" borderId="0" xfId="0" applyFont="1"/>
    <xf numFmtId="3" fontId="169" fillId="0" borderId="0" xfId="0" applyNumberFormat="1" applyFont="1"/>
    <xf numFmtId="0" fontId="13" fillId="35" borderId="128" xfId="0" applyFont="1" applyFill="1" applyBorder="1" applyAlignment="1" applyProtection="1">
      <protection hidden="1"/>
    </xf>
    <xf numFmtId="0" fontId="13" fillId="35" borderId="28" xfId="0" applyFont="1" applyFill="1" applyBorder="1" applyAlignment="1" applyProtection="1">
      <protection hidden="1"/>
    </xf>
    <xf numFmtId="0" fontId="14" fillId="30" borderId="28" xfId="0" applyFont="1" applyFill="1" applyBorder="1" applyAlignment="1" applyProtection="1">
      <protection hidden="1"/>
    </xf>
    <xf numFmtId="0" fontId="14" fillId="30" borderId="129" xfId="0" applyFont="1" applyFill="1" applyBorder="1" applyAlignment="1" applyProtection="1">
      <protection hidden="1"/>
    </xf>
    <xf numFmtId="0" fontId="8" fillId="30" borderId="6" xfId="0" applyFont="1" applyFill="1" applyBorder="1" applyAlignment="1" applyProtection="1">
      <alignment horizontal="center"/>
      <protection hidden="1"/>
    </xf>
    <xf numFmtId="0" fontId="8" fillId="30" borderId="0" xfId="0" applyFont="1" applyFill="1" applyBorder="1" applyAlignment="1" applyProtection="1">
      <alignment horizontal="center"/>
      <protection hidden="1"/>
    </xf>
    <xf numFmtId="49" fontId="11" fillId="30" borderId="0" xfId="0" applyNumberFormat="1" applyFont="1" applyFill="1" applyBorder="1" applyAlignment="1" applyProtection="1">
      <alignment horizontal="center"/>
      <protection hidden="1"/>
    </xf>
    <xf numFmtId="0" fontId="8" fillId="30" borderId="0" xfId="0" applyFont="1" applyFill="1" applyBorder="1" applyAlignment="1" applyProtection="1">
      <alignment horizontal="left"/>
      <protection hidden="1"/>
    </xf>
    <xf numFmtId="0" fontId="5" fillId="30" borderId="0" xfId="0" applyFont="1" applyFill="1" applyBorder="1" applyProtection="1">
      <protection hidden="1"/>
    </xf>
    <xf numFmtId="0" fontId="75" fillId="30" borderId="21" xfId="0" applyFont="1" applyFill="1" applyBorder="1" applyProtection="1">
      <protection hidden="1"/>
    </xf>
    <xf numFmtId="0" fontId="0" fillId="30" borderId="0" xfId="0" applyFill="1" applyBorder="1" applyAlignment="1" applyProtection="1">
      <alignment vertical="center"/>
      <protection hidden="1"/>
    </xf>
    <xf numFmtId="3" fontId="31" fillId="30" borderId="6" xfId="0" applyNumberFormat="1" applyFont="1" applyFill="1" applyBorder="1" applyAlignment="1" applyProtection="1">
      <alignment horizontal="right"/>
      <protection hidden="1"/>
    </xf>
    <xf numFmtId="0" fontId="75" fillId="30" borderId="0" xfId="0" applyFont="1" applyFill="1" applyBorder="1" applyProtection="1">
      <protection hidden="1"/>
    </xf>
    <xf numFmtId="3" fontId="31" fillId="30" borderId="0" xfId="0" applyNumberFormat="1" applyFont="1" applyFill="1" applyBorder="1" applyAlignment="1" applyProtection="1">
      <alignment horizontal="right"/>
      <protection hidden="1"/>
    </xf>
    <xf numFmtId="0" fontId="31" fillId="30" borderId="6" xfId="0" applyFont="1" applyFill="1" applyBorder="1" applyAlignment="1" applyProtection="1">
      <alignment horizontal="center"/>
      <protection hidden="1"/>
    </xf>
    <xf numFmtId="3" fontId="8" fillId="30" borderId="0" xfId="0" applyNumberFormat="1" applyFont="1" applyFill="1" applyBorder="1" applyAlignment="1" applyProtection="1">
      <alignment horizontal="center"/>
      <protection hidden="1"/>
    </xf>
    <xf numFmtId="0" fontId="107" fillId="30" borderId="22" xfId="0" applyFont="1" applyFill="1" applyBorder="1" applyProtection="1">
      <protection hidden="1"/>
    </xf>
    <xf numFmtId="3" fontId="31" fillId="30" borderId="5" xfId="0" applyNumberFormat="1" applyFont="1" applyFill="1" applyBorder="1" applyAlignment="1" applyProtection="1">
      <alignment horizontal="right"/>
      <protection hidden="1"/>
    </xf>
    <xf numFmtId="3" fontId="8" fillId="30" borderId="5" xfId="0" applyNumberFormat="1" applyFont="1" applyFill="1" applyBorder="1" applyAlignment="1" applyProtection="1">
      <alignment horizontal="center"/>
      <protection hidden="1"/>
    </xf>
    <xf numFmtId="0" fontId="8" fillId="30" borderId="5" xfId="0" applyFont="1" applyFill="1" applyBorder="1" applyAlignment="1" applyProtection="1">
      <alignment horizontal="left"/>
      <protection hidden="1"/>
    </xf>
    <xf numFmtId="0" fontId="8" fillId="30" borderId="5" xfId="0" applyFont="1" applyFill="1" applyBorder="1" applyAlignment="1" applyProtection="1">
      <alignment horizontal="center"/>
      <protection hidden="1"/>
    </xf>
    <xf numFmtId="0" fontId="75" fillId="30" borderId="5" xfId="0" applyFont="1" applyFill="1" applyBorder="1" applyProtection="1">
      <protection hidden="1"/>
    </xf>
    <xf numFmtId="0" fontId="75" fillId="30" borderId="23" xfId="0" applyFont="1" applyFill="1" applyBorder="1" applyProtection="1">
      <protection hidden="1"/>
    </xf>
    <xf numFmtId="0" fontId="181" fillId="30" borderId="0" xfId="0" applyFont="1" applyFill="1" applyBorder="1" applyAlignment="1" applyProtection="1">
      <alignment horizontal="center"/>
      <protection hidden="1"/>
    </xf>
    <xf numFmtId="0" fontId="8" fillId="30" borderId="0" xfId="0" applyFont="1" applyFill="1" applyBorder="1" applyAlignment="1" applyProtection="1">
      <alignment horizontal="right"/>
      <protection hidden="1"/>
    </xf>
    <xf numFmtId="3" fontId="215" fillId="30" borderId="0" xfId="0" applyNumberFormat="1" applyFont="1" applyFill="1" applyBorder="1" applyAlignment="1" applyProtection="1">
      <alignment horizontal="center"/>
      <protection hidden="1"/>
    </xf>
    <xf numFmtId="0" fontId="185" fillId="30" borderId="0" xfId="0" applyFont="1" applyFill="1" applyBorder="1" applyAlignment="1" applyProtection="1">
      <alignment horizontal="center"/>
      <protection hidden="1"/>
    </xf>
    <xf numFmtId="0" fontId="67" fillId="5" borderId="0" xfId="0" applyFont="1" applyFill="1" applyAlignment="1">
      <alignment horizontal="right"/>
    </xf>
    <xf numFmtId="0" fontId="216" fillId="5" borderId="2" xfId="2" applyFont="1" applyFill="1" applyBorder="1" applyAlignment="1" applyProtection="1">
      <alignment horizontal="center" vertical="center"/>
    </xf>
    <xf numFmtId="0" fontId="19" fillId="30" borderId="28" xfId="0" applyFont="1" applyFill="1" applyBorder="1" applyProtection="1">
      <protection hidden="1"/>
    </xf>
    <xf numFmtId="0" fontId="0" fillId="30" borderId="28" xfId="0" applyFill="1" applyBorder="1" applyAlignment="1" applyProtection="1">
      <alignment horizontal="center"/>
      <protection hidden="1"/>
    </xf>
    <xf numFmtId="0" fontId="19" fillId="30" borderId="6" xfId="0" applyFont="1" applyFill="1" applyBorder="1" applyProtection="1">
      <protection hidden="1"/>
    </xf>
    <xf numFmtId="0" fontId="19" fillId="30" borderId="0" xfId="0" applyFont="1" applyFill="1" applyBorder="1" applyProtection="1">
      <protection hidden="1"/>
    </xf>
    <xf numFmtId="0" fontId="0" fillId="30" borderId="0" xfId="0" applyFill="1" applyBorder="1" applyAlignment="1" applyProtection="1">
      <alignment horizontal="center"/>
      <protection hidden="1"/>
    </xf>
    <xf numFmtId="0" fontId="19" fillId="30" borderId="21" xfId="0" applyFont="1" applyFill="1" applyBorder="1" applyProtection="1">
      <protection hidden="1"/>
    </xf>
    <xf numFmtId="0" fontId="1" fillId="30" borderId="6" xfId="0" applyFont="1" applyFill="1" applyBorder="1" applyAlignment="1" applyProtection="1">
      <alignment horizontal="left"/>
      <protection hidden="1"/>
    </xf>
    <xf numFmtId="0" fontId="1" fillId="30" borderId="0" xfId="0" applyFont="1" applyFill="1" applyBorder="1" applyAlignment="1" applyProtection="1">
      <alignment horizontal="left"/>
      <protection hidden="1"/>
    </xf>
    <xf numFmtId="0" fontId="3" fillId="30" borderId="0" xfId="0" applyFont="1" applyFill="1" applyBorder="1" applyProtection="1">
      <protection hidden="1"/>
    </xf>
    <xf numFmtId="0" fontId="0" fillId="30" borderId="0" xfId="0" applyFill="1" applyBorder="1" applyAlignment="1" applyProtection="1">
      <alignment horizontal="left"/>
      <protection hidden="1"/>
    </xf>
    <xf numFmtId="0" fontId="3" fillId="30" borderId="0" xfId="0" applyFont="1" applyFill="1" applyBorder="1" applyAlignment="1" applyProtection="1">
      <alignment vertical="top"/>
      <protection hidden="1"/>
    </xf>
    <xf numFmtId="0" fontId="11" fillId="30" borderId="6" xfId="0" applyFont="1" applyFill="1" applyBorder="1" applyAlignment="1" applyProtection="1">
      <alignment horizontal="center"/>
      <protection hidden="1"/>
    </xf>
    <xf numFmtId="37" fontId="6" fillId="34" borderId="2" xfId="0" applyNumberFormat="1" applyFont="1" applyFill="1" applyBorder="1" applyAlignment="1" applyProtection="1">
      <alignment horizontal="center" vertical="center"/>
      <protection hidden="1"/>
    </xf>
    <xf numFmtId="0" fontId="180" fillId="2" borderId="0" xfId="0" applyFont="1" applyFill="1" applyProtection="1">
      <protection hidden="1"/>
    </xf>
    <xf numFmtId="37" fontId="217" fillId="3" borderId="9" xfId="0" applyNumberFormat="1" applyFont="1" applyFill="1" applyBorder="1" applyAlignment="1" applyProtection="1">
      <alignment horizontal="left" vertical="top" wrapText="1"/>
      <protection hidden="1"/>
    </xf>
    <xf numFmtId="3" fontId="194" fillId="30" borderId="0" xfId="0" applyNumberFormat="1" applyFont="1" applyFill="1" applyBorder="1" applyProtection="1">
      <protection hidden="1"/>
    </xf>
    <xf numFmtId="3" fontId="7" fillId="34" borderId="2" xfId="0" applyNumberFormat="1" applyFont="1" applyFill="1" applyBorder="1" applyAlignment="1" applyProtection="1">
      <alignment horizontal="center" vertical="top"/>
      <protection hidden="1"/>
    </xf>
    <xf numFmtId="0" fontId="14" fillId="21" borderId="0" xfId="0" applyFont="1" applyFill="1" applyBorder="1" applyAlignment="1" applyProtection="1">
      <protection hidden="1"/>
    </xf>
    <xf numFmtId="0" fontId="0" fillId="21" borderId="1" xfId="0" applyFill="1" applyBorder="1" applyAlignment="1">
      <alignment horizontal="left" vertical="top"/>
    </xf>
    <xf numFmtId="0" fontId="0" fillId="21" borderId="12" xfId="0" applyFill="1" applyBorder="1" applyAlignment="1">
      <alignment horizontal="left" vertical="top"/>
    </xf>
    <xf numFmtId="0" fontId="14" fillId="21" borderId="25" xfId="0" applyFont="1" applyFill="1" applyBorder="1" applyAlignment="1" applyProtection="1">
      <protection hidden="1"/>
    </xf>
    <xf numFmtId="0" fontId="11" fillId="22" borderId="90" xfId="4" applyFont="1" applyFill="1" applyBorder="1" applyAlignment="1" applyProtection="1">
      <alignment horizontal="center" vertical="center"/>
      <protection locked="0"/>
    </xf>
    <xf numFmtId="174" fontId="167" fillId="0" borderId="0" xfId="0" applyNumberFormat="1" applyFont="1" applyAlignment="1">
      <alignment horizontal="center" vertical="top" wrapText="1"/>
    </xf>
    <xf numFmtId="0" fontId="167" fillId="0" borderId="0" xfId="0" applyFont="1" applyAlignment="1">
      <alignment horizontal="center" vertical="top" wrapText="1"/>
    </xf>
    <xf numFmtId="0" fontId="167" fillId="0" borderId="0" xfId="0" applyFont="1" applyAlignment="1">
      <alignment vertical="top" wrapText="1"/>
    </xf>
    <xf numFmtId="0" fontId="1" fillId="3" borderId="13" xfId="0" applyFont="1" applyFill="1" applyBorder="1" applyAlignment="1" applyProtection="1">
      <alignment horizontal="center" vertical="center"/>
      <protection locked="0"/>
    </xf>
    <xf numFmtId="0" fontId="167" fillId="0" borderId="0" xfId="0" applyFont="1" applyFill="1" applyProtection="1">
      <protection hidden="1"/>
    </xf>
    <xf numFmtId="0" fontId="2" fillId="2" borderId="0" xfId="4" applyFont="1" applyFill="1" applyBorder="1" applyAlignment="1" applyProtection="1">
      <alignment horizontal="left"/>
      <protection hidden="1"/>
    </xf>
    <xf numFmtId="0" fontId="218" fillId="0" borderId="1" xfId="0" applyFont="1" applyFill="1" applyBorder="1"/>
    <xf numFmtId="0" fontId="218" fillId="0" borderId="9" xfId="0" applyFont="1" applyFill="1" applyBorder="1"/>
    <xf numFmtId="0" fontId="218" fillId="0" borderId="13" xfId="0" applyFont="1" applyBorder="1" applyProtection="1">
      <protection locked="0"/>
    </xf>
    <xf numFmtId="0" fontId="8" fillId="3" borderId="0" xfId="0" applyFont="1" applyFill="1" applyBorder="1" applyAlignment="1" applyProtection="1">
      <alignment horizontal="left"/>
      <protection hidden="1"/>
    </xf>
    <xf numFmtId="0" fontId="219" fillId="24" borderId="0" xfId="0" applyFont="1" applyFill="1" applyBorder="1" applyAlignment="1" applyProtection="1">
      <alignment horizontal="right"/>
      <protection hidden="1"/>
    </xf>
    <xf numFmtId="164" fontId="1" fillId="2" borderId="60" xfId="0" applyNumberFormat="1" applyFont="1" applyFill="1" applyBorder="1" applyAlignment="1" applyProtection="1">
      <alignment horizontal="center" vertical="center"/>
      <protection locked="0"/>
    </xf>
    <xf numFmtId="0" fontId="0" fillId="0" borderId="0" xfId="0" applyAlignment="1">
      <alignment wrapText="1"/>
    </xf>
    <xf numFmtId="0" fontId="0" fillId="0" borderId="0" xfId="0" applyAlignment="1"/>
    <xf numFmtId="0" fontId="8" fillId="0" borderId="0" xfId="0" applyFont="1" applyFill="1" applyBorder="1" applyAlignment="1" applyProtection="1">
      <alignment horizontal="left"/>
      <protection hidden="1"/>
    </xf>
    <xf numFmtId="0" fontId="11" fillId="0" borderId="0" xfId="0" applyFont="1" applyFill="1" applyBorder="1" applyAlignment="1" applyProtection="1">
      <protection hidden="1"/>
    </xf>
    <xf numFmtId="166" fontId="1" fillId="22" borderId="11" xfId="0" applyNumberFormat="1" applyFont="1" applyFill="1" applyBorder="1" applyAlignment="1" applyProtection="1">
      <alignment horizontal="center" vertical="center"/>
      <protection locked="0"/>
    </xf>
    <xf numFmtId="181" fontId="8" fillId="5" borderId="0" xfId="0" applyNumberFormat="1" applyFont="1" applyFill="1" applyBorder="1" applyAlignment="1" applyProtection="1">
      <alignment horizontal="center" vertical="top"/>
      <protection hidden="1"/>
    </xf>
    <xf numFmtId="0" fontId="0" fillId="0" borderId="0" xfId="0" applyAlignment="1" applyProtection="1">
      <alignment horizontal="center"/>
      <protection hidden="1"/>
    </xf>
    <xf numFmtId="0" fontId="0" fillId="0" borderId="0" xfId="0" applyAlignment="1" applyProtection="1">
      <alignment horizontal="center"/>
      <protection hidden="1"/>
    </xf>
    <xf numFmtId="0" fontId="144" fillId="5" borderId="5" xfId="0" applyFont="1" applyFill="1" applyBorder="1" applyAlignment="1" applyProtection="1">
      <alignment horizontal="center"/>
      <protection hidden="1"/>
    </xf>
    <xf numFmtId="0" fontId="1" fillId="2" borderId="5" xfId="0" applyFont="1" applyFill="1" applyBorder="1" applyAlignment="1" applyProtection="1">
      <alignment vertical="top"/>
      <protection hidden="1"/>
    </xf>
    <xf numFmtId="0" fontId="3" fillId="2" borderId="5" xfId="0" applyFont="1" applyFill="1" applyBorder="1" applyProtection="1">
      <protection hidden="1"/>
    </xf>
    <xf numFmtId="0" fontId="8" fillId="2" borderId="5" xfId="0" applyFont="1" applyFill="1" applyBorder="1" applyAlignment="1" applyProtection="1">
      <alignment vertical="top"/>
      <protection hidden="1"/>
    </xf>
    <xf numFmtId="0" fontId="3" fillId="2" borderId="5" xfId="0" applyFont="1" applyFill="1" applyBorder="1" applyAlignment="1" applyProtection="1">
      <alignment horizontal="right"/>
      <protection hidden="1"/>
    </xf>
    <xf numFmtId="0" fontId="10" fillId="22" borderId="13" xfId="0" applyFont="1" applyFill="1" applyBorder="1" applyAlignment="1" applyProtection="1">
      <alignment horizontal="center" vertical="center"/>
      <protection locked="0"/>
    </xf>
    <xf numFmtId="0" fontId="144" fillId="5" borderId="0" xfId="0" applyFont="1" applyFill="1" applyBorder="1" applyAlignment="1" applyProtection="1">
      <alignment horizontal="center"/>
      <protection hidden="1"/>
    </xf>
    <xf numFmtId="0" fontId="0" fillId="21" borderId="6" xfId="0" applyFill="1" applyBorder="1" applyAlignment="1" applyProtection="1">
      <alignment horizontal="left"/>
      <protection hidden="1"/>
    </xf>
    <xf numFmtId="0" fontId="0" fillId="21" borderId="0" xfId="0" applyFill="1" applyBorder="1" applyAlignment="1" applyProtection="1">
      <alignment horizontal="left"/>
      <protection hidden="1"/>
    </xf>
    <xf numFmtId="0" fontId="0" fillId="21" borderId="21" xfId="0" applyFill="1" applyBorder="1" applyAlignment="1" applyProtection="1">
      <alignment horizontal="left"/>
      <protection hidden="1"/>
    </xf>
    <xf numFmtId="0" fontId="0" fillId="21" borderId="6" xfId="0" applyFill="1" applyBorder="1" applyAlignment="1" applyProtection="1">
      <protection hidden="1"/>
    </xf>
    <xf numFmtId="0" fontId="3" fillId="21" borderId="22" xfId="0" applyFont="1" applyFill="1" applyBorder="1" applyAlignment="1" applyProtection="1">
      <protection hidden="1"/>
    </xf>
    <xf numFmtId="0" fontId="0" fillId="21" borderId="5" xfId="0" applyFill="1" applyBorder="1" applyAlignment="1" applyProtection="1">
      <protection hidden="1"/>
    </xf>
    <xf numFmtId="0" fontId="3" fillId="21" borderId="8" xfId="0" applyFont="1" applyFill="1" applyBorder="1" applyProtection="1">
      <protection hidden="1"/>
    </xf>
    <xf numFmtId="0" fontId="3" fillId="21" borderId="37" xfId="0" applyFont="1" applyFill="1" applyBorder="1" applyProtection="1">
      <protection hidden="1"/>
    </xf>
    <xf numFmtId="0" fontId="0" fillId="21" borderId="59" xfId="0" applyFill="1" applyBorder="1" applyProtection="1">
      <protection hidden="1"/>
    </xf>
    <xf numFmtId="0" fontId="0" fillId="21" borderId="1" xfId="0" applyFill="1" applyBorder="1" applyProtection="1">
      <protection hidden="1"/>
    </xf>
    <xf numFmtId="0" fontId="10" fillId="21" borderId="26" xfId="0" applyFont="1" applyFill="1" applyBorder="1" applyAlignment="1" applyProtection="1">
      <alignment vertical="center"/>
      <protection hidden="1"/>
    </xf>
    <xf numFmtId="0" fontId="0" fillId="21" borderId="26" xfId="0" applyFill="1" applyBorder="1" applyProtection="1">
      <protection hidden="1"/>
    </xf>
    <xf numFmtId="0" fontId="0" fillId="21" borderId="16" xfId="0" applyFill="1" applyBorder="1" applyProtection="1">
      <protection hidden="1"/>
    </xf>
    <xf numFmtId="0" fontId="16" fillId="21" borderId="0" xfId="0" quotePrefix="1" applyFont="1" applyFill="1" applyBorder="1" applyAlignment="1" applyProtection="1">
      <alignment horizontal="center"/>
      <protection hidden="1"/>
    </xf>
    <xf numFmtId="0" fontId="1" fillId="21" borderId="11" xfId="0" applyFont="1" applyFill="1" applyBorder="1" applyAlignment="1" applyProtection="1">
      <alignment horizontal="center"/>
      <protection hidden="1"/>
    </xf>
    <xf numFmtId="0" fontId="0" fillId="21" borderId="7" xfId="0" applyFill="1" applyBorder="1" applyProtection="1">
      <protection hidden="1"/>
    </xf>
    <xf numFmtId="0" fontId="16" fillId="21" borderId="11" xfId="0" quotePrefix="1" applyFont="1" applyFill="1" applyBorder="1" applyAlignment="1" applyProtection="1">
      <alignment horizontal="center"/>
      <protection hidden="1"/>
    </xf>
    <xf numFmtId="0" fontId="16" fillId="21" borderId="0" xfId="0" quotePrefix="1" applyFont="1" applyFill="1" applyBorder="1" applyAlignment="1" applyProtection="1">
      <alignment horizontal="right"/>
      <protection hidden="1"/>
    </xf>
    <xf numFmtId="0" fontId="1" fillId="21" borderId="0" xfId="0" applyFont="1" applyFill="1" applyBorder="1" applyAlignment="1" applyProtection="1">
      <alignment horizontal="right"/>
      <protection hidden="1"/>
    </xf>
    <xf numFmtId="0" fontId="5" fillId="21" borderId="0" xfId="0" applyFont="1" applyFill="1" applyBorder="1" applyProtection="1">
      <protection hidden="1"/>
    </xf>
    <xf numFmtId="0" fontId="5" fillId="21" borderId="0" xfId="0" applyFont="1" applyFill="1" applyBorder="1" applyAlignment="1" applyProtection="1">
      <alignment vertical="top"/>
      <protection hidden="1"/>
    </xf>
    <xf numFmtId="0" fontId="0" fillId="25" borderId="7" xfId="0" applyFill="1" applyBorder="1" applyProtection="1">
      <protection hidden="1"/>
    </xf>
    <xf numFmtId="0" fontId="0" fillId="25" borderId="0" xfId="0" applyFill="1" applyBorder="1" applyProtection="1">
      <protection hidden="1"/>
    </xf>
    <xf numFmtId="0" fontId="1" fillId="21" borderId="0" xfId="0" applyFont="1" applyFill="1" applyBorder="1" applyProtection="1">
      <protection hidden="1"/>
    </xf>
    <xf numFmtId="0" fontId="0" fillId="21" borderId="7" xfId="0" applyFill="1" applyBorder="1" applyAlignment="1" applyProtection="1">
      <protection hidden="1"/>
    </xf>
    <xf numFmtId="0" fontId="16" fillId="21" borderId="29" xfId="0" quotePrefix="1" applyFont="1" applyFill="1" applyBorder="1" applyAlignment="1" applyProtection="1">
      <alignment horizontal="center"/>
      <protection hidden="1"/>
    </xf>
    <xf numFmtId="0" fontId="1" fillId="21" borderId="29" xfId="0" applyFont="1" applyFill="1" applyBorder="1" applyAlignment="1" applyProtection="1">
      <alignment horizontal="center"/>
      <protection hidden="1"/>
    </xf>
    <xf numFmtId="0" fontId="16" fillId="21" borderId="26" xfId="0" quotePrefix="1" applyFont="1" applyFill="1" applyBorder="1" applyAlignment="1" applyProtection="1">
      <alignment horizontal="right"/>
      <protection hidden="1"/>
    </xf>
    <xf numFmtId="0" fontId="16" fillId="21" borderId="26" xfId="0" quotePrefix="1" applyFont="1" applyFill="1" applyBorder="1" applyAlignment="1" applyProtection="1">
      <alignment horizontal="center"/>
      <protection hidden="1"/>
    </xf>
    <xf numFmtId="0" fontId="16" fillId="21" borderId="32" xfId="0" quotePrefix="1" applyFont="1" applyFill="1" applyBorder="1" applyAlignment="1" applyProtection="1">
      <alignment horizontal="right"/>
      <protection hidden="1"/>
    </xf>
    <xf numFmtId="0" fontId="16" fillId="21" borderId="32" xfId="0" quotePrefix="1" applyFont="1" applyFill="1" applyBorder="1" applyAlignment="1" applyProtection="1">
      <alignment horizontal="center"/>
      <protection hidden="1"/>
    </xf>
    <xf numFmtId="0" fontId="16" fillId="21" borderId="8" xfId="0" quotePrefix="1" applyFont="1" applyFill="1" applyBorder="1" applyAlignment="1" applyProtection="1">
      <alignment horizontal="right"/>
      <protection hidden="1"/>
    </xf>
    <xf numFmtId="0" fontId="5" fillId="21" borderId="0" xfId="0" applyFont="1" applyFill="1" applyBorder="1" applyAlignment="1" applyProtection="1">
      <alignment horizontal="right"/>
      <protection hidden="1"/>
    </xf>
    <xf numFmtId="0" fontId="5" fillId="21" borderId="1" xfId="0" applyFont="1" applyFill="1" applyBorder="1" applyProtection="1">
      <protection hidden="1"/>
    </xf>
    <xf numFmtId="0" fontId="5" fillId="21" borderId="1" xfId="0" applyFont="1" applyFill="1" applyBorder="1" applyAlignment="1" applyProtection="1">
      <alignment horizontal="right"/>
      <protection hidden="1"/>
    </xf>
    <xf numFmtId="0" fontId="10" fillId="21" borderId="1" xfId="0" applyFont="1" applyFill="1" applyBorder="1" applyAlignment="1" applyProtection="1">
      <alignment vertical="center"/>
      <protection hidden="1"/>
    </xf>
    <xf numFmtId="0" fontId="0" fillId="21" borderId="132" xfId="0" applyFill="1" applyBorder="1" applyProtection="1">
      <protection hidden="1"/>
    </xf>
    <xf numFmtId="0" fontId="0" fillId="21" borderId="132" xfId="0" applyFill="1" applyBorder="1" applyAlignment="1" applyProtection="1">
      <alignment horizontal="right"/>
      <protection hidden="1"/>
    </xf>
    <xf numFmtId="0" fontId="21" fillId="21" borderId="132" xfId="0" applyFont="1" applyFill="1" applyBorder="1" applyAlignment="1" applyProtection="1">
      <alignment horizontal="left"/>
      <protection hidden="1"/>
    </xf>
    <xf numFmtId="0" fontId="1" fillId="21" borderId="1" xfId="0" applyFont="1" applyFill="1" applyBorder="1" applyAlignment="1" applyProtection="1">
      <alignment vertical="center"/>
      <protection hidden="1"/>
    </xf>
    <xf numFmtId="0" fontId="16" fillId="21" borderId="9" xfId="0" applyFont="1" applyFill="1" applyBorder="1" applyAlignment="1" applyProtection="1">
      <alignment horizontal="center"/>
      <protection hidden="1"/>
    </xf>
    <xf numFmtId="0" fontId="0" fillId="21" borderId="9" xfId="0" applyFill="1" applyBorder="1" applyProtection="1">
      <protection hidden="1"/>
    </xf>
    <xf numFmtId="0" fontId="0" fillId="21" borderId="15" xfId="0" applyFill="1" applyBorder="1" applyProtection="1">
      <protection hidden="1"/>
    </xf>
    <xf numFmtId="0" fontId="16" fillId="21" borderId="31" xfId="0" applyFont="1" applyFill="1" applyBorder="1" applyAlignment="1" applyProtection="1">
      <alignment horizontal="center"/>
      <protection hidden="1"/>
    </xf>
    <xf numFmtId="0" fontId="16" fillId="21" borderId="0" xfId="0" applyFont="1" applyFill="1" applyBorder="1" applyProtection="1">
      <protection hidden="1"/>
    </xf>
    <xf numFmtId="0" fontId="10" fillId="21" borderId="28" xfId="0" applyFont="1" applyFill="1" applyBorder="1" applyAlignment="1" applyProtection="1">
      <alignment vertical="center"/>
      <protection hidden="1"/>
    </xf>
    <xf numFmtId="0" fontId="0" fillId="21" borderId="28" xfId="0" applyFill="1" applyBorder="1" applyProtection="1">
      <protection hidden="1"/>
    </xf>
    <xf numFmtId="0" fontId="0" fillId="21" borderId="1" xfId="0" applyFill="1" applyBorder="1" applyAlignment="1" applyProtection="1">
      <alignment horizontal="center" vertical="center"/>
      <protection hidden="1"/>
    </xf>
    <xf numFmtId="0" fontId="187" fillId="21" borderId="26" xfId="0" applyFont="1" applyFill="1" applyBorder="1" applyAlignment="1" applyProtection="1">
      <alignment horizontal="right"/>
      <protection hidden="1"/>
    </xf>
    <xf numFmtId="0" fontId="0" fillId="21" borderId="31" xfId="0" applyFill="1" applyBorder="1" applyProtection="1">
      <protection hidden="1"/>
    </xf>
    <xf numFmtId="0" fontId="0" fillId="21" borderId="3" xfId="0" applyFill="1" applyBorder="1" applyProtection="1">
      <protection hidden="1"/>
    </xf>
    <xf numFmtId="0" fontId="0" fillId="21" borderId="25" xfId="0" applyFill="1" applyBorder="1" applyProtection="1">
      <protection hidden="1"/>
    </xf>
    <xf numFmtId="0" fontId="1" fillId="21" borderId="3" xfId="0" quotePrefix="1" applyFont="1" applyFill="1" applyBorder="1" applyAlignment="1" applyProtection="1">
      <alignment horizontal="right"/>
      <protection hidden="1"/>
    </xf>
    <xf numFmtId="0" fontId="1" fillId="21" borderId="0" xfId="0" quotePrefix="1" applyFont="1" applyFill="1" applyBorder="1" applyAlignment="1" applyProtection="1">
      <alignment horizontal="right"/>
      <protection hidden="1"/>
    </xf>
    <xf numFmtId="0" fontId="0" fillId="21" borderId="10" xfId="0" applyFill="1" applyBorder="1" applyProtection="1">
      <protection hidden="1"/>
    </xf>
    <xf numFmtId="0" fontId="0" fillId="21" borderId="12" xfId="0" applyFill="1" applyBorder="1" applyProtection="1">
      <protection hidden="1"/>
    </xf>
    <xf numFmtId="0" fontId="1" fillId="5" borderId="0" xfId="0" applyFont="1" applyFill="1" applyBorder="1" applyAlignment="1" applyProtection="1">
      <alignment horizontal="left"/>
      <protection hidden="1"/>
    </xf>
    <xf numFmtId="0" fontId="16" fillId="5" borderId="0" xfId="0" applyFont="1" applyFill="1" applyBorder="1" applyAlignment="1" applyProtection="1">
      <alignment horizontal="left"/>
      <protection hidden="1"/>
    </xf>
    <xf numFmtId="3" fontId="167" fillId="0" borderId="0" xfId="0" applyNumberFormat="1" applyFont="1" applyAlignment="1" applyProtection="1">
      <alignment horizontal="right" wrapText="1"/>
      <protection hidden="1"/>
    </xf>
    <xf numFmtId="3" fontId="167" fillId="0" borderId="0" xfId="0" applyNumberFormat="1" applyFont="1" applyAlignment="1" applyProtection="1">
      <alignment horizontal="right"/>
      <protection hidden="1"/>
    </xf>
    <xf numFmtId="0" fontId="167" fillId="0" borderId="0" xfId="0" applyFont="1" applyAlignment="1" applyProtection="1">
      <alignment horizontal="right"/>
      <protection hidden="1"/>
    </xf>
    <xf numFmtId="0" fontId="187" fillId="5" borderId="0" xfId="0" applyFont="1" applyFill="1" applyBorder="1" applyAlignment="1" applyProtection="1">
      <alignment horizontal="center"/>
      <protection hidden="1"/>
    </xf>
    <xf numFmtId="0" fontId="220" fillId="0" borderId="0" xfId="0" applyFont="1" applyAlignment="1">
      <alignment vertical="center" wrapText="1"/>
    </xf>
    <xf numFmtId="0" fontId="10" fillId="33" borderId="13" xfId="0" applyFont="1" applyFill="1" applyBorder="1" applyAlignment="1" applyProtection="1">
      <alignment horizontal="center" vertical="center"/>
      <protection locked="0"/>
    </xf>
    <xf numFmtId="0" fontId="10" fillId="33" borderId="13" xfId="0" applyFont="1" applyFill="1" applyBorder="1" applyAlignment="1" applyProtection="1">
      <alignment horizontal="center" vertical="center"/>
      <protection hidden="1"/>
    </xf>
    <xf numFmtId="0" fontId="220" fillId="0" borderId="0" xfId="0" applyFont="1" applyAlignment="1" applyProtection="1">
      <alignment vertical="center"/>
      <protection hidden="1"/>
    </xf>
    <xf numFmtId="0" fontId="222" fillId="0" borderId="47" xfId="0" quotePrefix="1" applyFont="1" applyBorder="1" applyAlignment="1">
      <alignment horizontal="center" vertical="center" wrapText="1"/>
    </xf>
    <xf numFmtId="0" fontId="222" fillId="0" borderId="133" xfId="0" applyFont="1" applyBorder="1" applyAlignment="1">
      <alignment vertical="center" wrapText="1"/>
    </xf>
    <xf numFmtId="0" fontId="222" fillId="0" borderId="51" xfId="0" applyFont="1" applyBorder="1" applyAlignment="1">
      <alignment horizontal="center" vertical="center" wrapText="1"/>
    </xf>
    <xf numFmtId="0" fontId="222" fillId="0" borderId="58" xfId="0" applyFont="1" applyBorder="1" applyAlignment="1">
      <alignment horizontal="center" vertical="center"/>
    </xf>
    <xf numFmtId="0" fontId="222" fillId="0" borderId="11" xfId="0" applyFont="1" applyBorder="1" applyAlignment="1">
      <alignment horizontal="center" vertical="center" wrapText="1"/>
    </xf>
    <xf numFmtId="0" fontId="223" fillId="0" borderId="62" xfId="0" applyFont="1" applyBorder="1" applyAlignment="1" applyProtection="1">
      <alignment horizontal="centerContinuous"/>
      <protection hidden="1"/>
    </xf>
    <xf numFmtId="0" fontId="222" fillId="0" borderId="78" xfId="0" applyFont="1" applyBorder="1" applyAlignment="1">
      <alignment horizontal="centerContinuous" wrapText="1"/>
    </xf>
    <xf numFmtId="0" fontId="3" fillId="0" borderId="63" xfId="0" applyFont="1" applyBorder="1" applyAlignment="1" applyProtection="1">
      <alignment horizontal="centerContinuous"/>
      <protection hidden="1"/>
    </xf>
    <xf numFmtId="0" fontId="222" fillId="0" borderId="69" xfId="0" applyFont="1" applyBorder="1" applyAlignment="1">
      <alignment horizontal="center" vertical="center" wrapText="1"/>
    </xf>
    <xf numFmtId="3" fontId="222" fillId="0" borderId="13" xfId="0" applyNumberFormat="1" applyFont="1" applyBorder="1" applyAlignment="1">
      <alignment vertical="center" wrapText="1"/>
    </xf>
    <xf numFmtId="3" fontId="222" fillId="0" borderId="61" xfId="0" applyNumberFormat="1" applyFont="1" applyBorder="1" applyAlignment="1">
      <alignment vertical="center" wrapText="1"/>
    </xf>
    <xf numFmtId="3" fontId="222" fillId="0" borderId="52" xfId="0" applyNumberFormat="1" applyFont="1" applyBorder="1" applyAlignment="1">
      <alignment vertical="center" wrapText="1"/>
    </xf>
    <xf numFmtId="3" fontId="222" fillId="0" borderId="131" xfId="0" applyNumberFormat="1" applyFont="1" applyBorder="1" applyAlignment="1">
      <alignment vertical="center" wrapText="1"/>
    </xf>
    <xf numFmtId="3" fontId="222" fillId="0" borderId="29" xfId="0" applyNumberFormat="1" applyFont="1" applyBorder="1" applyAlignment="1">
      <alignment vertical="center" wrapText="1"/>
    </xf>
    <xf numFmtId="3" fontId="222" fillId="0" borderId="87" xfId="0" applyNumberFormat="1" applyFont="1" applyBorder="1" applyAlignment="1">
      <alignment vertical="center" wrapText="1"/>
    </xf>
    <xf numFmtId="3" fontId="222" fillId="0" borderId="52" xfId="0" quotePrefix="1" applyNumberFormat="1" applyFont="1" applyBorder="1" applyAlignment="1">
      <alignment horizontal="center" vertical="center" wrapText="1"/>
    </xf>
    <xf numFmtId="3" fontId="222" fillId="0" borderId="13" xfId="0" applyNumberFormat="1" applyFont="1" applyBorder="1" applyAlignment="1">
      <alignment horizontal="center" vertical="center" wrapText="1"/>
    </xf>
    <xf numFmtId="3" fontId="3" fillId="37" borderId="1" xfId="0" applyNumberFormat="1" applyFont="1" applyFill="1" applyBorder="1" applyProtection="1">
      <protection hidden="1"/>
    </xf>
    <xf numFmtId="3" fontId="3" fillId="22" borderId="1" xfId="0" applyNumberFormat="1" applyFont="1" applyFill="1" applyBorder="1" applyProtection="1">
      <protection locked="0"/>
    </xf>
    <xf numFmtId="3" fontId="3" fillId="31" borderId="1" xfId="0" applyNumberFormat="1" applyFont="1" applyFill="1" applyBorder="1" applyProtection="1">
      <protection hidden="1"/>
    </xf>
    <xf numFmtId="0" fontId="221" fillId="0" borderId="31" xfId="0" applyFont="1" applyBorder="1" applyAlignment="1">
      <alignment vertical="center" wrapText="1"/>
    </xf>
    <xf numFmtId="0" fontId="221" fillId="0" borderId="15" xfId="0" applyFont="1" applyBorder="1" applyAlignment="1">
      <alignment vertical="center" wrapText="1"/>
    </xf>
    <xf numFmtId="0" fontId="221" fillId="0" borderId="3" xfId="0" applyFont="1" applyBorder="1" applyAlignment="1">
      <alignment vertical="center" wrapText="1"/>
    </xf>
    <xf numFmtId="0" fontId="221" fillId="0" borderId="25" xfId="0" applyFont="1" applyBorder="1" applyAlignment="1">
      <alignment vertical="center" wrapText="1"/>
    </xf>
    <xf numFmtId="0" fontId="221" fillId="0" borderId="10" xfId="0" applyFont="1" applyBorder="1" applyAlignment="1">
      <alignment vertical="center" wrapText="1"/>
    </xf>
    <xf numFmtId="0" fontId="221" fillId="0" borderId="12" xfId="0" applyFont="1" applyBorder="1" applyAlignment="1">
      <alignment vertical="center" wrapText="1"/>
    </xf>
    <xf numFmtId="0" fontId="167" fillId="0" borderId="0" xfId="0" applyFont="1" applyAlignment="1" applyProtection="1">
      <alignment horizontal="right" wrapText="1"/>
      <protection hidden="1"/>
    </xf>
    <xf numFmtId="0" fontId="6" fillId="2" borderId="2" xfId="0" applyFont="1" applyFill="1" applyBorder="1" applyAlignment="1" applyProtection="1">
      <alignment horizontal="center" vertical="center"/>
      <protection hidden="1"/>
    </xf>
    <xf numFmtId="0" fontId="0" fillId="0" borderId="0" xfId="0" applyAlignment="1">
      <alignment vertical="center"/>
    </xf>
    <xf numFmtId="0" fontId="8" fillId="3" borderId="6" xfId="0" applyFont="1" applyFill="1" applyBorder="1" applyAlignment="1" applyProtection="1">
      <alignment horizontal="left"/>
      <protection hidden="1"/>
    </xf>
    <xf numFmtId="0" fontId="1" fillId="2" borderId="26" xfId="0" applyFont="1" applyFill="1" applyBorder="1" applyAlignment="1" applyProtection="1">
      <alignment horizontal="center" wrapText="1"/>
      <protection locked="0"/>
    </xf>
    <xf numFmtId="0" fontId="1" fillId="2" borderId="1" xfId="0" applyFont="1" applyFill="1" applyBorder="1" applyAlignment="1" applyProtection="1">
      <alignment horizontal="center" wrapText="1"/>
      <protection locked="0"/>
    </xf>
    <xf numFmtId="0" fontId="0" fillId="2" borderId="0" xfId="0" applyFill="1" applyBorder="1" applyProtection="1"/>
    <xf numFmtId="0" fontId="8" fillId="3" borderId="27" xfId="0" applyFont="1" applyFill="1" applyBorder="1" applyAlignment="1" applyProtection="1">
      <alignment horizontal="center"/>
      <protection hidden="1"/>
    </xf>
    <xf numFmtId="0" fontId="97" fillId="5" borderId="0" xfId="0" applyFont="1" applyFill="1" applyProtection="1"/>
    <xf numFmtId="0" fontId="8" fillId="3" borderId="5" xfId="0" applyFont="1" applyFill="1" applyBorder="1" applyAlignment="1" applyProtection="1">
      <alignment vertical="center"/>
      <protection hidden="1"/>
    </xf>
    <xf numFmtId="0" fontId="8" fillId="3" borderId="22" xfId="0" applyFont="1" applyFill="1" applyBorder="1" applyAlignment="1" applyProtection="1">
      <alignment horizontal="center"/>
      <protection hidden="1"/>
    </xf>
    <xf numFmtId="0" fontId="225" fillId="3" borderId="0" xfId="0" applyFont="1" applyFill="1" applyBorder="1" applyAlignment="1" applyProtection="1">
      <alignment horizontal="right"/>
      <protection hidden="1"/>
    </xf>
    <xf numFmtId="0" fontId="225" fillId="3" borderId="0" xfId="0" applyFont="1" applyFill="1" applyBorder="1" applyProtection="1">
      <protection hidden="1"/>
    </xf>
    <xf numFmtId="4" fontId="226" fillId="3" borderId="25" xfId="0" applyNumberFormat="1" applyFont="1" applyFill="1" applyBorder="1" applyAlignment="1" applyProtection="1">
      <alignment horizontal="right"/>
      <protection hidden="1"/>
    </xf>
    <xf numFmtId="4" fontId="97" fillId="5" borderId="0" xfId="0" applyNumberFormat="1" applyFont="1" applyFill="1" applyBorder="1" applyProtection="1"/>
    <xf numFmtId="0" fontId="97" fillId="5" borderId="0" xfId="0" applyFont="1" applyFill="1" applyAlignment="1" applyProtection="1">
      <alignment vertical="center"/>
    </xf>
    <xf numFmtId="0" fontId="0" fillId="0" borderId="0" xfId="0" applyAlignment="1" applyProtection="1">
      <alignment vertical="center"/>
    </xf>
    <xf numFmtId="0" fontId="228" fillId="3" borderId="0" xfId="0" applyFont="1" applyFill="1" applyBorder="1" applyProtection="1">
      <protection hidden="1"/>
    </xf>
    <xf numFmtId="0" fontId="101" fillId="3" borderId="0" xfId="0" applyFont="1" applyFill="1" applyBorder="1" applyProtection="1">
      <protection hidden="1"/>
    </xf>
    <xf numFmtId="0" fontId="101" fillId="3" borderId="0" xfId="0" applyFont="1" applyFill="1" applyBorder="1" applyAlignment="1" applyProtection="1">
      <alignment vertical="top"/>
      <protection hidden="1"/>
    </xf>
    <xf numFmtId="0" fontId="59" fillId="11" borderId="0" xfId="0" applyFont="1" applyFill="1" applyBorder="1" applyAlignment="1" applyProtection="1">
      <alignment horizontal="center" vertical="center"/>
      <protection hidden="1"/>
    </xf>
    <xf numFmtId="0" fontId="10" fillId="3" borderId="0" xfId="0" applyFont="1" applyFill="1" applyProtection="1">
      <protection hidden="1"/>
    </xf>
    <xf numFmtId="0" fontId="226" fillId="3" borderId="0" xfId="0" applyFont="1" applyFill="1" applyBorder="1" applyAlignment="1" applyProtection="1">
      <alignment horizontal="right"/>
      <protection hidden="1"/>
    </xf>
    <xf numFmtId="0" fontId="0" fillId="3" borderId="15" xfId="0" applyFill="1" applyBorder="1" applyProtection="1">
      <protection hidden="1"/>
    </xf>
    <xf numFmtId="0" fontId="0" fillId="3" borderId="3" xfId="0" applyFill="1" applyBorder="1" applyProtection="1">
      <protection hidden="1"/>
    </xf>
    <xf numFmtId="0" fontId="226" fillId="3" borderId="0" xfId="0" applyFont="1" applyFill="1" applyProtection="1">
      <protection hidden="1"/>
    </xf>
    <xf numFmtId="0" fontId="226" fillId="3" borderId="0" xfId="0" applyFont="1" applyFill="1" applyAlignment="1" applyProtection="1">
      <alignment horizontal="left"/>
      <protection hidden="1"/>
    </xf>
    <xf numFmtId="0" fontId="226" fillId="3" borderId="3" xfId="0" applyFont="1" applyFill="1" applyBorder="1" applyProtection="1">
      <protection hidden="1"/>
    </xf>
    <xf numFmtId="0" fontId="228" fillId="3" borderId="1" xfId="0" applyFont="1" applyFill="1" applyBorder="1" applyAlignment="1" applyProtection="1">
      <alignment horizontal="left"/>
      <protection hidden="1"/>
    </xf>
    <xf numFmtId="0" fontId="8" fillId="3" borderId="1" xfId="0" applyFont="1" applyFill="1" applyBorder="1" applyAlignment="1" applyProtection="1">
      <alignment horizontal="center"/>
      <protection hidden="1"/>
    </xf>
    <xf numFmtId="0" fontId="8" fillId="3" borderId="12" xfId="0" applyFont="1" applyFill="1" applyBorder="1" applyProtection="1">
      <protection hidden="1"/>
    </xf>
    <xf numFmtId="0" fontId="8" fillId="3" borderId="10" xfId="0" applyFont="1" applyFill="1" applyBorder="1" applyProtection="1">
      <protection hidden="1"/>
    </xf>
    <xf numFmtId="0" fontId="0" fillId="3" borderId="10" xfId="0" applyFill="1" applyBorder="1" applyProtection="1">
      <protection hidden="1"/>
    </xf>
    <xf numFmtId="0" fontId="0" fillId="3" borderId="21" xfId="0" applyFill="1" applyBorder="1" applyAlignment="1" applyProtection="1">
      <alignment horizontal="left"/>
      <protection hidden="1"/>
    </xf>
    <xf numFmtId="0" fontId="96" fillId="3" borderId="0" xfId="0" applyFont="1" applyFill="1" applyBorder="1" applyProtection="1">
      <protection hidden="1"/>
    </xf>
    <xf numFmtId="0" fontId="67" fillId="3" borderId="0" xfId="0" applyFont="1" applyFill="1" applyBorder="1" applyAlignment="1" applyProtection="1">
      <alignment horizontal="center"/>
      <protection hidden="1"/>
    </xf>
    <xf numFmtId="0" fontId="0" fillId="3" borderId="75" xfId="0" applyFill="1" applyBorder="1" applyProtection="1">
      <protection hidden="1"/>
    </xf>
    <xf numFmtId="0" fontId="0" fillId="3" borderId="34" xfId="0" applyFill="1" applyBorder="1" applyProtection="1">
      <protection hidden="1"/>
    </xf>
    <xf numFmtId="0" fontId="67" fillId="3" borderId="0" xfId="0" applyFont="1" applyFill="1" applyProtection="1">
      <protection hidden="1"/>
    </xf>
    <xf numFmtId="0" fontId="3" fillId="3" borderId="1" xfId="0" applyFont="1" applyFill="1" applyBorder="1" applyProtection="1">
      <protection hidden="1"/>
    </xf>
    <xf numFmtId="0" fontId="59" fillId="11" borderId="0" xfId="0" applyFont="1" applyFill="1" applyBorder="1" applyAlignment="1" applyProtection="1">
      <alignment horizontal="center"/>
      <protection hidden="1"/>
    </xf>
    <xf numFmtId="0" fontId="228" fillId="3" borderId="26" xfId="0" applyFont="1" applyFill="1" applyBorder="1" applyProtection="1">
      <protection hidden="1"/>
    </xf>
    <xf numFmtId="0" fontId="0" fillId="3" borderId="26" xfId="0" applyFill="1" applyBorder="1" applyProtection="1">
      <protection hidden="1"/>
    </xf>
    <xf numFmtId="0" fontId="228" fillId="3" borderId="1" xfId="0" applyFont="1" applyFill="1" applyBorder="1" applyAlignment="1" applyProtection="1">
      <alignment horizontal="center"/>
      <protection hidden="1"/>
    </xf>
    <xf numFmtId="0" fontId="20" fillId="3" borderId="3" xfId="0" applyFont="1" applyFill="1" applyBorder="1" applyAlignment="1" applyProtection="1">
      <alignment horizontal="center"/>
      <protection hidden="1"/>
    </xf>
    <xf numFmtId="0" fontId="8" fillId="3" borderId="0" xfId="0" applyFont="1" applyFill="1" applyAlignment="1" applyProtection="1">
      <alignment horizontal="center"/>
      <protection hidden="1"/>
    </xf>
    <xf numFmtId="0" fontId="8" fillId="3" borderId="3" xfId="0" applyFont="1" applyFill="1" applyBorder="1" applyProtection="1">
      <protection hidden="1"/>
    </xf>
    <xf numFmtId="0" fontId="17" fillId="3" borderId="3" xfId="0" applyFont="1" applyFill="1" applyBorder="1" applyAlignment="1" applyProtection="1">
      <alignment horizontal="center"/>
      <protection hidden="1"/>
    </xf>
    <xf numFmtId="0" fontId="17" fillId="3" borderId="10" xfId="0" applyFont="1" applyFill="1" applyBorder="1" applyAlignment="1" applyProtection="1">
      <alignment horizontal="center"/>
      <protection hidden="1"/>
    </xf>
    <xf numFmtId="0" fontId="228" fillId="3" borderId="0" xfId="0" applyFont="1" applyFill="1" applyBorder="1" applyAlignment="1" applyProtection="1">
      <alignment horizontal="center"/>
      <protection hidden="1"/>
    </xf>
    <xf numFmtId="0" fontId="3" fillId="3" borderId="0" xfId="0" applyFont="1" applyFill="1" applyProtection="1">
      <protection hidden="1"/>
    </xf>
    <xf numFmtId="0" fontId="97" fillId="7" borderId="7" xfId="0" applyFont="1" applyFill="1" applyBorder="1" applyProtection="1">
      <protection hidden="1"/>
    </xf>
    <xf numFmtId="3" fontId="23" fillId="3" borderId="3" xfId="0" applyNumberFormat="1" applyFont="1" applyFill="1" applyBorder="1" applyProtection="1">
      <protection hidden="1"/>
    </xf>
    <xf numFmtId="0" fontId="23" fillId="0" borderId="0" xfId="0" applyFont="1" applyProtection="1"/>
    <xf numFmtId="0" fontId="0" fillId="7" borderId="7" xfId="0" applyFill="1" applyBorder="1" applyProtection="1">
      <protection hidden="1"/>
    </xf>
    <xf numFmtId="0" fontId="1" fillId="3" borderId="25" xfId="0" applyFont="1" applyFill="1" applyBorder="1" applyAlignment="1" applyProtection="1">
      <alignment horizontal="right"/>
      <protection hidden="1"/>
    </xf>
    <xf numFmtId="0" fontId="228" fillId="3" borderId="10" xfId="0" applyFont="1" applyFill="1" applyBorder="1" applyAlignment="1" applyProtection="1">
      <alignment horizontal="center"/>
      <protection hidden="1"/>
    </xf>
    <xf numFmtId="0" fontId="0" fillId="3" borderId="25" xfId="0" applyFill="1" applyBorder="1" applyProtection="1">
      <protection hidden="1"/>
    </xf>
    <xf numFmtId="4" fontId="3" fillId="3" borderId="3" xfId="0" applyNumberFormat="1" applyFont="1" applyFill="1" applyBorder="1" applyProtection="1">
      <protection hidden="1"/>
    </xf>
    <xf numFmtId="0" fontId="5" fillId="3" borderId="0" xfId="0" applyFont="1" applyFill="1" applyAlignment="1" applyProtection="1">
      <alignment vertical="top"/>
      <protection hidden="1"/>
    </xf>
    <xf numFmtId="0" fontId="226" fillId="3" borderId="0" xfId="0" applyFont="1" applyFill="1" applyAlignment="1" applyProtection="1">
      <alignment horizontal="right"/>
      <protection hidden="1"/>
    </xf>
    <xf numFmtId="0" fontId="226" fillId="3" borderId="5" xfId="0" applyFont="1" applyFill="1" applyBorder="1" applyAlignment="1" applyProtection="1">
      <alignment horizontal="right"/>
      <protection hidden="1"/>
    </xf>
    <xf numFmtId="0" fontId="226" fillId="3" borderId="5" xfId="0" applyFont="1" applyFill="1" applyBorder="1" applyAlignment="1" applyProtection="1">
      <alignment horizontal="left"/>
      <protection hidden="1"/>
    </xf>
    <xf numFmtId="0" fontId="11" fillId="3" borderId="5" xfId="0" applyFont="1" applyFill="1" applyBorder="1" applyAlignment="1" applyProtection="1">
      <alignment horizontal="right"/>
      <protection hidden="1"/>
    </xf>
    <xf numFmtId="0" fontId="226" fillId="3" borderId="5" xfId="0" applyFont="1" applyFill="1" applyBorder="1" applyProtection="1">
      <protection hidden="1"/>
    </xf>
    <xf numFmtId="0" fontId="0" fillId="3" borderId="73" xfId="0" applyFill="1" applyBorder="1" applyProtection="1">
      <protection hidden="1"/>
    </xf>
    <xf numFmtId="6" fontId="0" fillId="3" borderId="0" xfId="0" applyNumberFormat="1" applyFill="1" applyAlignment="1" applyProtection="1">
      <alignment horizontal="right"/>
      <protection hidden="1"/>
    </xf>
    <xf numFmtId="0" fontId="0" fillId="3" borderId="0" xfId="0" applyFill="1" applyAlignment="1" applyProtection="1">
      <alignment horizontal="left"/>
      <protection hidden="1"/>
    </xf>
    <xf numFmtId="183" fontId="0" fillId="3" borderId="0" xfId="0" applyNumberFormat="1" applyFill="1" applyAlignment="1" applyProtection="1">
      <alignment horizontal="left"/>
      <protection hidden="1"/>
    </xf>
    <xf numFmtId="6" fontId="0" fillId="3" borderId="6" xfId="0" applyNumberFormat="1" applyFill="1" applyBorder="1" applyAlignment="1" applyProtection="1">
      <alignment horizontal="right"/>
      <protection hidden="1"/>
    </xf>
    <xf numFmtId="3" fontId="0" fillId="3" borderId="0" xfId="0" applyNumberFormat="1" applyFill="1" applyAlignment="1" applyProtection="1">
      <alignment horizontal="left"/>
      <protection hidden="1"/>
    </xf>
    <xf numFmtId="183" fontId="0" fillId="3" borderId="0" xfId="0" applyNumberFormat="1" applyFill="1" applyAlignment="1" applyProtection="1">
      <alignment horizontal="center"/>
      <protection hidden="1"/>
    </xf>
    <xf numFmtId="3" fontId="0" fillId="3" borderId="0" xfId="0" applyNumberFormat="1" applyFill="1" applyAlignment="1" applyProtection="1">
      <alignment horizontal="right"/>
      <protection hidden="1"/>
    </xf>
    <xf numFmtId="3" fontId="0" fillId="3" borderId="6" xfId="0" applyNumberFormat="1" applyFill="1" applyBorder="1" applyAlignment="1" applyProtection="1">
      <alignment horizontal="right"/>
      <protection hidden="1"/>
    </xf>
    <xf numFmtId="3" fontId="0" fillId="3" borderId="0" xfId="0" applyNumberFormat="1" applyFill="1" applyBorder="1" applyAlignment="1" applyProtection="1">
      <alignment horizontal="right"/>
      <protection hidden="1"/>
    </xf>
    <xf numFmtId="4" fontId="23" fillId="3" borderId="3" xfId="0" applyNumberFormat="1" applyFont="1" applyFill="1" applyBorder="1" applyProtection="1">
      <protection hidden="1"/>
    </xf>
    <xf numFmtId="0" fontId="228" fillId="3" borderId="5" xfId="0" applyFont="1" applyFill="1" applyBorder="1" applyAlignment="1" applyProtection="1">
      <alignment horizontal="center"/>
      <protection hidden="1"/>
    </xf>
    <xf numFmtId="0" fontId="1" fillId="3" borderId="73" xfId="0" applyFont="1" applyFill="1" applyBorder="1" applyAlignment="1" applyProtection="1">
      <alignment horizontal="right"/>
      <protection hidden="1"/>
    </xf>
    <xf numFmtId="0" fontId="228" fillId="3" borderId="72" xfId="0" applyFont="1" applyFill="1" applyBorder="1" applyAlignment="1" applyProtection="1">
      <alignment horizontal="center"/>
      <protection hidden="1"/>
    </xf>
    <xf numFmtId="0" fontId="228" fillId="3" borderId="8" xfId="0" applyFont="1" applyFill="1" applyBorder="1" applyAlignment="1" applyProtection="1">
      <alignment vertical="center"/>
      <protection hidden="1"/>
    </xf>
    <xf numFmtId="0" fontId="0" fillId="3" borderId="8" xfId="0" applyFill="1" applyBorder="1" applyAlignment="1" applyProtection="1">
      <alignment vertical="center"/>
      <protection hidden="1"/>
    </xf>
    <xf numFmtId="0" fontId="8" fillId="3" borderId="8" xfId="0" applyFont="1" applyFill="1" applyBorder="1" applyAlignment="1" applyProtection="1">
      <alignment vertical="center"/>
      <protection hidden="1"/>
    </xf>
    <xf numFmtId="0" fontId="0" fillId="3" borderId="5" xfId="0" applyFill="1" applyBorder="1" applyAlignment="1" applyProtection="1">
      <alignment horizontal="right"/>
      <protection hidden="1"/>
    </xf>
    <xf numFmtId="0" fontId="89" fillId="11" borderId="1" xfId="0" applyFont="1" applyFill="1" applyBorder="1" applyAlignment="1" applyProtection="1">
      <alignment horizontal="center" vertical="center"/>
      <protection hidden="1"/>
    </xf>
    <xf numFmtId="0" fontId="10" fillId="3" borderId="1" xfId="0" applyFont="1" applyFill="1" applyBorder="1" applyAlignment="1" applyProtection="1">
      <alignment vertical="center"/>
      <protection hidden="1"/>
    </xf>
    <xf numFmtId="0" fontId="0" fillId="3" borderId="31" xfId="0" applyFill="1" applyBorder="1" applyProtection="1">
      <protection hidden="1"/>
    </xf>
    <xf numFmtId="4" fontId="0" fillId="3" borderId="31" xfId="0" applyNumberFormat="1" applyFill="1" applyBorder="1" applyProtection="1">
      <protection hidden="1"/>
    </xf>
    <xf numFmtId="0" fontId="228" fillId="3" borderId="11" xfId="0" applyFont="1" applyFill="1" applyBorder="1" applyAlignment="1" applyProtection="1">
      <alignment horizontal="right"/>
      <protection hidden="1"/>
    </xf>
    <xf numFmtId="0" fontId="228" fillId="3" borderId="10" xfId="0" applyFont="1" applyFill="1" applyBorder="1" applyAlignment="1" applyProtection="1">
      <alignment horizontal="right"/>
      <protection hidden="1"/>
    </xf>
    <xf numFmtId="0" fontId="0" fillId="3" borderId="7" xfId="0" applyFill="1" applyBorder="1" applyProtection="1">
      <protection hidden="1"/>
    </xf>
    <xf numFmtId="4" fontId="0" fillId="3" borderId="7" xfId="0" applyNumberFormat="1" applyFill="1" applyBorder="1" applyProtection="1">
      <protection hidden="1"/>
    </xf>
    <xf numFmtId="0" fontId="229" fillId="3" borderId="0" xfId="0" applyFont="1" applyFill="1" applyAlignment="1" applyProtection="1">
      <alignment horizontal="right"/>
      <protection hidden="1"/>
    </xf>
    <xf numFmtId="0" fontId="228" fillId="7" borderId="7" xfId="0" applyFont="1" applyFill="1" applyBorder="1" applyAlignment="1" applyProtection="1">
      <alignment horizontal="right"/>
      <protection hidden="1"/>
    </xf>
    <xf numFmtId="4" fontId="3" fillId="3" borderId="7" xfId="0" applyNumberFormat="1" applyFont="1" applyFill="1" applyBorder="1" applyProtection="1">
      <protection hidden="1"/>
    </xf>
    <xf numFmtId="4" fontId="3" fillId="3" borderId="0" xfId="0" applyNumberFormat="1" applyFont="1" applyFill="1" applyBorder="1" applyProtection="1">
      <protection hidden="1"/>
    </xf>
    <xf numFmtId="3" fontId="23" fillId="3" borderId="7" xfId="0" applyNumberFormat="1" applyFont="1" applyFill="1" applyBorder="1" applyProtection="1">
      <protection hidden="1"/>
    </xf>
    <xf numFmtId="0" fontId="228" fillId="3" borderId="3" xfId="0" applyFont="1" applyFill="1" applyBorder="1" applyAlignment="1" applyProtection="1">
      <alignment horizontal="right"/>
      <protection hidden="1"/>
    </xf>
    <xf numFmtId="3" fontId="3" fillId="3" borderId="3" xfId="0" applyNumberFormat="1" applyFont="1" applyFill="1" applyBorder="1" applyProtection="1">
      <protection locked="0"/>
    </xf>
    <xf numFmtId="3" fontId="3" fillId="3" borderId="3" xfId="0" applyNumberFormat="1" applyFont="1" applyFill="1" applyBorder="1" applyProtection="1">
      <protection hidden="1"/>
    </xf>
    <xf numFmtId="0" fontId="0" fillId="3" borderId="1" xfId="0" applyFill="1" applyBorder="1" applyAlignment="1" applyProtection="1">
      <alignment horizontal="center"/>
      <protection hidden="1"/>
    </xf>
    <xf numFmtId="0" fontId="1" fillId="3" borderId="12" xfId="0" applyFont="1" applyFill="1" applyBorder="1" applyAlignment="1" applyProtection="1">
      <alignment horizontal="right"/>
      <protection hidden="1"/>
    </xf>
    <xf numFmtId="0" fontId="228" fillId="3" borderId="0" xfId="0" applyFont="1" applyFill="1" applyProtection="1">
      <protection hidden="1"/>
    </xf>
    <xf numFmtId="0" fontId="1" fillId="3" borderId="5" xfId="0" applyFont="1" applyFill="1" applyBorder="1" applyAlignment="1" applyProtection="1">
      <alignment horizontal="right"/>
      <protection hidden="1"/>
    </xf>
    <xf numFmtId="0" fontId="228" fillId="3" borderId="29" xfId="0" applyFont="1" applyFill="1" applyBorder="1" applyAlignment="1" applyProtection="1">
      <alignment horizontal="right"/>
      <protection hidden="1"/>
    </xf>
    <xf numFmtId="0" fontId="228" fillId="3" borderId="8" xfId="0" applyFont="1" applyFill="1" applyBorder="1" applyProtection="1">
      <protection hidden="1"/>
    </xf>
    <xf numFmtId="0" fontId="1" fillId="3" borderId="8" xfId="0" applyFont="1" applyFill="1" applyBorder="1" applyAlignment="1" applyProtection="1">
      <alignment horizontal="right"/>
      <protection hidden="1"/>
    </xf>
    <xf numFmtId="0" fontId="0" fillId="2" borderId="24" xfId="0" applyFill="1" applyBorder="1" applyProtection="1"/>
    <xf numFmtId="0" fontId="8" fillId="3" borderId="22" xfId="0" applyFont="1" applyFill="1" applyBorder="1" applyAlignment="1" applyProtection="1">
      <alignment horizontal="center" vertical="center"/>
      <protection hidden="1"/>
    </xf>
    <xf numFmtId="0" fontId="0" fillId="3" borderId="23" xfId="0" applyFill="1" applyBorder="1" applyAlignment="1" applyProtection="1">
      <alignment vertical="center"/>
      <protection hidden="1"/>
    </xf>
    <xf numFmtId="0" fontId="8" fillId="3" borderId="0" xfId="0" applyFont="1" applyFill="1" applyBorder="1" applyAlignment="1" applyProtection="1">
      <alignment horizontal="center" vertical="center"/>
      <protection hidden="1"/>
    </xf>
    <xf numFmtId="0" fontId="22" fillId="3" borderId="0" xfId="0" applyFont="1" applyFill="1" applyBorder="1" applyAlignment="1" applyProtection="1">
      <alignment horizontal="left" vertical="center"/>
      <protection hidden="1"/>
    </xf>
    <xf numFmtId="0" fontId="0" fillId="3" borderId="0" xfId="0" applyFill="1" applyBorder="1" applyAlignment="1" applyProtection="1">
      <alignment vertical="center"/>
      <protection hidden="1"/>
    </xf>
    <xf numFmtId="0" fontId="21" fillId="3" borderId="0" xfId="0" applyFont="1" applyFill="1" applyBorder="1" applyAlignment="1" applyProtection="1">
      <alignment vertical="center"/>
      <protection hidden="1"/>
    </xf>
    <xf numFmtId="0" fontId="230" fillId="3" borderId="0" xfId="0" applyFont="1" applyFill="1" applyBorder="1" applyAlignment="1" applyProtection="1">
      <alignment horizontal="center" vertical="center"/>
      <protection hidden="1"/>
    </xf>
    <xf numFmtId="0" fontId="8" fillId="3" borderId="9" xfId="0" applyFont="1" applyFill="1" applyBorder="1" applyProtection="1">
      <protection hidden="1"/>
    </xf>
    <xf numFmtId="0" fontId="6" fillId="3" borderId="9" xfId="0" applyFont="1" applyFill="1" applyBorder="1" applyProtection="1">
      <protection hidden="1"/>
    </xf>
    <xf numFmtId="0" fontId="225" fillId="3" borderId="9" xfId="0" applyFont="1" applyFill="1" applyBorder="1" applyAlignment="1" applyProtection="1">
      <alignment horizontal="right"/>
      <protection hidden="1"/>
    </xf>
    <xf numFmtId="0" fontId="225" fillId="3" borderId="9" xfId="0" applyFont="1" applyFill="1" applyBorder="1" applyProtection="1">
      <protection hidden="1"/>
    </xf>
    <xf numFmtId="4" fontId="226" fillId="3" borderId="15" xfId="0" applyNumberFormat="1" applyFont="1" applyFill="1" applyBorder="1" applyAlignment="1" applyProtection="1">
      <alignment horizontal="right"/>
      <protection hidden="1"/>
    </xf>
    <xf numFmtId="0" fontId="11" fillId="3" borderId="31" xfId="0" applyFont="1" applyFill="1" applyBorder="1" applyProtection="1">
      <protection hidden="1"/>
    </xf>
    <xf numFmtId="0" fontId="227" fillId="3" borderId="1" xfId="0" quotePrefix="1" applyFont="1" applyFill="1" applyBorder="1" applyProtection="1">
      <protection hidden="1"/>
    </xf>
    <xf numFmtId="166" fontId="6" fillId="3" borderId="1" xfId="0" applyNumberFormat="1" applyFont="1" applyFill="1" applyBorder="1" applyAlignment="1" applyProtection="1">
      <alignment horizontal="center"/>
      <protection hidden="1"/>
    </xf>
    <xf numFmtId="39" fontId="224" fillId="3" borderId="1" xfId="0" applyNumberFormat="1" applyFont="1" applyFill="1" applyBorder="1" applyProtection="1">
      <protection hidden="1"/>
    </xf>
    <xf numFmtId="166" fontId="6" fillId="3" borderId="12" xfId="0" applyNumberFormat="1" applyFont="1" applyFill="1" applyBorder="1" applyAlignment="1" applyProtection="1">
      <alignment horizontal="center"/>
      <protection hidden="1"/>
    </xf>
    <xf numFmtId="39" fontId="224" fillId="3" borderId="10" xfId="0" applyNumberFormat="1" applyFont="1" applyFill="1" applyBorder="1" applyProtection="1">
      <protection hidden="1"/>
    </xf>
    <xf numFmtId="166" fontId="1" fillId="3" borderId="1" xfId="0" applyNumberFormat="1" applyFont="1" applyFill="1" applyBorder="1" applyAlignment="1" applyProtection="1">
      <alignment horizontal="left"/>
      <protection hidden="1"/>
    </xf>
    <xf numFmtId="0" fontId="228" fillId="0" borderId="0" xfId="0" applyFont="1" applyBorder="1" applyAlignment="1" applyProtection="1">
      <alignment horizontal="left"/>
    </xf>
    <xf numFmtId="0" fontId="228" fillId="0" borderId="0" xfId="0" applyFont="1" applyAlignment="1" applyProtection="1">
      <alignment horizontal="left"/>
    </xf>
    <xf numFmtId="3" fontId="167" fillId="0" borderId="0" xfId="0" applyNumberFormat="1" applyFont="1"/>
    <xf numFmtId="3" fontId="1" fillId="22" borderId="130" xfId="4" applyNumberFormat="1" applyFont="1" applyFill="1" applyBorder="1" applyAlignment="1" applyProtection="1">
      <alignment horizontal="center" vertical="center"/>
      <protection locked="0"/>
    </xf>
    <xf numFmtId="3" fontId="1" fillId="22" borderId="47" xfId="4" applyNumberFormat="1" applyFont="1" applyFill="1" applyBorder="1" applyAlignment="1" applyProtection="1">
      <alignment horizontal="center" vertical="center"/>
      <protection locked="0"/>
    </xf>
    <xf numFmtId="3" fontId="1" fillId="22" borderId="51" xfId="4" applyNumberFormat="1" applyFont="1" applyFill="1" applyBorder="1" applyAlignment="1" applyProtection="1">
      <alignment horizontal="center" vertical="center"/>
      <protection locked="0"/>
    </xf>
    <xf numFmtId="3" fontId="1" fillId="22" borderId="69" xfId="4" applyNumberFormat="1" applyFont="1" applyFill="1" applyBorder="1" applyAlignment="1" applyProtection="1">
      <alignment horizontal="center" vertical="center"/>
      <protection locked="0"/>
    </xf>
    <xf numFmtId="3" fontId="1" fillId="22" borderId="61" xfId="4" applyNumberFormat="1" applyFont="1" applyFill="1" applyBorder="1" applyAlignment="1" applyProtection="1">
      <alignment horizontal="center" vertical="center"/>
      <protection locked="0"/>
    </xf>
    <xf numFmtId="3" fontId="1" fillId="22" borderId="131" xfId="4" applyNumberFormat="1" applyFont="1" applyFill="1" applyBorder="1" applyAlignment="1" applyProtection="1">
      <alignment horizontal="center" vertical="center"/>
      <protection locked="0"/>
    </xf>
    <xf numFmtId="3" fontId="1" fillId="22" borderId="89" xfId="4" applyNumberFormat="1" applyFont="1" applyFill="1" applyBorder="1" applyAlignment="1" applyProtection="1">
      <alignment horizontal="center" vertical="center"/>
      <protection locked="0"/>
    </xf>
    <xf numFmtId="0" fontId="228" fillId="3" borderId="7" xfId="0" applyFont="1" applyFill="1" applyBorder="1" applyAlignment="1" applyProtection="1">
      <alignment horizontal="right"/>
      <protection hidden="1"/>
    </xf>
    <xf numFmtId="3" fontId="3" fillId="0" borderId="2" xfId="0" applyNumberFormat="1" applyFont="1" applyBorder="1" applyProtection="1">
      <protection locked="0"/>
    </xf>
    <xf numFmtId="0" fontId="8" fillId="3" borderId="0" xfId="0" applyFont="1" applyFill="1" applyBorder="1" applyAlignment="1" applyProtection="1">
      <alignment horizontal="left"/>
      <protection hidden="1"/>
    </xf>
    <xf numFmtId="0" fontId="10" fillId="3" borderId="26" xfId="0" applyFont="1" applyFill="1" applyBorder="1" applyAlignment="1" applyProtection="1">
      <alignment vertical="center"/>
      <protection hidden="1"/>
    </xf>
    <xf numFmtId="0" fontId="3" fillId="3" borderId="0" xfId="0" applyFont="1" applyFill="1" applyAlignment="1" applyProtection="1">
      <alignment horizontal="left"/>
      <protection hidden="1"/>
    </xf>
    <xf numFmtId="3" fontId="3" fillId="32" borderId="10" xfId="0" applyNumberFormat="1" applyFont="1" applyFill="1" applyBorder="1" applyAlignment="1" applyProtection="1">
      <alignment horizontal="right"/>
      <protection hidden="1"/>
    </xf>
    <xf numFmtId="0" fontId="0" fillId="2" borderId="21" xfId="0" applyFill="1" applyBorder="1" applyProtection="1"/>
    <xf numFmtId="0" fontId="8" fillId="3" borderId="21" xfId="0" applyFont="1" applyFill="1" applyBorder="1" applyAlignment="1" applyProtection="1">
      <alignment horizontal="left"/>
      <protection hidden="1"/>
    </xf>
    <xf numFmtId="0" fontId="8" fillId="3" borderId="23" xfId="0" applyFont="1" applyFill="1" applyBorder="1" applyAlignment="1" applyProtection="1">
      <alignment vertical="center"/>
      <protection hidden="1"/>
    </xf>
    <xf numFmtId="0" fontId="3" fillId="3" borderId="1" xfId="0" applyFont="1" applyFill="1" applyBorder="1" applyAlignment="1" applyProtection="1">
      <alignment horizontal="left"/>
      <protection hidden="1"/>
    </xf>
    <xf numFmtId="0" fontId="1" fillId="0" borderId="0" xfId="0" applyFont="1" applyAlignment="1" applyProtection="1">
      <alignment horizontal="center"/>
    </xf>
    <xf numFmtId="3" fontId="0" fillId="0" borderId="13" xfId="0" applyNumberFormat="1" applyBorder="1" applyProtection="1">
      <protection locked="0"/>
    </xf>
    <xf numFmtId="0" fontId="192" fillId="0" borderId="0" xfId="0" applyFont="1" applyAlignment="1" applyProtection="1">
      <alignment horizontal="center"/>
    </xf>
    <xf numFmtId="3" fontId="3" fillId="26" borderId="40" xfId="0" applyNumberFormat="1" applyFont="1" applyFill="1" applyBorder="1" applyProtection="1">
      <protection locked="0"/>
    </xf>
    <xf numFmtId="3" fontId="167" fillId="3" borderId="7" xfId="0" applyNumberFormat="1" applyFont="1" applyFill="1" applyBorder="1" applyAlignment="1" applyProtection="1">
      <protection hidden="1"/>
    </xf>
    <xf numFmtId="0" fontId="1" fillId="0" borderId="0" xfId="0" applyFont="1" applyFill="1" applyBorder="1" applyAlignment="1" applyProtection="1">
      <alignment horizontal="center" vertical="center"/>
      <protection locked="0"/>
    </xf>
    <xf numFmtId="0" fontId="167" fillId="0" borderId="0" xfId="0" applyFont="1" applyFill="1"/>
    <xf numFmtId="3" fontId="167" fillId="3" borderId="3" xfId="0" applyNumberFormat="1" applyFont="1" applyFill="1" applyBorder="1" applyProtection="1">
      <protection locked="0"/>
    </xf>
    <xf numFmtId="0" fontId="169" fillId="0" borderId="0" xfId="0" applyFont="1" applyAlignment="1" applyProtection="1">
      <alignment horizontal="center"/>
    </xf>
    <xf numFmtId="3" fontId="167" fillId="0" borderId="0" xfId="0" applyNumberFormat="1" applyFont="1" applyBorder="1" applyProtection="1">
      <protection locked="0"/>
    </xf>
    <xf numFmtId="3" fontId="3" fillId="26" borderId="10" xfId="0" applyNumberFormat="1" applyFont="1" applyFill="1" applyBorder="1" applyProtection="1">
      <protection locked="0"/>
    </xf>
    <xf numFmtId="4" fontId="167" fillId="3" borderId="0" xfId="0" applyNumberFormat="1" applyFont="1" applyFill="1" applyBorder="1" applyAlignment="1" applyProtection="1">
      <alignment horizontal="center"/>
      <protection hidden="1"/>
    </xf>
    <xf numFmtId="0" fontId="187" fillId="3" borderId="0" xfId="0" applyFont="1" applyFill="1" applyAlignment="1" applyProtection="1">
      <alignment vertical="center"/>
      <protection hidden="1"/>
    </xf>
    <xf numFmtId="3" fontId="187" fillId="3" borderId="3" xfId="0" applyNumberFormat="1" applyFont="1" applyFill="1" applyBorder="1" applyAlignment="1" applyProtection="1">
      <alignment horizontal="center"/>
      <protection hidden="1"/>
    </xf>
    <xf numFmtId="0" fontId="201" fillId="21" borderId="0" xfId="0" applyFont="1" applyFill="1" applyBorder="1" applyAlignment="1">
      <alignment horizontal="center" vertical="center" wrapText="1"/>
    </xf>
    <xf numFmtId="0" fontId="167" fillId="21" borderId="8" xfId="0" applyFont="1" applyFill="1" applyBorder="1" applyAlignment="1" applyProtection="1">
      <alignment horizontal="center" vertical="center"/>
      <protection hidden="1"/>
    </xf>
    <xf numFmtId="168" fontId="0" fillId="21" borderId="0" xfId="0" applyNumberFormat="1" applyFill="1" applyBorder="1" applyProtection="1">
      <protection hidden="1"/>
    </xf>
    <xf numFmtId="3" fontId="0" fillId="21" borderId="0" xfId="0" applyNumberFormat="1" applyFill="1" applyBorder="1" applyProtection="1">
      <protection hidden="1"/>
    </xf>
    <xf numFmtId="0" fontId="202" fillId="21" borderId="0" xfId="0" applyFont="1" applyFill="1" applyBorder="1" applyAlignment="1" applyProtection="1">
      <alignment horizontal="center"/>
      <protection hidden="1"/>
    </xf>
    <xf numFmtId="171" fontId="0" fillId="21" borderId="0" xfId="0" applyNumberFormat="1" applyFill="1" applyBorder="1" applyAlignment="1" applyProtection="1">
      <alignment horizontal="right"/>
      <protection hidden="1"/>
    </xf>
    <xf numFmtId="0" fontId="3" fillId="21" borderId="6" xfId="0" applyFont="1" applyFill="1" applyBorder="1" applyAlignment="1" applyProtection="1">
      <alignment horizontal="left" indent="1"/>
      <protection hidden="1"/>
    </xf>
    <xf numFmtId="0" fontId="0" fillId="21" borderId="6" xfId="0" applyFill="1" applyBorder="1" applyAlignment="1" applyProtection="1">
      <alignment horizontal="left" indent="1"/>
      <protection hidden="1"/>
    </xf>
    <xf numFmtId="0" fontId="0" fillId="21" borderId="22" xfId="0" applyFill="1" applyBorder="1" applyAlignment="1" applyProtection="1">
      <alignment horizontal="left" indent="1"/>
      <protection hidden="1"/>
    </xf>
    <xf numFmtId="0" fontId="27" fillId="21" borderId="24" xfId="0" applyFont="1" applyFill="1" applyBorder="1" applyAlignment="1" applyProtection="1">
      <alignment horizontal="left" indent="1"/>
      <protection hidden="1"/>
    </xf>
    <xf numFmtId="0" fontId="90" fillId="24" borderId="14" xfId="0" applyFont="1" applyFill="1" applyBorder="1" applyAlignment="1" applyProtection="1">
      <alignment horizontal="right"/>
      <protection hidden="1"/>
    </xf>
    <xf numFmtId="4" fontId="3" fillId="2" borderId="89" xfId="0" applyNumberFormat="1" applyFont="1" applyFill="1" applyBorder="1" applyAlignment="1" applyProtection="1">
      <alignment horizontal="center"/>
      <protection locked="0"/>
    </xf>
    <xf numFmtId="0" fontId="170" fillId="5" borderId="0" xfId="0" applyFont="1" applyFill="1" applyBorder="1" applyProtection="1">
      <protection hidden="1"/>
    </xf>
    <xf numFmtId="184" fontId="167" fillId="0" borderId="0" xfId="0" applyNumberFormat="1" applyFont="1" applyAlignment="1" applyProtection="1">
      <alignment horizontal="right"/>
      <protection hidden="1"/>
    </xf>
    <xf numFmtId="0" fontId="3" fillId="21" borderId="0" xfId="0" applyFont="1" applyFill="1" applyAlignment="1" applyProtection="1">
      <alignment horizontal="center" wrapText="1"/>
      <protection hidden="1"/>
    </xf>
    <xf numFmtId="3" fontId="3" fillId="21" borderId="0" xfId="0" applyNumberFormat="1" applyFont="1" applyFill="1" applyAlignment="1" applyProtection="1">
      <alignment horizontal="right"/>
      <protection hidden="1"/>
    </xf>
    <xf numFmtId="0" fontId="0" fillId="21" borderId="0" xfId="0" applyFill="1" applyAlignment="1">
      <alignment vertical="top" wrapText="1"/>
    </xf>
    <xf numFmtId="3" fontId="167" fillId="21" borderId="0" xfId="0" applyNumberFormat="1" applyFont="1" applyFill="1" applyProtection="1">
      <protection hidden="1"/>
    </xf>
    <xf numFmtId="179" fontId="0" fillId="21" borderId="0" xfId="0" applyNumberFormat="1" applyFill="1" applyAlignment="1" applyProtection="1">
      <alignment horizontal="right"/>
      <protection hidden="1"/>
    </xf>
    <xf numFmtId="0" fontId="0" fillId="21" borderId="0" xfId="0" applyFill="1" applyAlignment="1" applyProtection="1">
      <alignment horizontal="right"/>
      <protection hidden="1"/>
    </xf>
    <xf numFmtId="0" fontId="187" fillId="21" borderId="0" xfId="0" applyFont="1" applyFill="1" applyAlignment="1" applyProtection="1">
      <alignment vertical="center"/>
      <protection hidden="1"/>
    </xf>
    <xf numFmtId="3" fontId="3" fillId="26" borderId="31" xfId="0" applyNumberFormat="1" applyFont="1" applyFill="1" applyBorder="1" applyProtection="1">
      <protection locked="0"/>
    </xf>
    <xf numFmtId="0" fontId="5" fillId="24" borderId="0" xfId="0" applyFont="1" applyFill="1" applyAlignment="1" applyProtection="1">
      <alignment vertical="center"/>
      <protection hidden="1"/>
    </xf>
    <xf numFmtId="4" fontId="11" fillId="2" borderId="13" xfId="0" applyNumberFormat="1" applyFont="1" applyFill="1" applyBorder="1" applyAlignment="1" applyProtection="1">
      <alignment horizontal="center"/>
      <protection locked="0"/>
    </xf>
    <xf numFmtId="0" fontId="1" fillId="5" borderId="0" xfId="0" applyFont="1" applyFill="1" applyBorder="1" applyAlignment="1" applyProtection="1">
      <alignment horizontal="center" vertical="center"/>
      <protection hidden="1"/>
    </xf>
    <xf numFmtId="0" fontId="4" fillId="15" borderId="24" xfId="0" applyFont="1" applyFill="1" applyBorder="1" applyAlignment="1" applyProtection="1">
      <alignment horizontal="right"/>
      <protection hidden="1"/>
    </xf>
    <xf numFmtId="0" fontId="4" fillId="15" borderId="8" xfId="0" applyFont="1" applyFill="1" applyBorder="1" applyAlignment="1" applyProtection="1">
      <alignment horizontal="right"/>
      <protection hidden="1"/>
    </xf>
    <xf numFmtId="0" fontId="19" fillId="15" borderId="8" xfId="0" applyFont="1" applyFill="1" applyBorder="1" applyAlignment="1" applyProtection="1">
      <alignment horizontal="left"/>
      <protection hidden="1"/>
    </xf>
    <xf numFmtId="0" fontId="8" fillId="15" borderId="8" xfId="0" applyFont="1" applyFill="1" applyBorder="1" applyAlignment="1" applyProtection="1">
      <alignment horizontal="left"/>
      <protection hidden="1"/>
    </xf>
    <xf numFmtId="0" fontId="8" fillId="15" borderId="20" xfId="0" applyFont="1" applyFill="1" applyBorder="1" applyAlignment="1" applyProtection="1">
      <alignment horizontal="left"/>
      <protection hidden="1"/>
    </xf>
    <xf numFmtId="0" fontId="4" fillId="15" borderId="6" xfId="0" quotePrefix="1" applyFont="1" applyFill="1" applyBorder="1" applyAlignment="1" applyProtection="1">
      <alignment horizontal="right"/>
      <protection hidden="1"/>
    </xf>
    <xf numFmtId="39" fontId="8" fillId="15" borderId="21" xfId="0" applyNumberFormat="1" applyFont="1" applyFill="1" applyBorder="1" applyAlignment="1" applyProtection="1">
      <alignment horizontal="right"/>
      <protection hidden="1"/>
    </xf>
    <xf numFmtId="0" fontId="4" fillId="15" borderId="6" xfId="0" applyFont="1" applyFill="1" applyBorder="1" applyAlignment="1" applyProtection="1">
      <alignment horizontal="right"/>
      <protection hidden="1"/>
    </xf>
    <xf numFmtId="0" fontId="28" fillId="15" borderId="6" xfId="0" applyFont="1" applyFill="1" applyBorder="1" applyAlignment="1" applyProtection="1">
      <alignment horizontal="right"/>
      <protection hidden="1"/>
    </xf>
    <xf numFmtId="39" fontId="8" fillId="15" borderId="22" xfId="0" applyNumberFormat="1" applyFont="1" applyFill="1" applyBorder="1" applyAlignment="1" applyProtection="1">
      <alignment horizontal="right"/>
      <protection hidden="1"/>
    </xf>
    <xf numFmtId="39" fontId="8" fillId="15" borderId="5" xfId="0" applyNumberFormat="1" applyFont="1" applyFill="1" applyBorder="1" applyAlignment="1" applyProtection="1">
      <alignment horizontal="right"/>
      <protection hidden="1"/>
    </xf>
    <xf numFmtId="39" fontId="8" fillId="15" borderId="23" xfId="0" applyNumberFormat="1" applyFont="1" applyFill="1" applyBorder="1" applyAlignment="1" applyProtection="1">
      <alignment horizontal="right"/>
      <protection hidden="1"/>
    </xf>
    <xf numFmtId="0" fontId="0" fillId="0" borderId="0" xfId="0" applyAlignment="1"/>
    <xf numFmtId="0" fontId="55" fillId="0" borderId="31" xfId="0" applyFont="1" applyBorder="1" applyAlignment="1" applyProtection="1">
      <alignment horizontal="center" vertical="center"/>
      <protection hidden="1"/>
    </xf>
    <xf numFmtId="0" fontId="55" fillId="0" borderId="15" xfId="0" applyFont="1" applyBorder="1" applyAlignment="1" applyProtection="1">
      <alignment horizontal="center" vertical="center"/>
      <protection hidden="1"/>
    </xf>
    <xf numFmtId="0" fontId="3" fillId="0" borderId="0" xfId="0" applyFont="1" applyFill="1" applyAlignment="1" applyProtection="1">
      <protection hidden="1"/>
    </xf>
    <xf numFmtId="4" fontId="1" fillId="2" borderId="0" xfId="0" applyNumberFormat="1" applyFont="1" applyFill="1" applyBorder="1" applyAlignment="1" applyProtection="1">
      <alignment horizontal="center"/>
      <protection locked="0"/>
    </xf>
    <xf numFmtId="4" fontId="5" fillId="24" borderId="15" xfId="0" applyNumberFormat="1" applyFont="1" applyFill="1" applyBorder="1" applyProtection="1">
      <protection hidden="1"/>
    </xf>
    <xf numFmtId="167" fontId="1" fillId="24" borderId="25" xfId="0" applyNumberFormat="1" applyFont="1" applyFill="1" applyBorder="1" applyAlignment="1" applyProtection="1">
      <alignment horizontal="center"/>
      <protection hidden="1"/>
    </xf>
    <xf numFmtId="0" fontId="19" fillId="24" borderId="10" xfId="0" applyFont="1" applyFill="1" applyBorder="1" applyAlignment="1" applyProtection="1">
      <alignment horizontal="center" vertical="center"/>
      <protection locked="0"/>
    </xf>
    <xf numFmtId="0" fontId="19" fillId="24" borderId="0" xfId="0" applyFont="1" applyFill="1" applyBorder="1" applyAlignment="1" applyProtection="1">
      <alignment horizontal="center" vertical="center"/>
      <protection locked="0"/>
    </xf>
    <xf numFmtId="0" fontId="101" fillId="24" borderId="0" xfId="0" applyFont="1" applyFill="1" applyBorder="1" applyAlignment="1" applyProtection="1">
      <alignment horizontal="right"/>
      <protection hidden="1"/>
    </xf>
    <xf numFmtId="0" fontId="5" fillId="24" borderId="8" xfId="0" applyFont="1" applyFill="1" applyBorder="1" applyProtection="1">
      <protection hidden="1"/>
    </xf>
    <xf numFmtId="0" fontId="0" fillId="24" borderId="8" xfId="0" applyFill="1" applyBorder="1" applyProtection="1">
      <protection hidden="1"/>
    </xf>
    <xf numFmtId="0" fontId="8" fillId="24" borderId="8" xfId="0" applyFont="1" applyFill="1" applyBorder="1" applyProtection="1">
      <protection hidden="1"/>
    </xf>
    <xf numFmtId="0" fontId="8" fillId="24" borderId="8" xfId="0" applyFont="1" applyFill="1" applyBorder="1" applyAlignment="1" applyProtection="1">
      <alignment horizontal="left"/>
      <protection hidden="1"/>
    </xf>
    <xf numFmtId="4" fontId="6" fillId="24" borderId="8" xfId="0" applyNumberFormat="1" applyFont="1" applyFill="1" applyBorder="1" applyAlignment="1" applyProtection="1">
      <alignment horizontal="right"/>
      <protection hidden="1"/>
    </xf>
    <xf numFmtId="4" fontId="6" fillId="24" borderId="20" xfId="0" applyNumberFormat="1" applyFont="1" applyFill="1" applyBorder="1" applyAlignment="1" applyProtection="1">
      <alignment horizontal="right"/>
      <protection hidden="1"/>
    </xf>
    <xf numFmtId="0" fontId="0" fillId="21" borderId="31" xfId="0" applyFill="1" applyBorder="1"/>
    <xf numFmtId="0" fontId="0" fillId="21" borderId="9" xfId="0" applyFill="1" applyBorder="1"/>
    <xf numFmtId="0" fontId="0" fillId="21" borderId="15" xfId="0" applyFill="1" applyBorder="1"/>
    <xf numFmtId="0" fontId="0" fillId="21" borderId="3" xfId="0" applyFill="1" applyBorder="1"/>
    <xf numFmtId="0" fontId="0" fillId="21" borderId="25" xfId="0" applyFill="1" applyBorder="1"/>
    <xf numFmtId="0" fontId="0" fillId="21" borderId="3" xfId="0" applyFill="1" applyBorder="1" applyAlignment="1">
      <alignment vertical="center"/>
    </xf>
    <xf numFmtId="0" fontId="0" fillId="21" borderId="0" xfId="0" applyFill="1" applyBorder="1" applyAlignment="1">
      <alignment vertical="center"/>
    </xf>
    <xf numFmtId="0" fontId="0" fillId="21" borderId="25" xfId="0" applyFill="1" applyBorder="1" applyAlignment="1">
      <alignment vertical="center"/>
    </xf>
    <xf numFmtId="0" fontId="0" fillId="21" borderId="10" xfId="0" applyFill="1" applyBorder="1"/>
    <xf numFmtId="0" fontId="0" fillId="21" borderId="1" xfId="0" applyFill="1" applyBorder="1"/>
    <xf numFmtId="0" fontId="0" fillId="21" borderId="12" xfId="0" applyFill="1" applyBorder="1"/>
    <xf numFmtId="0" fontId="39" fillId="0" borderId="0" xfId="0" applyFont="1" applyAlignment="1">
      <alignment vertical="center"/>
    </xf>
    <xf numFmtId="0" fontId="3" fillId="21" borderId="31" xfId="0" applyFont="1" applyFill="1" applyBorder="1"/>
    <xf numFmtId="0" fontId="8" fillId="24" borderId="0" xfId="0" applyFont="1" applyFill="1" applyBorder="1" applyAlignment="1" applyProtection="1">
      <alignment vertical="top"/>
      <protection hidden="1"/>
    </xf>
    <xf numFmtId="0" fontId="78" fillId="21" borderId="6" xfId="2" applyFill="1" applyBorder="1" applyAlignment="1" applyProtection="1">
      <alignment horizontal="center"/>
      <protection hidden="1"/>
    </xf>
    <xf numFmtId="0" fontId="0" fillId="21" borderId="0" xfId="0" applyFill="1" applyAlignment="1">
      <alignment horizontal="center"/>
    </xf>
    <xf numFmtId="0" fontId="0" fillId="21" borderId="21" xfId="0" applyFill="1" applyBorder="1" applyAlignment="1">
      <alignment horizontal="center"/>
    </xf>
    <xf numFmtId="0" fontId="0" fillId="0" borderId="0" xfId="0" applyAlignment="1" applyProtection="1">
      <alignment horizontal="center"/>
      <protection hidden="1"/>
    </xf>
    <xf numFmtId="14" fontId="3" fillId="0" borderId="0" xfId="0" applyNumberFormat="1" applyFont="1" applyAlignment="1" applyProtection="1">
      <alignment horizontal="center"/>
      <protection hidden="1"/>
    </xf>
    <xf numFmtId="1" fontId="237" fillId="0" borderId="0" xfId="0" applyNumberFormat="1" applyFont="1" applyBorder="1" applyAlignment="1" applyProtection="1">
      <alignment horizontal="center"/>
      <protection hidden="1"/>
    </xf>
    <xf numFmtId="0" fontId="201" fillId="21" borderId="24" xfId="0" applyFont="1" applyFill="1" applyBorder="1" applyAlignment="1" applyProtection="1">
      <alignment horizontal="center" vertical="center" wrapText="1"/>
      <protection hidden="1"/>
    </xf>
    <xf numFmtId="0" fontId="201" fillId="0" borderId="8" xfId="0" applyFont="1" applyBorder="1" applyAlignment="1">
      <alignment horizontal="center" vertical="center" wrapText="1"/>
    </xf>
    <xf numFmtId="0" fontId="201" fillId="0" borderId="20" xfId="0" applyFont="1" applyBorder="1" applyAlignment="1">
      <alignment horizontal="center" vertical="center" wrapText="1"/>
    </xf>
    <xf numFmtId="0" fontId="201" fillId="0" borderId="6" xfId="0" applyFont="1" applyBorder="1" applyAlignment="1">
      <alignment horizontal="center" vertical="center" wrapText="1"/>
    </xf>
    <xf numFmtId="0" fontId="201" fillId="0" borderId="0" xfId="0" applyFont="1" applyBorder="1" applyAlignment="1">
      <alignment horizontal="center" vertical="center" wrapText="1"/>
    </xf>
    <xf numFmtId="0" fontId="201" fillId="0" borderId="21" xfId="0" applyFont="1" applyBorder="1" applyAlignment="1">
      <alignment horizontal="center" vertical="center" wrapText="1"/>
    </xf>
    <xf numFmtId="0" fontId="201" fillId="0" borderId="22" xfId="0" applyFont="1" applyBorder="1" applyAlignment="1">
      <alignment horizontal="center" vertical="center" wrapText="1"/>
    </xf>
    <xf numFmtId="0" fontId="201" fillId="0" borderId="5" xfId="0" applyFont="1" applyBorder="1" applyAlignment="1">
      <alignment horizontal="center" vertical="center" wrapText="1"/>
    </xf>
    <xf numFmtId="0" fontId="201" fillId="0" borderId="23" xfId="0" applyFont="1" applyBorder="1" applyAlignment="1">
      <alignment horizontal="center" vertical="center" wrapText="1"/>
    </xf>
    <xf numFmtId="0" fontId="234" fillId="21" borderId="6" xfId="0" applyFont="1" applyFill="1" applyBorder="1" applyAlignment="1">
      <alignment horizontal="center" vertical="center" wrapText="1"/>
    </xf>
    <xf numFmtId="0" fontId="0" fillId="21" borderId="0" xfId="0" applyFill="1" applyAlignment="1">
      <alignment horizontal="center"/>
    </xf>
    <xf numFmtId="0" fontId="0" fillId="21" borderId="21" xfId="0" applyFill="1" applyBorder="1" applyAlignment="1">
      <alignment horizontal="center"/>
    </xf>
    <xf numFmtId="0" fontId="0" fillId="21" borderId="6" xfId="0" applyFill="1" applyBorder="1" applyAlignment="1">
      <alignment horizontal="center"/>
    </xf>
    <xf numFmtId="0" fontId="78" fillId="21" borderId="6" xfId="2" applyFill="1" applyBorder="1" applyAlignment="1" applyProtection="1">
      <alignment horizontal="center"/>
      <protection hidden="1"/>
    </xf>
    <xf numFmtId="0" fontId="236" fillId="21" borderId="6" xfId="2" applyFont="1" applyFill="1" applyBorder="1" applyAlignment="1" applyProtection="1">
      <alignment horizontal="center"/>
      <protection hidden="1"/>
    </xf>
    <xf numFmtId="0" fontId="236" fillId="21" borderId="0" xfId="0" applyFont="1" applyFill="1" applyAlignment="1">
      <alignment horizontal="center"/>
    </xf>
    <xf numFmtId="0" fontId="236" fillId="21" borderId="21" xfId="0" applyFont="1" applyFill="1" applyBorder="1" applyAlignment="1">
      <alignment horizontal="center"/>
    </xf>
    <xf numFmtId="0" fontId="3" fillId="2" borderId="0" xfId="0" applyFont="1" applyFill="1" applyBorder="1" applyAlignment="1" applyProtection="1">
      <alignment vertical="top" wrapText="1"/>
      <protection hidden="1"/>
    </xf>
    <xf numFmtId="0" fontId="0" fillId="2" borderId="0" xfId="0" applyFill="1" applyBorder="1" applyAlignment="1" applyProtection="1">
      <alignment vertical="top" wrapText="1"/>
      <protection hidden="1"/>
    </xf>
    <xf numFmtId="0" fontId="0" fillId="2" borderId="0" xfId="0" applyFill="1" applyBorder="1" applyAlignment="1" applyProtection="1">
      <protection hidden="1"/>
    </xf>
    <xf numFmtId="0" fontId="0" fillId="2" borderId="0" xfId="0" applyFill="1" applyBorder="1" applyAlignment="1" applyProtection="1">
      <alignment vertical="top"/>
      <protection hidden="1"/>
    </xf>
    <xf numFmtId="0" fontId="0" fillId="2" borderId="5" xfId="0" applyFill="1" applyBorder="1" applyAlignment="1" applyProtection="1">
      <alignment vertical="top" wrapText="1"/>
      <protection hidden="1"/>
    </xf>
    <xf numFmtId="0" fontId="0" fillId="2" borderId="5" xfId="0" applyFill="1" applyBorder="1" applyAlignment="1" applyProtection="1">
      <alignment vertical="top"/>
      <protection hidden="1"/>
    </xf>
    <xf numFmtId="4" fontId="125" fillId="21" borderId="38" xfId="0" applyNumberFormat="1" applyFont="1" applyFill="1" applyBorder="1" applyAlignment="1" applyProtection="1">
      <alignment horizontal="center" vertical="center" wrapText="1"/>
      <protection hidden="1"/>
    </xf>
    <xf numFmtId="0" fontId="0" fillId="0" borderId="39" xfId="0" applyBorder="1" applyAlignment="1">
      <alignment horizontal="center" vertical="center" wrapText="1"/>
    </xf>
    <xf numFmtId="49" fontId="11" fillId="22" borderId="26" xfId="0" applyNumberFormat="1" applyFont="1" applyFill="1" applyBorder="1" applyAlignment="1" applyProtection="1">
      <protection locked="0"/>
    </xf>
    <xf numFmtId="49" fontId="11" fillId="22" borderId="55" xfId="0" applyNumberFormat="1" applyFont="1" applyFill="1" applyBorder="1" applyAlignment="1" applyProtection="1">
      <protection locked="0"/>
    </xf>
    <xf numFmtId="37" fontId="1" fillId="22" borderId="10" xfId="0" applyNumberFormat="1" applyFont="1" applyFill="1" applyBorder="1" applyAlignment="1" applyProtection="1">
      <alignment horizontal="right"/>
      <protection hidden="1"/>
    </xf>
    <xf numFmtId="37" fontId="1" fillId="22" borderId="1" xfId="0" applyNumberFormat="1" applyFont="1" applyFill="1" applyBorder="1" applyAlignment="1" applyProtection="1">
      <alignment horizontal="right"/>
      <protection hidden="1"/>
    </xf>
    <xf numFmtId="0" fontId="0" fillId="22" borderId="1" xfId="0" applyFill="1" applyBorder="1" applyAlignment="1" applyProtection="1">
      <alignment horizontal="right"/>
      <protection hidden="1"/>
    </xf>
    <xf numFmtId="0" fontId="0" fillId="22" borderId="12" xfId="0" applyFill="1" applyBorder="1" applyAlignment="1">
      <alignment horizontal="right"/>
    </xf>
    <xf numFmtId="0" fontId="4" fillId="24" borderId="0" xfId="0" applyFont="1" applyFill="1" applyBorder="1" applyAlignment="1" applyProtection="1">
      <alignment horizontal="center"/>
      <protection locked="0"/>
    </xf>
    <xf numFmtId="0" fontId="4" fillId="24" borderId="0" xfId="0" applyFont="1" applyFill="1" applyAlignment="1" applyProtection="1">
      <alignment horizontal="center"/>
      <protection locked="0"/>
    </xf>
    <xf numFmtId="0" fontId="4" fillId="24" borderId="25" xfId="0" applyFont="1" applyFill="1" applyBorder="1" applyAlignment="1" applyProtection="1">
      <alignment horizontal="center"/>
      <protection locked="0"/>
    </xf>
    <xf numFmtId="3" fontId="4" fillId="22" borderId="26" xfId="0" applyNumberFormat="1" applyFont="1" applyFill="1" applyBorder="1" applyAlignment="1" applyProtection="1">
      <protection locked="0"/>
    </xf>
    <xf numFmtId="0" fontId="8" fillId="24" borderId="3" xfId="0" applyFont="1" applyFill="1" applyBorder="1" applyAlignment="1" applyProtection="1">
      <alignment horizontal="left" vertical="top" wrapText="1"/>
      <protection hidden="1"/>
    </xf>
    <xf numFmtId="0" fontId="8" fillId="24" borderId="0" xfId="0" applyFont="1" applyFill="1" applyBorder="1" applyAlignment="1">
      <alignment horizontal="left" vertical="top" wrapText="1"/>
    </xf>
    <xf numFmtId="0" fontId="8" fillId="24" borderId="3" xfId="0" applyFont="1" applyFill="1" applyBorder="1" applyAlignment="1">
      <alignment horizontal="left" vertical="top" wrapText="1"/>
    </xf>
    <xf numFmtId="0" fontId="8" fillId="24" borderId="0" xfId="0" applyFont="1" applyFill="1" applyAlignment="1">
      <alignment horizontal="left" vertical="top" wrapText="1"/>
    </xf>
    <xf numFmtId="0" fontId="5" fillId="2" borderId="0" xfId="0" applyFont="1" applyFill="1" applyBorder="1" applyAlignment="1" applyProtection="1">
      <protection hidden="1"/>
    </xf>
    <xf numFmtId="0" fontId="5" fillId="0" borderId="0" xfId="0" applyFont="1" applyAlignment="1"/>
    <xf numFmtId="0" fontId="5" fillId="0" borderId="21" xfId="0" applyFont="1" applyBorder="1" applyAlignment="1"/>
    <xf numFmtId="166" fontId="11" fillId="22" borderId="40" xfId="0" applyNumberFormat="1" applyFont="1" applyFill="1" applyBorder="1" applyAlignment="1" applyProtection="1">
      <alignment horizontal="center"/>
      <protection locked="0"/>
    </xf>
    <xf numFmtId="0" fontId="0" fillId="22" borderId="26" xfId="0" applyFill="1" applyBorder="1" applyAlignment="1" applyProtection="1">
      <alignment horizontal="center"/>
      <protection locked="0"/>
    </xf>
    <xf numFmtId="0" fontId="0" fillId="22" borderId="55" xfId="0" applyFill="1" applyBorder="1" applyAlignment="1" applyProtection="1">
      <alignment horizontal="center"/>
      <protection locked="0"/>
    </xf>
    <xf numFmtId="0" fontId="12" fillId="24" borderId="3" xfId="0" applyFont="1" applyFill="1" applyBorder="1" applyAlignment="1" applyProtection="1">
      <alignment horizontal="center"/>
      <protection hidden="1"/>
    </xf>
    <xf numFmtId="0" fontId="12" fillId="24" borderId="0" xfId="0" applyFont="1" applyFill="1" applyBorder="1" applyAlignment="1" applyProtection="1">
      <alignment horizontal="center"/>
      <protection hidden="1"/>
    </xf>
    <xf numFmtId="0" fontId="0" fillId="24" borderId="0" xfId="0" applyFill="1" applyBorder="1" applyAlignment="1">
      <alignment horizontal="center"/>
    </xf>
    <xf numFmtId="0" fontId="0" fillId="24" borderId="25" xfId="0" applyFill="1" applyBorder="1" applyAlignment="1">
      <alignment horizontal="center"/>
    </xf>
    <xf numFmtId="0" fontId="8" fillId="24" borderId="10" xfId="0" applyFont="1" applyFill="1" applyBorder="1" applyAlignment="1" applyProtection="1">
      <alignment horizontal="center"/>
      <protection hidden="1"/>
    </xf>
    <xf numFmtId="0" fontId="8" fillId="24" borderId="1" xfId="0" applyFont="1" applyFill="1" applyBorder="1" applyAlignment="1" applyProtection="1">
      <alignment horizontal="center"/>
      <protection hidden="1"/>
    </xf>
    <xf numFmtId="0" fontId="0" fillId="24" borderId="1" xfId="0" applyFill="1" applyBorder="1" applyAlignment="1">
      <alignment horizontal="center"/>
    </xf>
    <xf numFmtId="0" fontId="0" fillId="24" borderId="12" xfId="0" applyFill="1" applyBorder="1" applyAlignment="1">
      <alignment horizontal="center"/>
    </xf>
    <xf numFmtId="166" fontId="11" fillId="22" borderId="26" xfId="0" applyNumberFormat="1" applyFont="1" applyFill="1" applyBorder="1" applyAlignment="1" applyProtection="1">
      <alignment horizontal="center"/>
      <protection locked="0"/>
    </xf>
    <xf numFmtId="166" fontId="0" fillId="22" borderId="26" xfId="0" applyNumberFormat="1" applyFill="1" applyBorder="1" applyAlignment="1" applyProtection="1">
      <alignment horizontal="center"/>
      <protection locked="0"/>
    </xf>
    <xf numFmtId="0" fontId="10" fillId="22" borderId="0" xfId="0" applyFont="1" applyFill="1" applyBorder="1" applyAlignment="1" applyProtection="1">
      <alignment horizontal="left" vertical="center" indent="1"/>
      <protection locked="0"/>
    </xf>
    <xf numFmtId="0" fontId="14" fillId="22" borderId="0" xfId="0" applyFont="1" applyFill="1" applyAlignment="1" applyProtection="1">
      <alignment horizontal="left" vertical="center" indent="1"/>
      <protection locked="0"/>
    </xf>
    <xf numFmtId="0" fontId="14" fillId="22" borderId="25" xfId="0" applyFont="1" applyFill="1" applyBorder="1" applyAlignment="1" applyProtection="1">
      <alignment horizontal="left" vertical="center" indent="1"/>
      <protection locked="0"/>
    </xf>
    <xf numFmtId="0" fontId="14" fillId="22" borderId="1" xfId="0" applyFont="1" applyFill="1" applyBorder="1" applyAlignment="1" applyProtection="1">
      <alignment horizontal="left" vertical="center" indent="1"/>
      <protection locked="0"/>
    </xf>
    <xf numFmtId="0" fontId="14" fillId="22" borderId="12" xfId="0" applyFont="1" applyFill="1" applyBorder="1" applyAlignment="1" applyProtection="1">
      <alignment horizontal="left" vertical="center" indent="1"/>
      <protection locked="0"/>
    </xf>
    <xf numFmtId="0" fontId="10" fillId="22" borderId="3" xfId="0" applyFont="1" applyFill="1" applyBorder="1" applyAlignment="1" applyProtection="1">
      <alignment horizontal="center" vertical="center"/>
      <protection locked="0"/>
    </xf>
    <xf numFmtId="0" fontId="10" fillId="22" borderId="0" xfId="0" applyFont="1" applyFill="1" applyAlignment="1" applyProtection="1">
      <alignment horizontal="center" vertical="center"/>
      <protection locked="0"/>
    </xf>
    <xf numFmtId="0" fontId="10" fillId="22" borderId="25" xfId="0" applyFont="1" applyFill="1" applyBorder="1" applyAlignment="1" applyProtection="1">
      <alignment horizontal="center" vertical="center"/>
      <protection locked="0"/>
    </xf>
    <xf numFmtId="0" fontId="10" fillId="22" borderId="10" xfId="0" applyFont="1" applyFill="1" applyBorder="1" applyAlignment="1" applyProtection="1">
      <alignment horizontal="center" vertical="center"/>
      <protection locked="0"/>
    </xf>
    <xf numFmtId="0" fontId="10" fillId="22" borderId="1" xfId="0" applyFont="1" applyFill="1" applyBorder="1" applyAlignment="1" applyProtection="1">
      <alignment horizontal="center" vertical="center"/>
      <protection locked="0"/>
    </xf>
    <xf numFmtId="0" fontId="10" fillId="22" borderId="12" xfId="0" applyFont="1" applyFill="1" applyBorder="1" applyAlignment="1" applyProtection="1">
      <alignment horizontal="center" vertical="center"/>
      <protection locked="0"/>
    </xf>
    <xf numFmtId="49" fontId="10" fillId="22" borderId="3" xfId="0" applyNumberFormat="1" applyFont="1" applyFill="1" applyBorder="1" applyAlignment="1" applyProtection="1">
      <alignment horizontal="center" vertical="center"/>
      <protection locked="0"/>
    </xf>
    <xf numFmtId="49" fontId="10" fillId="22" borderId="0" xfId="0" applyNumberFormat="1" applyFont="1" applyFill="1" applyAlignment="1" applyProtection="1">
      <alignment horizontal="center" vertical="center"/>
      <protection locked="0"/>
    </xf>
    <xf numFmtId="49" fontId="10" fillId="22" borderId="25" xfId="0" applyNumberFormat="1" applyFont="1" applyFill="1" applyBorder="1" applyAlignment="1" applyProtection="1">
      <alignment horizontal="center" vertical="center"/>
      <protection locked="0"/>
    </xf>
    <xf numFmtId="49" fontId="10" fillId="22" borderId="10" xfId="0" applyNumberFormat="1" applyFont="1" applyFill="1" applyBorder="1" applyAlignment="1" applyProtection="1">
      <alignment horizontal="center" vertical="center"/>
      <protection locked="0"/>
    </xf>
    <xf numFmtId="49" fontId="10" fillId="22" borderId="1" xfId="0" applyNumberFormat="1" applyFont="1" applyFill="1" applyBorder="1" applyAlignment="1" applyProtection="1">
      <alignment horizontal="center" vertical="center"/>
      <protection locked="0"/>
    </xf>
    <xf numFmtId="49" fontId="10" fillId="22" borderId="12" xfId="0" applyNumberFormat="1" applyFont="1" applyFill="1" applyBorder="1" applyAlignment="1" applyProtection="1">
      <alignment horizontal="center" vertical="center"/>
      <protection locked="0"/>
    </xf>
    <xf numFmtId="1" fontId="6" fillId="22" borderId="0" xfId="0" applyNumberFormat="1" applyFont="1" applyFill="1" applyBorder="1" applyAlignment="1" applyProtection="1">
      <alignment horizontal="center"/>
      <protection locked="0"/>
    </xf>
    <xf numFmtId="1" fontId="6" fillId="22" borderId="1" xfId="0" applyNumberFormat="1" applyFont="1" applyFill="1" applyBorder="1" applyAlignment="1" applyProtection="1">
      <alignment horizontal="center"/>
      <protection locked="0"/>
    </xf>
    <xf numFmtId="0" fontId="20" fillId="24" borderId="5" xfId="0" applyFont="1" applyFill="1" applyBorder="1" applyAlignment="1" applyProtection="1">
      <alignment vertical="center" wrapText="1"/>
      <protection hidden="1"/>
    </xf>
    <xf numFmtId="0" fontId="4" fillId="24" borderId="5" xfId="0" applyFont="1" applyFill="1" applyBorder="1" applyAlignment="1">
      <alignment vertical="center" wrapText="1"/>
    </xf>
    <xf numFmtId="37" fontId="7" fillId="31" borderId="10" xfId="0" applyNumberFormat="1" applyFont="1" applyFill="1" applyBorder="1" applyAlignment="1" applyProtection="1">
      <protection hidden="1"/>
    </xf>
    <xf numFmtId="37" fontId="7" fillId="31" borderId="1" xfId="0" applyNumberFormat="1" applyFont="1" applyFill="1" applyBorder="1" applyAlignment="1" applyProtection="1">
      <protection hidden="1"/>
    </xf>
    <xf numFmtId="37" fontId="7" fillId="31" borderId="40" xfId="0" applyNumberFormat="1" applyFont="1" applyFill="1" applyBorder="1" applyAlignment="1" applyProtection="1">
      <protection hidden="1"/>
    </xf>
    <xf numFmtId="37" fontId="7" fillId="31" borderId="26" xfId="0" applyNumberFormat="1" applyFont="1" applyFill="1" applyBorder="1" applyAlignment="1" applyProtection="1">
      <protection hidden="1"/>
    </xf>
    <xf numFmtId="4" fontId="8" fillId="24" borderId="0" xfId="0" applyNumberFormat="1" applyFont="1" applyFill="1" applyBorder="1" applyAlignment="1" applyProtection="1">
      <alignment vertical="top" wrapText="1"/>
      <protection hidden="1"/>
    </xf>
    <xf numFmtId="0" fontId="8" fillId="24" borderId="0" xfId="0" applyFont="1" applyFill="1" applyAlignment="1">
      <alignment wrapText="1"/>
    </xf>
    <xf numFmtId="4" fontId="17" fillId="24" borderId="0" xfId="0" applyNumberFormat="1" applyFont="1" applyFill="1" applyBorder="1" applyAlignment="1" applyProtection="1">
      <alignment horizontal="left" wrapText="1"/>
      <protection hidden="1"/>
    </xf>
    <xf numFmtId="0" fontId="17" fillId="24" borderId="0" xfId="0" applyFont="1" applyFill="1" applyAlignment="1">
      <alignment horizontal="left" wrapText="1"/>
    </xf>
    <xf numFmtId="0" fontId="78" fillId="14" borderId="64" xfId="2" applyFill="1" applyBorder="1" applyAlignment="1" applyProtection="1">
      <alignment horizontal="center"/>
    </xf>
    <xf numFmtId="0" fontId="0" fillId="0" borderId="65" xfId="0" applyBorder="1" applyAlignment="1">
      <alignment horizontal="center"/>
    </xf>
    <xf numFmtId="0" fontId="0" fillId="0" borderId="66" xfId="0" applyBorder="1" applyAlignment="1">
      <alignment horizontal="center"/>
    </xf>
    <xf numFmtId="37" fontId="6" fillId="31" borderId="10" xfId="0" applyNumberFormat="1" applyFont="1" applyFill="1" applyBorder="1" applyAlignment="1" applyProtection="1">
      <alignment horizontal="right"/>
      <protection hidden="1"/>
    </xf>
    <xf numFmtId="37" fontId="6" fillId="31" borderId="1" xfId="0" applyNumberFormat="1" applyFont="1" applyFill="1" applyBorder="1" applyAlignment="1" applyProtection="1">
      <alignment horizontal="right"/>
      <protection hidden="1"/>
    </xf>
    <xf numFmtId="37" fontId="6" fillId="22" borderId="40" xfId="0" applyNumberFormat="1" applyFont="1" applyFill="1" applyBorder="1" applyAlignment="1" applyProtection="1">
      <alignment horizontal="right"/>
      <protection locked="0"/>
    </xf>
    <xf numFmtId="37" fontId="6" fillId="22" borderId="26" xfId="0" applyNumberFormat="1" applyFont="1" applyFill="1" applyBorder="1" applyAlignment="1" applyProtection="1">
      <alignment horizontal="right"/>
      <protection locked="0"/>
    </xf>
    <xf numFmtId="4" fontId="76" fillId="2" borderId="31" xfId="0" applyNumberFormat="1" applyFont="1" applyFill="1" applyBorder="1" applyAlignment="1" applyProtection="1">
      <alignment horizontal="center"/>
      <protection hidden="1"/>
    </xf>
    <xf numFmtId="4" fontId="76" fillId="2" borderId="9" xfId="0" applyNumberFormat="1" applyFont="1" applyFill="1" applyBorder="1" applyAlignment="1" applyProtection="1">
      <alignment horizontal="center"/>
      <protection hidden="1"/>
    </xf>
    <xf numFmtId="4" fontId="131" fillId="2" borderId="3" xfId="0" applyNumberFormat="1" applyFont="1" applyFill="1" applyBorder="1" applyAlignment="1" applyProtection="1">
      <alignment horizontal="center"/>
      <protection hidden="1"/>
    </xf>
    <xf numFmtId="4" fontId="131" fillId="2" borderId="0" xfId="0" applyNumberFormat="1" applyFont="1" applyFill="1" applyBorder="1" applyAlignment="1" applyProtection="1">
      <alignment horizontal="center"/>
      <protection hidden="1"/>
    </xf>
    <xf numFmtId="14" fontId="4" fillId="21" borderId="10" xfId="0" applyNumberFormat="1" applyFont="1" applyFill="1" applyBorder="1" applyAlignment="1" applyProtection="1">
      <alignment horizontal="center"/>
      <protection locked="0"/>
    </xf>
    <xf numFmtId="14" fontId="4" fillId="21" borderId="1" xfId="0" applyNumberFormat="1" applyFont="1" applyFill="1" applyBorder="1" applyAlignment="1" applyProtection="1">
      <alignment horizontal="center"/>
      <protection locked="0"/>
    </xf>
    <xf numFmtId="14" fontId="19" fillId="21" borderId="1" xfId="0" applyNumberFormat="1" applyFont="1" applyFill="1" applyBorder="1" applyAlignment="1" applyProtection="1">
      <alignment horizontal="center"/>
      <protection locked="0"/>
    </xf>
    <xf numFmtId="0" fontId="0" fillId="21" borderId="12" xfId="0" applyFill="1" applyBorder="1" applyAlignment="1" applyProtection="1">
      <alignment horizontal="center"/>
      <protection locked="0"/>
    </xf>
    <xf numFmtId="49" fontId="11" fillId="22" borderId="10" xfId="0" applyNumberFormat="1" applyFont="1" applyFill="1" applyBorder="1" applyAlignment="1" applyProtection="1">
      <alignment horizontal="left"/>
      <protection locked="0"/>
    </xf>
    <xf numFmtId="0" fontId="0" fillId="22" borderId="1" xfId="0" applyFill="1" applyBorder="1" applyAlignment="1" applyProtection="1">
      <alignment horizontal="left"/>
      <protection locked="0"/>
    </xf>
    <xf numFmtId="0" fontId="0" fillId="22" borderId="1" xfId="0" applyFill="1" applyBorder="1" applyAlignment="1"/>
    <xf numFmtId="0" fontId="0" fillId="22" borderId="12" xfId="0" applyFill="1" applyBorder="1" applyAlignment="1"/>
    <xf numFmtId="49" fontId="4" fillId="21" borderId="1" xfId="0" applyNumberFormat="1" applyFont="1" applyFill="1" applyBorder="1" applyAlignment="1" applyProtection="1">
      <alignment horizontal="left"/>
      <protection locked="0"/>
    </xf>
    <xf numFmtId="0" fontId="0" fillId="21" borderId="1" xfId="0" applyFill="1" applyBorder="1" applyAlignment="1" applyProtection="1">
      <alignment horizontal="left"/>
      <protection locked="0"/>
    </xf>
    <xf numFmtId="0" fontId="0" fillId="21" borderId="12" xfId="0" applyFill="1" applyBorder="1" applyAlignment="1" applyProtection="1">
      <alignment horizontal="left"/>
      <protection locked="0"/>
    </xf>
    <xf numFmtId="37" fontId="6" fillId="31" borderId="10" xfId="0" applyNumberFormat="1" applyFont="1" applyFill="1" applyBorder="1" applyAlignment="1" applyProtection="1">
      <protection hidden="1"/>
    </xf>
    <xf numFmtId="37" fontId="6" fillId="31" borderId="1" xfId="0" applyNumberFormat="1" applyFont="1" applyFill="1" applyBorder="1" applyAlignment="1" applyProtection="1">
      <protection hidden="1"/>
    </xf>
    <xf numFmtId="3" fontId="7" fillId="22" borderId="26" xfId="0" applyNumberFormat="1" applyFont="1" applyFill="1" applyBorder="1" applyAlignment="1" applyProtection="1">
      <protection locked="0"/>
    </xf>
    <xf numFmtId="0" fontId="0" fillId="22" borderId="26" xfId="0" applyFill="1" applyBorder="1" applyAlignment="1" applyProtection="1">
      <protection locked="0"/>
    </xf>
    <xf numFmtId="4" fontId="76" fillId="2" borderId="3" xfId="0" applyNumberFormat="1" applyFont="1" applyFill="1" applyBorder="1" applyAlignment="1" applyProtection="1">
      <alignment horizontal="center"/>
      <protection hidden="1"/>
    </xf>
    <xf numFmtId="4" fontId="76" fillId="2" borderId="0" xfId="0" applyNumberFormat="1" applyFont="1" applyFill="1" applyBorder="1" applyAlignment="1" applyProtection="1">
      <alignment horizontal="center"/>
      <protection hidden="1"/>
    </xf>
    <xf numFmtId="0" fontId="4" fillId="31" borderId="24" xfId="0" applyNumberFormat="1" applyFont="1" applyFill="1" applyBorder="1" applyAlignment="1" applyProtection="1">
      <alignment horizontal="center" vertical="center"/>
      <protection hidden="1"/>
    </xf>
    <xf numFmtId="0" fontId="19" fillId="31" borderId="20" xfId="0" applyFont="1" applyFill="1" applyBorder="1" applyAlignment="1">
      <alignment horizontal="center"/>
    </xf>
    <xf numFmtId="0" fontId="19" fillId="31" borderId="22" xfId="0" applyFont="1" applyFill="1" applyBorder="1" applyAlignment="1">
      <alignment horizontal="center" vertical="center"/>
    </xf>
    <xf numFmtId="0" fontId="19" fillId="31" borderId="23" xfId="0" applyFont="1" applyFill="1" applyBorder="1" applyAlignment="1">
      <alignment horizontal="center"/>
    </xf>
    <xf numFmtId="3" fontId="6" fillId="24" borderId="96" xfId="0" applyNumberFormat="1" applyFont="1" applyFill="1" applyBorder="1" applyAlignment="1" applyProtection="1">
      <alignment horizontal="center"/>
      <protection locked="0"/>
    </xf>
    <xf numFmtId="0" fontId="0" fillId="24" borderId="96" xfId="0" applyFill="1" applyBorder="1" applyAlignment="1" applyProtection="1">
      <protection locked="0"/>
    </xf>
    <xf numFmtId="0" fontId="0" fillId="24" borderId="97" xfId="0" applyFill="1" applyBorder="1" applyAlignment="1" applyProtection="1">
      <protection locked="0"/>
    </xf>
    <xf numFmtId="0" fontId="8" fillId="2" borderId="26" xfId="0" applyFont="1" applyFill="1" applyBorder="1" applyAlignment="1" applyProtection="1">
      <alignment horizontal="left" vertical="center"/>
      <protection hidden="1"/>
    </xf>
    <xf numFmtId="0" fontId="8" fillId="0" borderId="26" xfId="0" applyFont="1" applyBorder="1" applyAlignment="1" applyProtection="1">
      <alignment horizontal="left" vertical="center"/>
      <protection hidden="1"/>
    </xf>
    <xf numFmtId="0" fontId="0" fillId="0" borderId="26" xfId="0" applyBorder="1" applyAlignment="1" applyProtection="1">
      <alignment horizontal="left"/>
      <protection hidden="1"/>
    </xf>
    <xf numFmtId="0" fontId="11" fillId="21" borderId="10" xfId="0" applyFont="1" applyFill="1" applyBorder="1" applyAlignment="1" applyProtection="1">
      <alignment horizontal="center"/>
      <protection locked="0"/>
    </xf>
    <xf numFmtId="0" fontId="0" fillId="21" borderId="1" xfId="0" applyFill="1" applyBorder="1" applyAlignment="1" applyProtection="1">
      <alignment horizontal="center"/>
      <protection locked="0"/>
    </xf>
    <xf numFmtId="0" fontId="11" fillId="22" borderId="1" xfId="0" applyFont="1" applyFill="1" applyBorder="1" applyAlignment="1" applyProtection="1">
      <alignment horizontal="center"/>
      <protection locked="0"/>
    </xf>
    <xf numFmtId="0" fontId="0" fillId="22" borderId="1" xfId="0" applyFill="1" applyBorder="1" applyAlignment="1" applyProtection="1">
      <alignment horizontal="center"/>
      <protection locked="0"/>
    </xf>
    <xf numFmtId="0" fontId="17" fillId="2" borderId="31" xfId="0" applyFont="1" applyFill="1" applyBorder="1" applyAlignment="1" applyProtection="1">
      <alignment horizontal="left"/>
      <protection hidden="1"/>
    </xf>
    <xf numFmtId="0" fontId="0" fillId="0" borderId="9" xfId="0" applyBorder="1" applyAlignment="1" applyProtection="1">
      <protection hidden="1"/>
    </xf>
    <xf numFmtId="0" fontId="78" fillId="6" borderId="6" xfId="2" applyFill="1" applyBorder="1" applyAlignment="1" applyProtection="1">
      <alignment horizontal="center"/>
      <protection hidden="1"/>
    </xf>
    <xf numFmtId="0" fontId="0" fillId="0" borderId="0" xfId="0" applyAlignment="1">
      <alignment horizontal="center"/>
    </xf>
    <xf numFmtId="4" fontId="6" fillId="2" borderId="3" xfId="0" applyNumberFormat="1" applyFont="1" applyFill="1" applyBorder="1" applyAlignment="1" applyProtection="1">
      <alignment horizontal="center"/>
      <protection hidden="1"/>
    </xf>
    <xf numFmtId="4" fontId="6" fillId="2" borderId="0" xfId="0" applyNumberFormat="1" applyFont="1" applyFill="1" applyBorder="1" applyAlignment="1" applyProtection="1">
      <alignment horizontal="center"/>
      <protection hidden="1"/>
    </xf>
    <xf numFmtId="0" fontId="5" fillId="0" borderId="0" xfId="0" applyFont="1" applyBorder="1" applyAlignment="1">
      <alignment horizontal="center"/>
    </xf>
    <xf numFmtId="166" fontId="4" fillId="22" borderId="1" xfId="0" applyNumberFormat="1" applyFont="1" applyFill="1" applyBorder="1" applyAlignment="1" applyProtection="1">
      <alignment horizontal="center"/>
      <protection locked="0"/>
    </xf>
    <xf numFmtId="4" fontId="8" fillId="24" borderId="0" xfId="0" applyNumberFormat="1" applyFont="1" applyFill="1" applyBorder="1" applyAlignment="1" applyProtection="1">
      <alignment horizontal="center" vertical="center" wrapText="1"/>
      <protection hidden="1"/>
    </xf>
    <xf numFmtId="0" fontId="8" fillId="24" borderId="0" xfId="0" applyFont="1" applyFill="1" applyBorder="1" applyAlignment="1" applyProtection="1">
      <alignment horizontal="center" vertical="center" wrapText="1"/>
      <protection hidden="1"/>
    </xf>
    <xf numFmtId="0" fontId="8" fillId="24" borderId="0" xfId="0" applyFont="1" applyFill="1" applyBorder="1" applyAlignment="1" applyProtection="1">
      <alignment horizontal="center" vertical="center"/>
      <protection hidden="1"/>
    </xf>
    <xf numFmtId="0" fontId="8" fillId="24" borderId="1" xfId="0" applyFont="1" applyFill="1" applyBorder="1" applyAlignment="1" applyProtection="1">
      <alignment horizontal="center" vertical="center" wrapText="1"/>
      <protection hidden="1"/>
    </xf>
    <xf numFmtId="0" fontId="8" fillId="24" borderId="1" xfId="0" applyFont="1" applyFill="1" applyBorder="1" applyAlignment="1" applyProtection="1">
      <alignment horizontal="center" vertical="center"/>
      <protection hidden="1"/>
    </xf>
    <xf numFmtId="4" fontId="17" fillId="24" borderId="9" xfId="0" applyNumberFormat="1" applyFont="1" applyFill="1" applyBorder="1" applyAlignment="1" applyProtection="1">
      <alignment vertical="top" wrapText="1"/>
      <protection hidden="1"/>
    </xf>
    <xf numFmtId="0" fontId="17" fillId="24" borderId="9" xfId="0" applyFont="1" applyFill="1" applyBorder="1" applyAlignment="1">
      <alignment vertical="top" wrapText="1"/>
    </xf>
    <xf numFmtId="4" fontId="17" fillId="24" borderId="0" xfId="0" applyNumberFormat="1" applyFont="1" applyFill="1" applyBorder="1" applyAlignment="1" applyProtection="1">
      <alignment vertical="top" wrapText="1"/>
      <protection hidden="1"/>
    </xf>
    <xf numFmtId="0" fontId="17" fillId="24" borderId="0" xfId="0" applyFont="1" applyFill="1" applyBorder="1" applyAlignment="1">
      <alignment vertical="top" wrapText="1"/>
    </xf>
    <xf numFmtId="0" fontId="11" fillId="24" borderId="31" xfId="0" applyFont="1" applyFill="1" applyBorder="1" applyAlignment="1" applyProtection="1">
      <alignment horizontal="center"/>
      <protection hidden="1"/>
    </xf>
    <xf numFmtId="0" fontId="4" fillId="24" borderId="9" xfId="0" applyFont="1" applyFill="1" applyBorder="1" applyAlignment="1">
      <alignment horizontal="center"/>
    </xf>
    <xf numFmtId="0" fontId="11" fillId="24" borderId="31" xfId="0" applyFont="1" applyFill="1" applyBorder="1" applyAlignment="1" applyProtection="1">
      <alignment horizontal="center" vertical="center"/>
      <protection hidden="1"/>
    </xf>
    <xf numFmtId="0" fontId="11" fillId="24" borderId="9" xfId="0" applyFont="1" applyFill="1" applyBorder="1" applyAlignment="1" applyProtection="1">
      <alignment horizontal="center" vertical="center"/>
      <protection hidden="1"/>
    </xf>
    <xf numFmtId="0" fontId="0" fillId="24" borderId="9" xfId="0" applyFill="1" applyBorder="1" applyAlignment="1">
      <alignment horizontal="center" vertical="center"/>
    </xf>
    <xf numFmtId="0" fontId="0" fillId="24" borderId="15" xfId="0" applyFill="1" applyBorder="1" applyAlignment="1">
      <alignment horizontal="center" vertical="center"/>
    </xf>
    <xf numFmtId="0" fontId="17" fillId="24" borderId="3" xfId="0" applyFont="1" applyFill="1" applyBorder="1" applyAlignment="1" applyProtection="1">
      <alignment horizontal="center" vertical="center"/>
      <protection hidden="1"/>
    </xf>
    <xf numFmtId="0" fontId="0" fillId="24" borderId="0" xfId="0" applyFill="1" applyAlignment="1">
      <alignment horizontal="center" vertical="center"/>
    </xf>
    <xf numFmtId="0" fontId="10" fillId="22" borderId="1" xfId="0" applyFont="1" applyFill="1" applyBorder="1" applyAlignment="1" applyProtection="1">
      <alignment horizontal="left" vertical="center" indent="1"/>
      <protection locked="0"/>
    </xf>
    <xf numFmtId="0" fontId="14" fillId="22" borderId="1" xfId="0" applyFont="1" applyFill="1" applyBorder="1" applyAlignment="1" applyProtection="1">
      <alignment horizontal="left" indent="1"/>
      <protection locked="0"/>
    </xf>
    <xf numFmtId="0" fontId="14" fillId="22" borderId="12" xfId="0" applyFont="1" applyFill="1" applyBorder="1" applyAlignment="1" applyProtection="1">
      <alignment horizontal="left" indent="1"/>
      <protection locked="0"/>
    </xf>
    <xf numFmtId="0" fontId="10" fillId="22" borderId="1" xfId="0" applyFont="1" applyFill="1" applyBorder="1" applyAlignment="1" applyProtection="1">
      <alignment horizontal="left" indent="1"/>
      <protection locked="0"/>
    </xf>
    <xf numFmtId="0" fontId="10" fillId="22" borderId="12" xfId="0" applyFont="1" applyFill="1" applyBorder="1" applyAlignment="1" applyProtection="1">
      <alignment horizontal="left" indent="1"/>
      <protection locked="0"/>
    </xf>
    <xf numFmtId="0" fontId="10" fillId="22" borderId="10" xfId="0" applyFont="1" applyFill="1" applyBorder="1" applyAlignment="1" applyProtection="1">
      <alignment horizontal="left" indent="1"/>
      <protection locked="0"/>
    </xf>
    <xf numFmtId="0" fontId="17" fillId="24" borderId="36" xfId="0" applyFont="1" applyFill="1" applyBorder="1" applyAlignment="1" applyProtection="1">
      <alignment horizontal="center"/>
      <protection hidden="1"/>
    </xf>
    <xf numFmtId="0" fontId="17" fillId="24" borderId="14" xfId="0" applyFont="1" applyFill="1" applyBorder="1" applyAlignment="1">
      <alignment horizontal="center"/>
    </xf>
    <xf numFmtId="166" fontId="10" fillId="22" borderId="10" xfId="0" applyNumberFormat="1" applyFont="1" applyFill="1" applyBorder="1" applyAlignment="1" applyProtection="1">
      <alignment horizontal="center"/>
      <protection locked="0"/>
    </xf>
    <xf numFmtId="166" fontId="14" fillId="22" borderId="1" xfId="0" applyNumberFormat="1" applyFont="1" applyFill="1" applyBorder="1" applyAlignment="1" applyProtection="1">
      <alignment horizontal="center"/>
      <protection locked="0"/>
    </xf>
    <xf numFmtId="0" fontId="3" fillId="2" borderId="127" xfId="0" applyFont="1" applyFill="1" applyBorder="1" applyAlignment="1" applyProtection="1">
      <alignment horizontal="center"/>
      <protection hidden="1"/>
    </xf>
    <xf numFmtId="0" fontId="3" fillId="2" borderId="35" xfId="0" applyFont="1" applyFill="1" applyBorder="1" applyAlignment="1" applyProtection="1">
      <alignment horizontal="center"/>
      <protection hidden="1"/>
    </xf>
    <xf numFmtId="0" fontId="3" fillId="0" borderId="35" xfId="0" applyFont="1" applyBorder="1" applyAlignment="1">
      <alignment horizontal="center"/>
    </xf>
    <xf numFmtId="4" fontId="6" fillId="2" borderId="31" xfId="0" applyNumberFormat="1" applyFont="1" applyFill="1" applyBorder="1" applyAlignment="1" applyProtection="1">
      <alignment horizontal="center"/>
      <protection hidden="1"/>
    </xf>
    <xf numFmtId="4" fontId="6" fillId="2" borderId="9" xfId="0" applyNumberFormat="1" applyFont="1" applyFill="1" applyBorder="1" applyAlignment="1" applyProtection="1">
      <alignment horizontal="center"/>
      <protection hidden="1"/>
    </xf>
    <xf numFmtId="0" fontId="5" fillId="0" borderId="9" xfId="0" applyFont="1" applyBorder="1" applyAlignment="1">
      <alignment horizontal="center"/>
    </xf>
    <xf numFmtId="0" fontId="86" fillId="24" borderId="3" xfId="0" applyFont="1" applyFill="1" applyBorder="1" applyAlignment="1" applyProtection="1">
      <alignment horizontal="center" vertical="center"/>
    </xf>
    <xf numFmtId="0" fontId="86" fillId="24" borderId="0" xfId="0" applyFont="1" applyFill="1" applyBorder="1" applyAlignment="1" applyProtection="1">
      <alignment horizontal="center" vertical="center"/>
    </xf>
    <xf numFmtId="0" fontId="0" fillId="24" borderId="0" xfId="0" applyFill="1" applyBorder="1" applyAlignment="1" applyProtection="1">
      <alignment horizontal="center"/>
    </xf>
    <xf numFmtId="0" fontId="0" fillId="24" borderId="25" xfId="0" applyFill="1" applyBorder="1" applyAlignment="1" applyProtection="1">
      <alignment horizontal="center"/>
    </xf>
    <xf numFmtId="0" fontId="0" fillId="24" borderId="36" xfId="0" applyFill="1" applyBorder="1" applyAlignment="1" applyProtection="1">
      <alignment horizontal="center"/>
    </xf>
    <xf numFmtId="0" fontId="0" fillId="24" borderId="14" xfId="0" applyFill="1" applyBorder="1" applyAlignment="1" applyProtection="1">
      <alignment horizontal="center"/>
    </xf>
    <xf numFmtId="0" fontId="0" fillId="24" borderId="18" xfId="0" applyFill="1" applyBorder="1" applyAlignment="1" applyProtection="1">
      <alignment horizontal="center"/>
    </xf>
    <xf numFmtId="0" fontId="6" fillId="2" borderId="0" xfId="0" applyFont="1" applyFill="1" applyBorder="1" applyAlignment="1">
      <alignment horizontal="left" textRotation="90"/>
    </xf>
    <xf numFmtId="0" fontId="5" fillId="0" borderId="5" xfId="0" applyFont="1" applyBorder="1" applyAlignment="1">
      <alignment horizontal="left"/>
    </xf>
    <xf numFmtId="49" fontId="110" fillId="2" borderId="0" xfId="0" applyNumberFormat="1" applyFont="1" applyFill="1" applyBorder="1" applyAlignment="1" applyProtection="1">
      <alignment horizontal="center" vertical="center" wrapText="1"/>
      <protection hidden="1"/>
    </xf>
    <xf numFmtId="0" fontId="111" fillId="0" borderId="0" xfId="0" applyFont="1" applyBorder="1" applyAlignment="1">
      <alignment horizontal="center" wrapText="1"/>
    </xf>
    <xf numFmtId="0" fontId="111" fillId="0" borderId="5" xfId="0" applyFont="1" applyBorder="1" applyAlignment="1">
      <alignment horizontal="center" wrapText="1"/>
    </xf>
    <xf numFmtId="0" fontId="13" fillId="2" borderId="0" xfId="0" applyFont="1" applyFill="1" applyBorder="1" applyAlignment="1" applyProtection="1">
      <protection hidden="1"/>
    </xf>
    <xf numFmtId="0" fontId="14" fillId="0" borderId="0" xfId="0" applyFont="1" applyAlignment="1"/>
    <xf numFmtId="3" fontId="7" fillId="31" borderId="26" xfId="0" applyNumberFormat="1" applyFont="1" applyFill="1" applyBorder="1" applyAlignment="1" applyProtection="1">
      <protection hidden="1"/>
    </xf>
    <xf numFmtId="0" fontId="0" fillId="31" borderId="26" xfId="0" applyFill="1" applyBorder="1" applyAlignment="1" applyProtection="1">
      <protection hidden="1"/>
    </xf>
    <xf numFmtId="0" fontId="16" fillId="2" borderId="17" xfId="0" applyFont="1" applyFill="1" applyBorder="1" applyAlignment="1" applyProtection="1">
      <alignment vertical="center"/>
      <protection hidden="1"/>
    </xf>
    <xf numFmtId="0" fontId="0" fillId="0" borderId="17" xfId="0" applyBorder="1" applyAlignment="1">
      <alignment vertical="center"/>
    </xf>
    <xf numFmtId="0" fontId="16" fillId="2" borderId="0" xfId="0" applyFont="1" applyFill="1" applyBorder="1" applyAlignment="1" applyProtection="1">
      <protection hidden="1"/>
    </xf>
    <xf numFmtId="0" fontId="0" fillId="0" borderId="0" xfId="0" applyAlignment="1"/>
    <xf numFmtId="166" fontId="7" fillId="22" borderId="4" xfId="0" applyNumberFormat="1" applyFont="1" applyFill="1" applyBorder="1" applyAlignment="1" applyProtection="1">
      <alignment horizontal="center"/>
      <protection locked="0"/>
    </xf>
    <xf numFmtId="166" fontId="7" fillId="22" borderId="95" xfId="0" applyNumberFormat="1" applyFont="1" applyFill="1" applyBorder="1" applyAlignment="1" applyProtection="1">
      <alignment horizontal="center"/>
      <protection locked="0"/>
    </xf>
    <xf numFmtId="0" fontId="4" fillId="24" borderId="0" xfId="0" applyFont="1" applyFill="1" applyBorder="1" applyAlignment="1" applyProtection="1">
      <alignment horizontal="right"/>
      <protection hidden="1"/>
    </xf>
    <xf numFmtId="0" fontId="0" fillId="0" borderId="25" xfId="0" applyBorder="1" applyAlignment="1"/>
    <xf numFmtId="3" fontId="4" fillId="25" borderId="26" xfId="0" applyNumberFormat="1" applyFont="1" applyFill="1" applyBorder="1" applyAlignment="1" applyProtection="1">
      <protection locked="0"/>
    </xf>
    <xf numFmtId="0" fontId="4" fillId="24" borderId="8" xfId="0" applyFont="1" applyFill="1" applyBorder="1" applyAlignment="1" applyProtection="1">
      <alignment horizontal="right"/>
      <protection locked="0" hidden="1"/>
    </xf>
    <xf numFmtId="0" fontId="0" fillId="24" borderId="37" xfId="0" applyFill="1" applyBorder="1" applyAlignment="1" applyProtection="1">
      <alignment horizontal="right"/>
      <protection locked="0" hidden="1"/>
    </xf>
    <xf numFmtId="37" fontId="1" fillId="22" borderId="40" xfId="0" applyNumberFormat="1" applyFont="1" applyFill="1" applyBorder="1" applyAlignment="1" applyProtection="1">
      <alignment horizontal="right"/>
      <protection hidden="1"/>
    </xf>
    <xf numFmtId="37" fontId="1" fillId="22" borderId="26" xfId="0" applyNumberFormat="1" applyFont="1" applyFill="1" applyBorder="1" applyAlignment="1" applyProtection="1">
      <alignment horizontal="right"/>
      <protection hidden="1"/>
    </xf>
    <xf numFmtId="0" fontId="0" fillId="22" borderId="26" xfId="0" applyFill="1" applyBorder="1" applyAlignment="1" applyProtection="1">
      <alignment horizontal="right"/>
      <protection hidden="1"/>
    </xf>
    <xf numFmtId="0" fontId="0" fillId="22" borderId="55" xfId="0" applyFill="1" applyBorder="1" applyAlignment="1">
      <alignment horizontal="right"/>
    </xf>
    <xf numFmtId="0" fontId="5" fillId="24" borderId="1" xfId="0" applyFont="1" applyFill="1" applyBorder="1" applyAlignment="1" applyProtection="1">
      <alignment horizontal="center" vertical="center"/>
      <protection hidden="1"/>
    </xf>
    <xf numFmtId="1" fontId="7" fillId="22" borderId="0" xfId="0" applyNumberFormat="1" applyFont="1" applyFill="1" applyBorder="1" applyAlignment="1" applyProtection="1">
      <alignment horizontal="center"/>
      <protection locked="0"/>
    </xf>
    <xf numFmtId="0" fontId="0" fillId="22" borderId="1" xfId="0" applyFill="1" applyBorder="1" applyAlignment="1" applyProtection="1">
      <protection locked="0"/>
    </xf>
    <xf numFmtId="49" fontId="16" fillId="22" borderId="1" xfId="0" applyNumberFormat="1" applyFont="1" applyFill="1" applyBorder="1" applyAlignment="1" applyProtection="1">
      <alignment horizontal="left" vertical="center"/>
      <protection locked="0"/>
    </xf>
    <xf numFmtId="0" fontId="55" fillId="22" borderId="1" xfId="0" applyFont="1" applyFill="1" applyBorder="1" applyAlignment="1">
      <alignment horizontal="left" vertical="center"/>
    </xf>
    <xf numFmtId="165" fontId="16" fillId="22" borderId="1" xfId="0" applyNumberFormat="1" applyFont="1" applyFill="1" applyBorder="1" applyAlignment="1" applyProtection="1">
      <alignment horizontal="left" vertical="center"/>
      <protection locked="0"/>
    </xf>
    <xf numFmtId="37" fontId="6" fillId="31" borderId="40" xfId="0" applyNumberFormat="1" applyFont="1" applyFill="1" applyBorder="1" applyAlignment="1" applyProtection="1">
      <protection hidden="1"/>
    </xf>
    <xf numFmtId="37" fontId="6" fillId="31" borderId="26" xfId="0" applyNumberFormat="1" applyFont="1" applyFill="1" applyBorder="1" applyAlignment="1" applyProtection="1">
      <protection hidden="1"/>
    </xf>
    <xf numFmtId="0" fontId="11" fillId="22" borderId="10" xfId="0" applyFont="1" applyFill="1" applyBorder="1" applyAlignment="1" applyProtection="1">
      <alignment horizontal="center"/>
      <protection locked="0"/>
    </xf>
    <xf numFmtId="0" fontId="4" fillId="22" borderId="1" xfId="0" applyFont="1" applyFill="1" applyBorder="1" applyAlignment="1" applyProtection="1">
      <alignment horizontal="center"/>
      <protection locked="0"/>
    </xf>
    <xf numFmtId="0" fontId="0" fillId="0" borderId="12" xfId="0" applyBorder="1" applyAlignment="1" applyProtection="1">
      <alignment horizontal="center"/>
      <protection locked="0"/>
    </xf>
    <xf numFmtId="49" fontId="10" fillId="22" borderId="10" xfId="0" applyNumberFormat="1" applyFont="1" applyFill="1" applyBorder="1" applyAlignment="1" applyProtection="1">
      <alignment horizontal="center"/>
      <protection locked="0"/>
    </xf>
    <xf numFmtId="49" fontId="13" fillId="22" borderId="1" xfId="0" applyNumberFormat="1" applyFont="1" applyFill="1" applyBorder="1" applyAlignment="1" applyProtection="1">
      <alignment horizontal="center"/>
      <protection locked="0"/>
    </xf>
    <xf numFmtId="0" fontId="13" fillId="22" borderId="12" xfId="0" applyFont="1" applyFill="1" applyBorder="1" applyAlignment="1" applyProtection="1">
      <alignment horizontal="center"/>
      <protection locked="0"/>
    </xf>
    <xf numFmtId="3" fontId="0" fillId="22" borderId="26" xfId="0" applyNumberFormat="1" applyFill="1" applyBorder="1" applyAlignment="1" applyProtection="1">
      <protection locked="0"/>
    </xf>
    <xf numFmtId="0" fontId="5" fillId="24" borderId="0" xfId="0" applyFont="1" applyFill="1" applyBorder="1" applyAlignment="1" applyProtection="1">
      <alignment vertical="top" wrapText="1"/>
      <protection hidden="1"/>
    </xf>
    <xf numFmtId="0" fontId="0" fillId="24" borderId="0" xfId="0" applyFill="1" applyAlignment="1">
      <alignment wrapText="1"/>
    </xf>
    <xf numFmtId="0" fontId="0" fillId="24" borderId="25" xfId="0" applyFill="1" applyBorder="1" applyAlignment="1">
      <alignment wrapText="1"/>
    </xf>
    <xf numFmtId="3" fontId="15" fillId="24" borderId="98" xfId="0" applyNumberFormat="1" applyFont="1" applyFill="1" applyBorder="1" applyAlignment="1" applyProtection="1">
      <alignment horizontal="left"/>
      <protection locked="0"/>
    </xf>
    <xf numFmtId="0" fontId="8" fillId="24" borderId="98" xfId="0" applyFont="1" applyFill="1" applyBorder="1" applyAlignment="1" applyProtection="1">
      <alignment horizontal="center"/>
      <protection locked="0"/>
    </xf>
    <xf numFmtId="3" fontId="7" fillId="24" borderId="9" xfId="0" applyNumberFormat="1" applyFont="1" applyFill="1" applyBorder="1" applyAlignment="1" applyProtection="1">
      <protection locked="0"/>
    </xf>
    <xf numFmtId="0" fontId="0" fillId="24" borderId="9" xfId="0" applyFill="1" applyBorder="1" applyAlignment="1" applyProtection="1">
      <protection locked="0"/>
    </xf>
    <xf numFmtId="3" fontId="0" fillId="31" borderId="26" xfId="0" applyNumberFormat="1" applyFill="1" applyBorder="1" applyAlignment="1" applyProtection="1">
      <protection hidden="1"/>
    </xf>
    <xf numFmtId="3" fontId="5" fillId="24" borderId="93" xfId="0" applyNumberFormat="1" applyFont="1" applyFill="1" applyBorder="1" applyAlignment="1" applyProtection="1">
      <alignment horizontal="center"/>
      <protection locked="0"/>
    </xf>
    <xf numFmtId="0" fontId="0" fillId="24" borderId="93" xfId="0" applyFill="1" applyBorder="1" applyAlignment="1" applyProtection="1">
      <alignment horizontal="center"/>
      <protection locked="0"/>
    </xf>
    <xf numFmtId="0" fontId="8" fillId="22" borderId="4" xfId="0" applyFont="1" applyFill="1" applyBorder="1" applyAlignment="1" applyProtection="1">
      <protection locked="0"/>
    </xf>
    <xf numFmtId="0" fontId="0" fillId="22" borderId="4" xfId="0" applyFill="1" applyBorder="1" applyAlignment="1" applyProtection="1">
      <protection locked="0"/>
    </xf>
    <xf numFmtId="3" fontId="4" fillId="22" borderId="1" xfId="0" applyNumberFormat="1" applyFont="1" applyFill="1" applyBorder="1" applyAlignment="1" applyProtection="1">
      <protection locked="0"/>
    </xf>
    <xf numFmtId="3" fontId="7" fillId="22" borderId="1" xfId="0" applyNumberFormat="1" applyFont="1" applyFill="1" applyBorder="1" applyAlignment="1" applyProtection="1">
      <protection locked="0"/>
    </xf>
    <xf numFmtId="3" fontId="0" fillId="22" borderId="1" xfId="0" applyNumberFormat="1" applyFill="1" applyBorder="1" applyAlignment="1" applyProtection="1">
      <protection locked="0"/>
    </xf>
    <xf numFmtId="37" fontId="6" fillId="22" borderId="40" xfId="0" applyNumberFormat="1" applyFont="1" applyFill="1" applyBorder="1" applyAlignment="1" applyProtection="1">
      <protection locked="0"/>
    </xf>
    <xf numFmtId="37" fontId="6" fillId="22" borderId="26" xfId="0" applyNumberFormat="1" applyFont="1" applyFill="1" applyBorder="1" applyAlignment="1" applyProtection="1">
      <protection locked="0"/>
    </xf>
    <xf numFmtId="0" fontId="0" fillId="31" borderId="26" xfId="0" applyFill="1" applyBorder="1"/>
    <xf numFmtId="0" fontId="0" fillId="22" borderId="5" xfId="0" applyFill="1" applyBorder="1" applyAlignment="1" applyProtection="1">
      <protection locked="0"/>
    </xf>
    <xf numFmtId="0" fontId="90" fillId="24" borderId="3" xfId="0" applyFont="1" applyFill="1" applyBorder="1" applyAlignment="1" applyProtection="1">
      <alignment horizontal="center" vertical="center"/>
      <protection hidden="1"/>
    </xf>
    <xf numFmtId="0" fontId="90" fillId="24" borderId="0" xfId="0" applyFont="1" applyFill="1" applyAlignment="1">
      <alignment horizontal="center" vertical="center"/>
    </xf>
    <xf numFmtId="0" fontId="107" fillId="24" borderId="25" xfId="0" applyFont="1" applyFill="1" applyBorder="1" applyAlignment="1">
      <alignment horizontal="center" vertical="center"/>
    </xf>
    <xf numFmtId="1" fontId="8" fillId="2" borderId="10" xfId="0" applyNumberFormat="1" applyFont="1" applyFill="1" applyBorder="1" applyAlignment="1" applyProtection="1">
      <alignment horizontal="left" vertical="top" wrapText="1"/>
      <protection hidden="1"/>
    </xf>
    <xf numFmtId="0" fontId="8" fillId="0" borderId="1" xfId="0" applyFont="1" applyBorder="1" applyAlignment="1" applyProtection="1">
      <alignment horizontal="left" vertical="top" wrapText="1"/>
      <protection hidden="1"/>
    </xf>
    <xf numFmtId="0" fontId="8" fillId="0" borderId="21" xfId="0" applyFont="1" applyBorder="1" applyAlignment="1" applyProtection="1">
      <alignment wrapText="1"/>
      <protection hidden="1"/>
    </xf>
    <xf numFmtId="0" fontId="120" fillId="2" borderId="3" xfId="0" applyNumberFormat="1" applyFont="1" applyFill="1" applyBorder="1" applyAlignment="1" applyProtection="1">
      <alignment horizontal="center" vertical="top"/>
      <protection hidden="1"/>
    </xf>
    <xf numFmtId="0" fontId="121" fillId="0" borderId="0" xfId="0" applyNumberFormat="1" applyFont="1" applyAlignment="1">
      <alignment horizontal="center" vertical="top"/>
    </xf>
    <xf numFmtId="1" fontId="136" fillId="22" borderId="62" xfId="0" applyNumberFormat="1" applyFont="1" applyFill="1" applyBorder="1" applyAlignment="1" applyProtection="1">
      <alignment horizontal="center" vertical="center"/>
      <protection locked="0"/>
    </xf>
    <xf numFmtId="0" fontId="137" fillId="22" borderId="78" xfId="0" applyFont="1" applyFill="1" applyBorder="1" applyAlignment="1">
      <alignment horizontal="center" vertical="center"/>
    </xf>
    <xf numFmtId="0" fontId="137" fillId="22" borderId="63" xfId="0" applyFont="1" applyFill="1" applyBorder="1" applyAlignment="1">
      <alignment horizontal="center" vertical="center"/>
    </xf>
    <xf numFmtId="4" fontId="5" fillId="2" borderId="3" xfId="0" applyNumberFormat="1" applyFont="1" applyFill="1" applyBorder="1" applyAlignment="1" applyProtection="1">
      <protection hidden="1"/>
    </xf>
    <xf numFmtId="4" fontId="5" fillId="2" borderId="0" xfId="0" applyNumberFormat="1" applyFont="1" applyFill="1" applyBorder="1" applyAlignment="1" applyProtection="1">
      <protection hidden="1"/>
    </xf>
    <xf numFmtId="0" fontId="0" fillId="0" borderId="1" xfId="0" applyBorder="1" applyAlignment="1" applyProtection="1">
      <alignment horizontal="center"/>
      <protection locked="0"/>
    </xf>
    <xf numFmtId="0" fontId="16" fillId="22" borderId="1" xfId="0" applyNumberFormat="1" applyFont="1" applyFill="1" applyBorder="1" applyAlignment="1" applyProtection="1">
      <alignment horizontal="left" vertical="center"/>
      <protection locked="0"/>
    </xf>
    <xf numFmtId="0" fontId="8" fillId="2" borderId="3" xfId="0" applyFont="1" applyFill="1" applyBorder="1" applyAlignment="1" applyProtection="1">
      <alignment horizontal="left"/>
      <protection hidden="1"/>
    </xf>
    <xf numFmtId="0" fontId="8" fillId="2" borderId="0" xfId="0" applyFont="1" applyFill="1" applyAlignment="1" applyProtection="1">
      <alignment horizontal="left"/>
      <protection hidden="1"/>
    </xf>
    <xf numFmtId="0" fontId="8" fillId="21" borderId="3" xfId="0" applyFont="1" applyFill="1" applyBorder="1" applyAlignment="1" applyProtection="1">
      <protection hidden="1"/>
    </xf>
    <xf numFmtId="0" fontId="0" fillId="21" borderId="0" xfId="0" applyFill="1" applyAlignment="1" applyProtection="1">
      <protection hidden="1"/>
    </xf>
    <xf numFmtId="0" fontId="0" fillId="21" borderId="25" xfId="0" applyFill="1" applyBorder="1" applyAlignment="1" applyProtection="1">
      <protection hidden="1"/>
    </xf>
    <xf numFmtId="3" fontId="6" fillId="22" borderId="10" xfId="0" applyNumberFormat="1" applyFont="1" applyFill="1" applyBorder="1" applyAlignment="1" applyProtection="1">
      <alignment horizontal="right"/>
      <protection locked="0"/>
    </xf>
    <xf numFmtId="3" fontId="0" fillId="22" borderId="1" xfId="0" applyNumberFormat="1" applyFill="1" applyBorder="1" applyAlignment="1" applyProtection="1">
      <alignment horizontal="right"/>
      <protection locked="0"/>
    </xf>
    <xf numFmtId="3" fontId="0" fillId="22" borderId="12" xfId="0" applyNumberFormat="1" applyFill="1" applyBorder="1" applyAlignment="1" applyProtection="1">
      <alignment horizontal="right"/>
      <protection locked="0"/>
    </xf>
    <xf numFmtId="1" fontId="11" fillId="22" borderId="10" xfId="0" applyNumberFormat="1" applyFont="1" applyFill="1" applyBorder="1" applyAlignment="1" applyProtection="1">
      <alignment horizontal="center"/>
      <protection locked="0"/>
    </xf>
    <xf numFmtId="1" fontId="4" fillId="22" borderId="12" xfId="0" applyNumberFormat="1" applyFont="1" applyFill="1" applyBorder="1" applyAlignment="1" applyProtection="1">
      <alignment horizontal="center"/>
      <protection locked="0"/>
    </xf>
    <xf numFmtId="37" fontId="6" fillId="31" borderId="40" xfId="0" applyNumberFormat="1" applyFont="1" applyFill="1" applyBorder="1" applyAlignment="1" applyProtection="1">
      <alignment horizontal="right"/>
      <protection hidden="1"/>
    </xf>
    <xf numFmtId="37" fontId="6" fillId="31" borderId="26" xfId="0" applyNumberFormat="1" applyFont="1" applyFill="1" applyBorder="1" applyAlignment="1" applyProtection="1">
      <alignment horizontal="right"/>
      <protection hidden="1"/>
    </xf>
    <xf numFmtId="0" fontId="3" fillId="5" borderId="3" xfId="0" applyFont="1" applyFill="1" applyBorder="1" applyAlignment="1" applyProtection="1">
      <alignment horizontal="center" vertical="center"/>
      <protection hidden="1"/>
    </xf>
    <xf numFmtId="0" fontId="0" fillId="0" borderId="0" xfId="0" applyAlignment="1">
      <alignment horizontal="center" vertical="center"/>
    </xf>
    <xf numFmtId="4" fontId="133" fillId="0" borderId="3" xfId="0" applyNumberFormat="1" applyFont="1" applyFill="1" applyBorder="1" applyAlignment="1" applyProtection="1">
      <alignment horizontal="center"/>
      <protection hidden="1"/>
    </xf>
    <xf numFmtId="0" fontId="132" fillId="0" borderId="0" xfId="0" applyFont="1" applyAlignment="1">
      <alignment horizontal="center"/>
    </xf>
    <xf numFmtId="4" fontId="8" fillId="2" borderId="10" xfId="0" applyNumberFormat="1" applyFont="1" applyFill="1" applyBorder="1" applyAlignment="1" applyProtection="1">
      <alignment horizontal="center"/>
      <protection hidden="1"/>
    </xf>
    <xf numFmtId="0" fontId="0" fillId="0" borderId="1" xfId="0" applyBorder="1" applyAlignment="1">
      <alignment horizontal="center"/>
    </xf>
    <xf numFmtId="0" fontId="0" fillId="0" borderId="12" xfId="0" applyBorder="1" applyAlignment="1">
      <alignment horizontal="center"/>
    </xf>
    <xf numFmtId="4" fontId="8" fillId="2" borderId="3" xfId="0" applyNumberFormat="1" applyFont="1" applyFill="1" applyBorder="1" applyAlignment="1" applyProtection="1">
      <alignment horizontal="center"/>
      <protection hidden="1"/>
    </xf>
    <xf numFmtId="0" fontId="0" fillId="0" borderId="25" xfId="0" applyBorder="1" applyAlignment="1">
      <alignment horizontal="center"/>
    </xf>
    <xf numFmtId="0" fontId="67" fillId="3" borderId="24" xfId="0" applyFont="1" applyFill="1" applyBorder="1" applyAlignment="1" applyProtection="1">
      <protection hidden="1"/>
    </xf>
    <xf numFmtId="0" fontId="0" fillId="0" borderId="8" xfId="0" applyBorder="1" applyAlignment="1"/>
    <xf numFmtId="0" fontId="0" fillId="0" borderId="6" xfId="0" applyBorder="1" applyAlignment="1"/>
    <xf numFmtId="40" fontId="167" fillId="2" borderId="0" xfId="0" applyNumberFormat="1" applyFont="1" applyFill="1" applyBorder="1" applyAlignment="1" applyProtection="1">
      <protection hidden="1"/>
    </xf>
    <xf numFmtId="40" fontId="167" fillId="0" borderId="0" xfId="0" applyNumberFormat="1" applyFont="1" applyAlignment="1" applyProtection="1">
      <protection hidden="1"/>
    </xf>
    <xf numFmtId="40" fontId="167" fillId="0" borderId="25" xfId="0" applyNumberFormat="1" applyFont="1" applyBorder="1" applyAlignment="1" applyProtection="1">
      <protection hidden="1"/>
    </xf>
    <xf numFmtId="37" fontId="7" fillId="31" borderId="40" xfId="0" applyNumberFormat="1" applyFont="1" applyFill="1" applyBorder="1" applyAlignment="1" applyProtection="1">
      <alignment horizontal="right"/>
      <protection hidden="1"/>
    </xf>
    <xf numFmtId="37" fontId="7" fillId="31" borderId="26" xfId="0" applyNumberFormat="1" applyFont="1" applyFill="1" applyBorder="1" applyAlignment="1" applyProtection="1">
      <alignment horizontal="right"/>
      <protection hidden="1"/>
    </xf>
    <xf numFmtId="4" fontId="8" fillId="24" borderId="0" xfId="0" applyNumberFormat="1" applyFont="1" applyFill="1" applyBorder="1" applyAlignment="1" applyProtection="1">
      <alignment vertical="center" wrapText="1"/>
      <protection hidden="1"/>
    </xf>
    <xf numFmtId="0" fontId="8" fillId="24" borderId="0" xfId="0" applyFont="1" applyFill="1" applyAlignment="1">
      <alignment vertical="center" wrapText="1"/>
    </xf>
    <xf numFmtId="4" fontId="232" fillId="2" borderId="0" xfId="0" applyNumberFormat="1" applyFont="1" applyFill="1" applyBorder="1" applyAlignment="1" applyProtection="1">
      <alignment horizontal="center"/>
      <protection hidden="1"/>
    </xf>
    <xf numFmtId="0" fontId="232" fillId="0" borderId="0" xfId="0" applyFont="1" applyAlignment="1">
      <alignment horizontal="center"/>
    </xf>
    <xf numFmtId="176" fontId="11" fillId="22" borderId="35" xfId="0" applyNumberFormat="1" applyFont="1" applyFill="1" applyBorder="1" applyAlignment="1" applyProtection="1">
      <alignment horizontal="center"/>
      <protection locked="0"/>
    </xf>
    <xf numFmtId="176" fontId="1" fillId="22" borderId="35" xfId="0" applyNumberFormat="1" applyFont="1" applyFill="1" applyBorder="1" applyAlignment="1" applyProtection="1">
      <alignment horizontal="center"/>
      <protection locked="0"/>
    </xf>
    <xf numFmtId="49" fontId="6" fillId="22" borderId="26" xfId="0" applyNumberFormat="1" applyFont="1" applyFill="1" applyBorder="1" applyAlignment="1" applyProtection="1">
      <alignment horizontal="center"/>
      <protection locked="0"/>
    </xf>
    <xf numFmtId="49" fontId="5" fillId="22" borderId="26" xfId="0" applyNumberFormat="1" applyFont="1" applyFill="1" applyBorder="1" applyAlignment="1" applyProtection="1">
      <alignment horizontal="center"/>
      <protection locked="0"/>
    </xf>
    <xf numFmtId="49" fontId="0" fillId="22" borderId="26" xfId="0" applyNumberFormat="1" applyFill="1" applyBorder="1" applyAlignment="1" applyProtection="1">
      <protection locked="0"/>
    </xf>
    <xf numFmtId="49" fontId="0" fillId="22" borderId="94" xfId="0" applyNumberFormat="1" applyFill="1" applyBorder="1" applyAlignment="1" applyProtection="1">
      <protection locked="0"/>
    </xf>
    <xf numFmtId="0" fontId="8" fillId="2" borderId="0" xfId="0" applyFont="1" applyFill="1" applyBorder="1" applyAlignment="1" applyProtection="1">
      <alignment horizontal="left" wrapText="1"/>
      <protection hidden="1"/>
    </xf>
    <xf numFmtId="0" fontId="8" fillId="0" borderId="0" xfId="0" applyFont="1" applyAlignment="1">
      <alignment horizontal="left" wrapText="1"/>
    </xf>
    <xf numFmtId="0" fontId="107" fillId="2" borderId="3" xfId="0" applyFont="1" applyFill="1" applyBorder="1" applyAlignment="1" applyProtection="1">
      <alignment horizontal="left"/>
      <protection hidden="1"/>
    </xf>
    <xf numFmtId="0" fontId="107" fillId="2" borderId="0" xfId="0" applyFont="1" applyFill="1" applyAlignment="1" applyProtection="1">
      <alignment horizontal="left"/>
      <protection hidden="1"/>
    </xf>
    <xf numFmtId="0" fontId="90" fillId="2" borderId="3" xfId="0" applyFont="1" applyFill="1" applyBorder="1" applyAlignment="1" applyProtection="1">
      <alignment horizontal="left"/>
      <protection hidden="1"/>
    </xf>
    <xf numFmtId="0" fontId="90" fillId="2" borderId="0" xfId="0" applyFont="1" applyFill="1" applyAlignment="1" applyProtection="1">
      <alignment horizontal="left"/>
      <protection hidden="1"/>
    </xf>
    <xf numFmtId="3" fontId="5" fillId="22" borderId="26" xfId="0" applyNumberFormat="1" applyFont="1" applyFill="1" applyBorder="1" applyAlignment="1" applyProtection="1">
      <protection locked="0"/>
    </xf>
    <xf numFmtId="3" fontId="19" fillId="22" borderId="26" xfId="0" applyNumberFormat="1" applyFont="1" applyFill="1" applyBorder="1" applyAlignment="1" applyProtection="1">
      <protection locked="0"/>
    </xf>
    <xf numFmtId="37" fontId="6" fillId="31" borderId="40" xfId="0" applyNumberFormat="1" applyFont="1" applyFill="1" applyBorder="1" applyAlignment="1" applyProtection="1">
      <alignment horizontal="right"/>
      <protection locked="0"/>
    </xf>
    <xf numFmtId="37" fontId="6" fillId="31" borderId="26" xfId="0" applyNumberFormat="1" applyFont="1" applyFill="1" applyBorder="1" applyAlignment="1" applyProtection="1">
      <alignment horizontal="right"/>
      <protection locked="0"/>
    </xf>
    <xf numFmtId="0" fontId="11" fillId="22" borderId="10" xfId="0" applyFont="1" applyFill="1" applyBorder="1" applyAlignment="1" applyProtection="1">
      <alignment horizontal="left"/>
      <protection locked="0"/>
    </xf>
    <xf numFmtId="0" fontId="4" fillId="22" borderId="12" xfId="0" applyFont="1" applyFill="1" applyBorder="1" applyAlignment="1" applyProtection="1">
      <alignment horizontal="left"/>
      <protection locked="0"/>
    </xf>
    <xf numFmtId="49" fontId="8" fillId="24" borderId="1" xfId="0" applyNumberFormat="1" applyFont="1" applyFill="1" applyBorder="1" applyAlignment="1" applyProtection="1">
      <alignment horizontal="left" vertical="center" wrapText="1"/>
      <protection locked="0"/>
    </xf>
    <xf numFmtId="0" fontId="0" fillId="24" borderId="1" xfId="0" applyFill="1" applyBorder="1" applyAlignment="1">
      <alignment horizontal="left" vertical="center"/>
    </xf>
    <xf numFmtId="6" fontId="8" fillId="2" borderId="0" xfId="0" applyNumberFormat="1" applyFont="1" applyFill="1" applyBorder="1" applyAlignment="1" applyProtection="1">
      <alignment horizontal="left" vertical="top" wrapText="1"/>
      <protection hidden="1"/>
    </xf>
    <xf numFmtId="0" fontId="0" fillId="0" borderId="0" xfId="0" applyAlignment="1">
      <alignment wrapText="1"/>
    </xf>
    <xf numFmtId="165" fontId="6" fillId="22" borderId="32" xfId="0" applyNumberFormat="1" applyFont="1" applyFill="1" applyBorder="1" applyAlignment="1" applyProtection="1">
      <alignment horizontal="center" vertical="center"/>
      <protection locked="0"/>
    </xf>
    <xf numFmtId="165" fontId="0" fillId="22" borderId="32" xfId="0" applyNumberFormat="1" applyFill="1" applyBorder="1" applyAlignment="1" applyProtection="1">
      <alignment horizontal="center" vertical="center"/>
      <protection locked="0"/>
    </xf>
    <xf numFmtId="165" fontId="0" fillId="0" borderId="32" xfId="0" applyNumberFormat="1" applyBorder="1" applyAlignment="1" applyProtection="1">
      <alignment horizontal="center" vertical="center"/>
      <protection locked="0"/>
    </xf>
    <xf numFmtId="0" fontId="8" fillId="24" borderId="3" xfId="0" applyFont="1" applyFill="1" applyBorder="1" applyAlignment="1" applyProtection="1">
      <protection hidden="1"/>
    </xf>
    <xf numFmtId="0" fontId="8" fillId="24" borderId="25" xfId="0" applyFont="1" applyFill="1" applyBorder="1" applyAlignment="1"/>
    <xf numFmtId="49" fontId="6" fillId="22" borderId="40" xfId="0" applyNumberFormat="1" applyFont="1" applyFill="1" applyBorder="1" applyAlignment="1" applyProtection="1">
      <alignment horizontal="left"/>
      <protection locked="0"/>
    </xf>
    <xf numFmtId="0" fontId="0" fillId="22" borderId="55" xfId="0" applyFill="1" applyBorder="1" applyAlignment="1" applyProtection="1">
      <protection locked="0"/>
    </xf>
    <xf numFmtId="49" fontId="11" fillId="22" borderId="1" xfId="0" applyNumberFormat="1" applyFont="1" applyFill="1" applyBorder="1" applyAlignment="1" applyProtection="1">
      <protection locked="0"/>
    </xf>
    <xf numFmtId="0" fontId="0" fillId="22" borderId="12" xfId="0" applyFill="1" applyBorder="1" applyAlignment="1" applyProtection="1">
      <protection locked="0"/>
    </xf>
    <xf numFmtId="165" fontId="0" fillId="22" borderId="10" xfId="0" applyNumberFormat="1" applyFill="1" applyBorder="1" applyAlignment="1" applyProtection="1">
      <alignment horizontal="center"/>
      <protection locked="0"/>
    </xf>
    <xf numFmtId="165" fontId="0" fillId="22" borderId="1" xfId="0" applyNumberFormat="1" applyFill="1" applyBorder="1" applyAlignment="1">
      <alignment horizontal="center"/>
    </xf>
    <xf numFmtId="49" fontId="11" fillId="22" borderId="32" xfId="0" applyNumberFormat="1" applyFont="1" applyFill="1" applyBorder="1" applyAlignment="1" applyProtection="1">
      <protection locked="0"/>
    </xf>
    <xf numFmtId="0" fontId="0" fillId="22" borderId="32" xfId="0" applyFill="1" applyBorder="1" applyAlignment="1" applyProtection="1">
      <protection locked="0"/>
    </xf>
    <xf numFmtId="0" fontId="0" fillId="22" borderId="77" xfId="0" applyFill="1" applyBorder="1" applyAlignment="1" applyProtection="1">
      <protection locked="0"/>
    </xf>
    <xf numFmtId="0" fontId="8" fillId="2" borderId="0" xfId="0" applyFont="1" applyFill="1" applyAlignment="1">
      <alignment horizontal="left" wrapText="1"/>
    </xf>
    <xf numFmtId="6" fontId="17" fillId="2" borderId="0" xfId="0" applyNumberFormat="1" applyFont="1" applyFill="1" applyBorder="1" applyAlignment="1" applyProtection="1">
      <alignment horizontal="left" vertical="top" wrapText="1"/>
      <protection hidden="1"/>
    </xf>
    <xf numFmtId="0" fontId="17" fillId="0" borderId="0" xfId="0" applyFont="1" applyAlignment="1">
      <alignment horizontal="left" vertical="top" wrapText="1"/>
    </xf>
    <xf numFmtId="0" fontId="8" fillId="2" borderId="5" xfId="0" applyFont="1" applyFill="1" applyBorder="1" applyAlignment="1" applyProtection="1">
      <alignment horizontal="left" vertical="center"/>
      <protection hidden="1"/>
    </xf>
    <xf numFmtId="0" fontId="8" fillId="0" borderId="5" xfId="0" applyFont="1" applyBorder="1" applyAlignment="1" applyProtection="1">
      <alignment horizontal="left" vertical="center"/>
      <protection hidden="1"/>
    </xf>
    <xf numFmtId="0" fontId="8" fillId="0" borderId="5" xfId="0" applyFont="1" applyBorder="1" applyAlignment="1" applyProtection="1">
      <alignment horizontal="left"/>
      <protection hidden="1"/>
    </xf>
    <xf numFmtId="0" fontId="17" fillId="2" borderId="9" xfId="0" applyFont="1" applyFill="1" applyBorder="1" applyAlignment="1" applyProtection="1">
      <alignment horizontal="left"/>
      <protection hidden="1"/>
    </xf>
    <xf numFmtId="0" fontId="0" fillId="0" borderId="15" xfId="0" applyBorder="1" applyAlignment="1" applyProtection="1">
      <protection hidden="1"/>
    </xf>
    <xf numFmtId="165" fontId="5" fillId="2" borderId="10" xfId="0" applyNumberFormat="1" applyFont="1" applyFill="1" applyBorder="1" applyAlignment="1" applyProtection="1">
      <alignment horizontal="center" vertical="center"/>
      <protection locked="0"/>
    </xf>
    <xf numFmtId="0" fontId="5" fillId="0" borderId="1" xfId="0" applyFont="1" applyBorder="1" applyAlignment="1">
      <alignment horizontal="center" vertical="center"/>
    </xf>
    <xf numFmtId="0" fontId="5" fillId="0" borderId="12" xfId="0" applyFont="1" applyBorder="1" applyAlignment="1">
      <alignment horizontal="center" vertical="center"/>
    </xf>
    <xf numFmtId="0" fontId="120" fillId="2" borderId="3" xfId="0" applyNumberFormat="1" applyFont="1" applyFill="1" applyBorder="1" applyAlignment="1" applyProtection="1">
      <alignment horizontal="center"/>
      <protection hidden="1"/>
    </xf>
    <xf numFmtId="0" fontId="121" fillId="0" borderId="0" xfId="0" applyNumberFormat="1" applyFont="1" applyAlignment="1">
      <alignment horizontal="center"/>
    </xf>
    <xf numFmtId="0" fontId="120" fillId="2" borderId="3" xfId="0" applyNumberFormat="1" applyFont="1" applyFill="1" applyBorder="1" applyAlignment="1" applyProtection="1">
      <alignment horizontal="center" vertical="center"/>
      <protection hidden="1"/>
    </xf>
    <xf numFmtId="0" fontId="121" fillId="0" borderId="0" xfId="0" applyNumberFormat="1" applyFont="1" applyAlignment="1">
      <alignment horizontal="center" vertical="center"/>
    </xf>
    <xf numFmtId="49" fontId="17" fillId="24" borderId="1" xfId="0" applyNumberFormat="1" applyFont="1" applyFill="1" applyBorder="1" applyAlignment="1" applyProtection="1">
      <alignment horizontal="left" vertical="center" wrapText="1"/>
      <protection locked="0"/>
    </xf>
    <xf numFmtId="0" fontId="17" fillId="24" borderId="1" xfId="0" applyFont="1" applyFill="1" applyBorder="1" applyAlignment="1">
      <alignment wrapText="1"/>
    </xf>
    <xf numFmtId="4" fontId="163" fillId="2" borderId="0" xfId="0" applyNumberFormat="1" applyFont="1" applyFill="1" applyBorder="1" applyAlignment="1" applyProtection="1">
      <protection hidden="1"/>
    </xf>
    <xf numFmtId="0" fontId="187" fillId="0" borderId="0" xfId="0" applyFont="1" applyAlignment="1"/>
    <xf numFmtId="4" fontId="185" fillId="24" borderId="0" xfId="0" applyNumberFormat="1" applyFont="1" applyFill="1" applyBorder="1" applyAlignment="1" applyProtection="1">
      <alignment horizontal="center" vertical="center" wrapText="1"/>
      <protection hidden="1"/>
    </xf>
    <xf numFmtId="0" fontId="185" fillId="0" borderId="0" xfId="0" applyFont="1" applyAlignment="1">
      <alignment horizontal="center" vertical="center" wrapText="1"/>
    </xf>
    <xf numFmtId="165" fontId="138" fillId="22" borderId="10" xfId="0" applyNumberFormat="1" applyFont="1" applyFill="1" applyBorder="1" applyAlignment="1" applyProtection="1">
      <alignment horizontal="center"/>
      <protection locked="0"/>
    </xf>
    <xf numFmtId="0" fontId="138" fillId="22" borderId="1" xfId="0" applyFont="1" applyFill="1" applyBorder="1" applyAlignment="1">
      <alignment horizontal="center"/>
    </xf>
    <xf numFmtId="4" fontId="5" fillId="2" borderId="31" xfId="0" applyNumberFormat="1" applyFont="1" applyFill="1" applyBorder="1" applyAlignment="1" applyProtection="1">
      <alignment horizontal="right"/>
      <protection hidden="1"/>
    </xf>
    <xf numFmtId="0" fontId="5" fillId="0" borderId="99" xfId="0" applyFont="1" applyBorder="1" applyAlignment="1">
      <alignment horizontal="right"/>
    </xf>
    <xf numFmtId="4" fontId="187" fillId="2" borderId="0" xfId="0" applyNumberFormat="1" applyFont="1" applyFill="1" applyBorder="1" applyAlignment="1" applyProtection="1">
      <protection hidden="1"/>
    </xf>
    <xf numFmtId="0" fontId="187" fillId="0" borderId="25" xfId="0" applyFont="1" applyBorder="1" applyAlignment="1"/>
    <xf numFmtId="37" fontId="7" fillId="22" borderId="26" xfId="0" applyNumberFormat="1" applyFont="1" applyFill="1" applyBorder="1" applyAlignment="1" applyProtection="1">
      <protection locked="0"/>
    </xf>
    <xf numFmtId="4" fontId="31" fillId="2" borderId="0" xfId="0" applyNumberFormat="1" applyFont="1" applyFill="1" applyBorder="1" applyAlignment="1" applyProtection="1">
      <protection hidden="1"/>
    </xf>
    <xf numFmtId="3" fontId="169" fillId="2" borderId="0" xfId="0" applyNumberFormat="1" applyFont="1" applyFill="1" applyBorder="1" applyAlignment="1" applyProtection="1">
      <protection hidden="1"/>
    </xf>
    <xf numFmtId="0" fontId="6" fillId="24" borderId="0" xfId="0" applyFont="1" applyFill="1" applyBorder="1" applyAlignment="1" applyProtection="1">
      <alignment horizontal="right" vertical="center" indent="1"/>
      <protection locked="0"/>
    </xf>
    <xf numFmtId="0" fontId="0" fillId="0" borderId="0" xfId="0" applyAlignment="1" applyProtection="1">
      <alignment horizontal="right" vertical="center" indent="1"/>
      <protection locked="0"/>
    </xf>
    <xf numFmtId="0" fontId="0" fillId="0" borderId="25" xfId="0" applyBorder="1" applyAlignment="1" applyProtection="1">
      <alignment horizontal="right" vertical="center" indent="1"/>
      <protection locked="0"/>
    </xf>
    <xf numFmtId="0" fontId="78" fillId="14" borderId="64" xfId="2" applyFont="1" applyFill="1" applyBorder="1" applyAlignment="1" applyProtection="1">
      <alignment horizontal="center"/>
    </xf>
    <xf numFmtId="0" fontId="78" fillId="0" borderId="65" xfId="2" applyBorder="1" applyAlignment="1" applyProtection="1">
      <alignment horizontal="center"/>
    </xf>
    <xf numFmtId="0" fontId="78" fillId="0" borderId="66" xfId="2" applyBorder="1" applyAlignment="1" applyProtection="1">
      <alignment horizontal="center"/>
    </xf>
    <xf numFmtId="0" fontId="8" fillId="26" borderId="4" xfId="0" applyFont="1" applyFill="1" applyBorder="1" applyAlignment="1" applyProtection="1">
      <alignment horizontal="left"/>
      <protection locked="0"/>
    </xf>
    <xf numFmtId="0" fontId="0" fillId="26" borderId="4" xfId="0" applyFill="1" applyBorder="1" applyAlignment="1" applyProtection="1">
      <alignment horizontal="left"/>
      <protection locked="0"/>
    </xf>
    <xf numFmtId="0" fontId="0" fillId="26" borderId="95" xfId="0" applyFill="1" applyBorder="1" applyAlignment="1" applyProtection="1">
      <alignment horizontal="left"/>
      <protection locked="0"/>
    </xf>
    <xf numFmtId="0" fontId="8" fillId="26" borderId="100" xfId="0" applyFont="1" applyFill="1" applyBorder="1" applyAlignment="1" applyProtection="1">
      <protection locked="0"/>
    </xf>
    <xf numFmtId="0" fontId="0" fillId="26" borderId="100" xfId="0" applyFill="1" applyBorder="1" applyAlignment="1" applyProtection="1">
      <protection locked="0"/>
    </xf>
    <xf numFmtId="0" fontId="0" fillId="26" borderId="101" xfId="0" applyFill="1" applyBorder="1" applyAlignment="1" applyProtection="1">
      <protection locked="0"/>
    </xf>
    <xf numFmtId="0" fontId="6" fillId="26" borderId="4" xfId="0" applyFont="1" applyFill="1" applyBorder="1" applyAlignment="1" applyProtection="1">
      <alignment horizontal="left"/>
      <protection locked="0"/>
    </xf>
    <xf numFmtId="0" fontId="6" fillId="26" borderId="95" xfId="0" applyFont="1" applyFill="1" applyBorder="1" applyAlignment="1" applyProtection="1">
      <alignment horizontal="left"/>
      <protection locked="0"/>
    </xf>
    <xf numFmtId="0" fontId="5" fillId="26" borderId="98" xfId="0" applyFont="1" applyFill="1" applyBorder="1" applyAlignment="1" applyProtection="1">
      <protection locked="0"/>
    </xf>
    <xf numFmtId="0" fontId="0" fillId="26" borderId="98" xfId="0" applyFill="1" applyBorder="1" applyAlignment="1" applyProtection="1">
      <protection locked="0"/>
    </xf>
    <xf numFmtId="0" fontId="0" fillId="26" borderId="102" xfId="0" applyFill="1" applyBorder="1" applyAlignment="1" applyProtection="1">
      <protection locked="0"/>
    </xf>
    <xf numFmtId="0" fontId="8" fillId="2" borderId="10" xfId="0" applyFont="1" applyFill="1" applyBorder="1" applyAlignment="1" applyProtection="1">
      <alignment horizontal="center"/>
      <protection hidden="1"/>
    </xf>
    <xf numFmtId="0" fontId="1" fillId="3" borderId="7" xfId="0" applyFont="1" applyFill="1" applyBorder="1" applyAlignment="1" applyProtection="1">
      <alignment horizontal="center"/>
      <protection hidden="1"/>
    </xf>
    <xf numFmtId="0" fontId="1" fillId="3" borderId="11" xfId="0" applyFont="1" applyFill="1" applyBorder="1" applyAlignment="1" applyProtection="1">
      <alignment horizontal="center"/>
      <protection hidden="1"/>
    </xf>
    <xf numFmtId="3" fontId="7" fillId="34" borderId="7" xfId="0" applyNumberFormat="1" applyFont="1" applyFill="1" applyBorder="1" applyAlignment="1" applyProtection="1">
      <protection hidden="1"/>
    </xf>
    <xf numFmtId="3" fontId="7" fillId="34" borderId="11" xfId="0" applyNumberFormat="1" applyFont="1" applyFill="1" applyBorder="1" applyAlignment="1" applyProtection="1">
      <protection hidden="1"/>
    </xf>
    <xf numFmtId="0" fontId="76" fillId="3" borderId="9" xfId="0" applyFont="1" applyFill="1" applyBorder="1" applyAlignment="1" applyProtection="1">
      <protection hidden="1"/>
    </xf>
    <xf numFmtId="0" fontId="5" fillId="0" borderId="9" xfId="0" applyFont="1" applyBorder="1" applyAlignment="1"/>
    <xf numFmtId="0" fontId="5" fillId="0" borderId="15" xfId="0" applyFont="1" applyBorder="1" applyAlignment="1"/>
    <xf numFmtId="166" fontId="13" fillId="34" borderId="10" xfId="0" applyNumberFormat="1" applyFont="1" applyFill="1" applyBorder="1" applyAlignment="1" applyProtection="1">
      <alignment horizontal="center"/>
      <protection hidden="1"/>
    </xf>
    <xf numFmtId="0" fontId="14" fillId="31" borderId="1" xfId="0" applyFont="1" applyFill="1" applyBorder="1" applyAlignment="1" applyProtection="1">
      <alignment horizontal="center"/>
      <protection hidden="1"/>
    </xf>
    <xf numFmtId="0" fontId="13" fillId="34" borderId="1" xfId="0" quotePrefix="1" applyFont="1" applyFill="1" applyBorder="1" applyAlignment="1" applyProtection="1">
      <alignment horizontal="left"/>
      <protection hidden="1"/>
    </xf>
    <xf numFmtId="0" fontId="14" fillId="31" borderId="1" xfId="0" applyFont="1" applyFill="1" applyBorder="1" applyAlignment="1" applyProtection="1">
      <alignment horizontal="left"/>
      <protection hidden="1"/>
    </xf>
    <xf numFmtId="0" fontId="14" fillId="31" borderId="12" xfId="0" applyFont="1" applyFill="1" applyBorder="1" applyAlignment="1" applyProtection="1">
      <alignment horizontal="left"/>
      <protection hidden="1"/>
    </xf>
    <xf numFmtId="0" fontId="15" fillId="26" borderId="4" xfId="0" applyFont="1" applyFill="1" applyBorder="1" applyAlignment="1" applyProtection="1">
      <alignment horizontal="left"/>
      <protection locked="0"/>
    </xf>
    <xf numFmtId="0" fontId="15" fillId="26" borderId="95" xfId="0" applyFont="1" applyFill="1" applyBorder="1" applyAlignment="1" applyProtection="1">
      <alignment horizontal="left"/>
      <protection locked="0"/>
    </xf>
    <xf numFmtId="49" fontId="15" fillId="26" borderId="4" xfId="0" applyNumberFormat="1" applyFont="1" applyFill="1" applyBorder="1" applyAlignment="1" applyProtection="1">
      <alignment horizontal="left"/>
      <protection locked="0"/>
    </xf>
    <xf numFmtId="49" fontId="15" fillId="26" borderId="95" xfId="0" applyNumberFormat="1" applyFont="1" applyFill="1" applyBorder="1" applyAlignment="1" applyProtection="1">
      <alignment horizontal="left"/>
      <protection locked="0"/>
    </xf>
    <xf numFmtId="49" fontId="8" fillId="26" borderId="103" xfId="1" applyNumberFormat="1" applyFont="1" applyFill="1" applyBorder="1" applyAlignment="1" applyProtection="1">
      <alignment horizontal="left"/>
      <protection locked="0"/>
    </xf>
    <xf numFmtId="0" fontId="0" fillId="26" borderId="103" xfId="0" applyFill="1" applyBorder="1" applyAlignment="1" applyProtection="1">
      <alignment horizontal="left"/>
      <protection locked="0"/>
    </xf>
    <xf numFmtId="0" fontId="0" fillId="26" borderId="104" xfId="0" applyFill="1" applyBorder="1" applyAlignment="1" applyProtection="1">
      <alignment horizontal="left"/>
      <protection locked="0"/>
    </xf>
    <xf numFmtId="49" fontId="8" fillId="26" borderId="4" xfId="0" applyNumberFormat="1" applyFont="1" applyFill="1" applyBorder="1" applyAlignment="1" applyProtection="1">
      <alignment horizontal="left"/>
      <protection locked="0"/>
    </xf>
    <xf numFmtId="4" fontId="127" fillId="3" borderId="31" xfId="0" applyNumberFormat="1" applyFont="1" applyFill="1" applyBorder="1" applyAlignment="1" applyProtection="1">
      <alignment horizontal="right" wrapText="1"/>
      <protection hidden="1"/>
    </xf>
    <xf numFmtId="0" fontId="129" fillId="0" borderId="3" xfId="0" applyFont="1" applyBorder="1" applyAlignment="1">
      <alignment horizontal="right" wrapText="1"/>
    </xf>
    <xf numFmtId="0" fontId="12" fillId="3" borderId="31" xfId="0" applyFont="1" applyFill="1" applyBorder="1" applyAlignment="1" applyProtection="1">
      <alignment horizontal="left"/>
      <protection hidden="1"/>
    </xf>
    <xf numFmtId="0" fontId="0" fillId="0" borderId="9" xfId="0" applyBorder="1" applyAlignment="1"/>
    <xf numFmtId="0" fontId="11" fillId="3" borderId="3" xfId="0" applyFont="1" applyFill="1" applyBorder="1" applyAlignment="1" applyProtection="1">
      <alignment horizontal="center"/>
      <protection hidden="1"/>
    </xf>
    <xf numFmtId="0" fontId="19" fillId="22" borderId="4" xfId="0" applyFont="1" applyFill="1" applyBorder="1" applyAlignment="1" applyProtection="1">
      <alignment horizontal="left"/>
      <protection locked="0"/>
    </xf>
    <xf numFmtId="0" fontId="19" fillId="22" borderId="95" xfId="0" applyFont="1" applyFill="1" applyBorder="1" applyAlignment="1" applyProtection="1">
      <alignment horizontal="left"/>
      <protection locked="0"/>
    </xf>
    <xf numFmtId="0" fontId="8" fillId="26" borderId="103" xfId="0" applyFont="1" applyFill="1" applyBorder="1" applyAlignment="1" applyProtection="1">
      <alignment horizontal="left"/>
      <protection locked="0"/>
    </xf>
    <xf numFmtId="0" fontId="19" fillId="22" borderId="103" xfId="0" applyFont="1" applyFill="1" applyBorder="1" applyAlignment="1" applyProtection="1">
      <alignment horizontal="left"/>
      <protection locked="0"/>
    </xf>
    <xf numFmtId="0" fontId="19" fillId="22" borderId="104" xfId="0" applyFont="1" applyFill="1" applyBorder="1" applyAlignment="1" applyProtection="1">
      <alignment horizontal="left"/>
      <protection locked="0"/>
    </xf>
    <xf numFmtId="0" fontId="22" fillId="2" borderId="88" xfId="0" applyFont="1" applyFill="1" applyBorder="1" applyAlignment="1" applyProtection="1">
      <alignment horizontal="center" vertical="center"/>
      <protection hidden="1"/>
    </xf>
    <xf numFmtId="0" fontId="3" fillId="0" borderId="9"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horizontal="center" vertical="center"/>
    </xf>
    <xf numFmtId="37" fontId="4" fillId="26" borderId="40" xfId="0" applyNumberFormat="1" applyFont="1" applyFill="1" applyBorder="1" applyAlignment="1" applyProtection="1">
      <alignment horizontal="right"/>
      <protection locked="0"/>
    </xf>
    <xf numFmtId="37" fontId="4" fillId="26" borderId="26" xfId="0" applyNumberFormat="1" applyFont="1" applyFill="1" applyBorder="1" applyAlignment="1" applyProtection="1">
      <alignment horizontal="right"/>
      <protection locked="0"/>
    </xf>
    <xf numFmtId="37" fontId="4" fillId="22" borderId="55" xfId="0" applyNumberFormat="1" applyFont="1" applyFill="1" applyBorder="1" applyAlignment="1" applyProtection="1">
      <alignment horizontal="right"/>
      <protection locked="0"/>
    </xf>
    <xf numFmtId="0" fontId="20" fillId="3" borderId="6" xfId="0" applyFont="1" applyFill="1" applyBorder="1" applyAlignment="1" applyProtection="1">
      <alignment horizontal="center" vertical="center"/>
      <protection hidden="1"/>
    </xf>
    <xf numFmtId="0" fontId="0" fillId="0" borderId="21" xfId="0" applyBorder="1" applyAlignment="1">
      <alignment horizontal="center"/>
    </xf>
    <xf numFmtId="0" fontId="17" fillId="3" borderId="59" xfId="0" applyFont="1" applyFill="1" applyBorder="1" applyAlignment="1" applyProtection="1">
      <alignment horizontal="left"/>
      <protection hidden="1"/>
    </xf>
    <xf numFmtId="0" fontId="3" fillId="0" borderId="8" xfId="0" applyFont="1" applyBorder="1" applyAlignment="1">
      <alignment horizontal="left"/>
    </xf>
    <xf numFmtId="0" fontId="3" fillId="0" borderId="37" xfId="0" applyFont="1" applyBorder="1" applyAlignment="1">
      <alignment horizontal="left"/>
    </xf>
    <xf numFmtId="166" fontId="10" fillId="32" borderId="10" xfId="0" applyNumberFormat="1" applyFont="1" applyFill="1" applyBorder="1" applyAlignment="1" applyProtection="1">
      <alignment horizontal="center"/>
      <protection hidden="1"/>
    </xf>
    <xf numFmtId="0" fontId="14" fillId="33" borderId="1" xfId="0" applyFont="1" applyFill="1" applyBorder="1" applyAlignment="1" applyProtection="1">
      <alignment horizontal="center"/>
      <protection hidden="1"/>
    </xf>
    <xf numFmtId="0" fontId="14" fillId="33" borderId="12" xfId="0" applyFont="1" applyFill="1" applyBorder="1" applyAlignment="1" applyProtection="1">
      <alignment horizontal="center"/>
      <protection hidden="1"/>
    </xf>
    <xf numFmtId="4" fontId="4" fillId="19" borderId="3" xfId="0" applyNumberFormat="1" applyFont="1" applyFill="1" applyBorder="1" applyAlignment="1" applyProtection="1">
      <alignment horizontal="center" vertical="center"/>
      <protection hidden="1"/>
    </xf>
    <xf numFmtId="0" fontId="0" fillId="0" borderId="0" xfId="0" applyBorder="1" applyAlignment="1" applyProtection="1">
      <alignment vertical="center"/>
      <protection hidden="1"/>
    </xf>
    <xf numFmtId="0" fontId="0" fillId="0" borderId="25" xfId="0" applyBorder="1" applyAlignment="1" applyProtection="1">
      <alignment vertical="center"/>
      <protection hidden="1"/>
    </xf>
    <xf numFmtId="0" fontId="0" fillId="0" borderId="3" xfId="0" applyBorder="1" applyAlignment="1" applyProtection="1">
      <alignment vertical="center"/>
      <protection hidden="1"/>
    </xf>
    <xf numFmtId="0" fontId="0" fillId="0" borderId="0" xfId="0" applyAlignment="1" applyProtection="1">
      <alignment vertical="center"/>
      <protection hidden="1"/>
    </xf>
    <xf numFmtId="3" fontId="4" fillId="32" borderId="10" xfId="0" applyNumberFormat="1" applyFont="1" applyFill="1" applyBorder="1" applyAlignment="1" applyProtection="1">
      <protection hidden="1"/>
    </xf>
    <xf numFmtId="3" fontId="4" fillId="32" borderId="1" xfId="0" applyNumberFormat="1" applyFont="1" applyFill="1" applyBorder="1" applyAlignment="1" applyProtection="1">
      <protection hidden="1"/>
    </xf>
    <xf numFmtId="3" fontId="4" fillId="32" borderId="12" xfId="0" applyNumberFormat="1" applyFont="1" applyFill="1" applyBorder="1" applyAlignment="1" applyProtection="1">
      <protection hidden="1"/>
    </xf>
    <xf numFmtId="0" fontId="78" fillId="14" borderId="65" xfId="2" applyFill="1" applyBorder="1" applyAlignment="1" applyProtection="1">
      <alignment horizontal="center"/>
    </xf>
    <xf numFmtId="0" fontId="78" fillId="14" borderId="66" xfId="2" applyFill="1" applyBorder="1" applyAlignment="1" applyProtection="1">
      <alignment horizontal="center"/>
    </xf>
    <xf numFmtId="0" fontId="4" fillId="3" borderId="0" xfId="0" applyFont="1" applyFill="1" applyAlignment="1" applyProtection="1">
      <alignment horizontal="left" vertical="top"/>
      <protection hidden="1"/>
    </xf>
    <xf numFmtId="0" fontId="3" fillId="0" borderId="0" xfId="0" applyFont="1" applyBorder="1" applyAlignment="1">
      <alignment vertical="top"/>
    </xf>
    <xf numFmtId="0" fontId="8" fillId="26" borderId="98" xfId="0" applyFont="1" applyFill="1" applyBorder="1" applyAlignment="1" applyProtection="1">
      <protection locked="0"/>
    </xf>
    <xf numFmtId="4" fontId="1" fillId="3" borderId="40" xfId="0" applyNumberFormat="1" applyFont="1" applyFill="1" applyBorder="1" applyAlignment="1" applyProtection="1">
      <alignment horizontal="center"/>
      <protection hidden="1"/>
    </xf>
    <xf numFmtId="4" fontId="1" fillId="3" borderId="26" xfId="0" applyNumberFormat="1" applyFont="1" applyFill="1" applyBorder="1" applyAlignment="1" applyProtection="1">
      <alignment horizontal="center"/>
      <protection hidden="1"/>
    </xf>
    <xf numFmtId="4" fontId="1" fillId="3" borderId="55" xfId="0" applyNumberFormat="1" applyFont="1" applyFill="1" applyBorder="1" applyAlignment="1" applyProtection="1">
      <alignment horizontal="center"/>
      <protection hidden="1"/>
    </xf>
    <xf numFmtId="4" fontId="1" fillId="3" borderId="31" xfId="0" applyNumberFormat="1" applyFont="1" applyFill="1" applyBorder="1" applyAlignment="1" applyProtection="1">
      <alignment horizontal="left"/>
      <protection hidden="1"/>
    </xf>
    <xf numFmtId="4" fontId="1" fillId="3" borderId="9" xfId="0" applyNumberFormat="1" applyFont="1" applyFill="1" applyBorder="1" applyAlignment="1" applyProtection="1">
      <alignment horizontal="left"/>
      <protection hidden="1"/>
    </xf>
    <xf numFmtId="4" fontId="1" fillId="3" borderId="15" xfId="0" applyNumberFormat="1" applyFont="1" applyFill="1" applyBorder="1" applyAlignment="1" applyProtection="1">
      <alignment horizontal="left"/>
      <protection hidden="1"/>
    </xf>
    <xf numFmtId="4" fontId="0" fillId="3" borderId="3" xfId="0" applyNumberFormat="1" applyFill="1" applyBorder="1" applyAlignment="1" applyProtection="1">
      <alignment horizontal="left"/>
      <protection hidden="1"/>
    </xf>
    <xf numFmtId="4" fontId="0" fillId="3" borderId="0" xfId="0" applyNumberFormat="1" applyFill="1" applyBorder="1" applyAlignment="1" applyProtection="1">
      <alignment horizontal="left"/>
      <protection hidden="1"/>
    </xf>
    <xf numFmtId="0" fontId="0" fillId="0" borderId="25" xfId="0" applyBorder="1" applyAlignment="1" applyProtection="1">
      <alignment horizontal="left"/>
      <protection hidden="1"/>
    </xf>
    <xf numFmtId="37" fontId="4" fillId="26" borderId="10" xfId="0" applyNumberFormat="1" applyFont="1" applyFill="1" applyBorder="1" applyAlignment="1" applyProtection="1">
      <alignment horizontal="right"/>
      <protection locked="0"/>
    </xf>
    <xf numFmtId="37" fontId="4" fillId="26" borderId="1" xfId="0" applyNumberFormat="1" applyFont="1" applyFill="1" applyBorder="1" applyAlignment="1" applyProtection="1">
      <alignment horizontal="right"/>
      <protection locked="0"/>
    </xf>
    <xf numFmtId="37" fontId="4" fillId="22" borderId="12" xfId="0" applyNumberFormat="1" applyFont="1" applyFill="1" applyBorder="1" applyAlignment="1" applyProtection="1">
      <alignment horizontal="right"/>
      <protection locked="0"/>
    </xf>
    <xf numFmtId="0" fontId="5" fillId="3" borderId="0" xfId="0" applyFont="1" applyFill="1" applyAlignment="1" applyProtection="1">
      <alignment horizontal="left" vertical="top" wrapText="1"/>
      <protection hidden="1"/>
    </xf>
    <xf numFmtId="0" fontId="5" fillId="0" borderId="0" xfId="0" applyFont="1" applyAlignment="1">
      <alignment wrapText="1"/>
    </xf>
    <xf numFmtId="0" fontId="17" fillId="2" borderId="27" xfId="0" applyFont="1" applyFill="1" applyBorder="1" applyAlignment="1" applyProtection="1">
      <alignment horizontal="center"/>
      <protection hidden="1"/>
    </xf>
    <xf numFmtId="0" fontId="17" fillId="0" borderId="1" xfId="0" applyFont="1" applyBorder="1" applyAlignment="1"/>
    <xf numFmtId="3" fontId="4" fillId="32" borderId="40" xfId="0" applyNumberFormat="1" applyFont="1" applyFill="1" applyBorder="1" applyAlignment="1" applyProtection="1">
      <protection hidden="1"/>
    </xf>
    <xf numFmtId="3" fontId="4" fillId="32" borderId="26" xfId="0" applyNumberFormat="1" applyFont="1" applyFill="1" applyBorder="1" applyAlignment="1" applyProtection="1">
      <protection hidden="1"/>
    </xf>
    <xf numFmtId="3" fontId="4" fillId="32" borderId="55" xfId="0" applyNumberFormat="1" applyFont="1" applyFill="1" applyBorder="1" applyAlignment="1" applyProtection="1">
      <protection hidden="1"/>
    </xf>
    <xf numFmtId="3" fontId="4" fillId="26" borderId="10" xfId="0" applyNumberFormat="1" applyFont="1" applyFill="1" applyBorder="1" applyAlignment="1" applyProtection="1">
      <alignment horizontal="right"/>
      <protection locked="0"/>
    </xf>
    <xf numFmtId="3" fontId="4" fillId="26" borderId="1" xfId="0" applyNumberFormat="1" applyFont="1" applyFill="1" applyBorder="1" applyAlignment="1" applyProtection="1">
      <alignment horizontal="right"/>
      <protection locked="0"/>
    </xf>
    <xf numFmtId="3" fontId="4" fillId="26" borderId="12" xfId="0" applyNumberFormat="1" applyFont="1" applyFill="1" applyBorder="1" applyAlignment="1" applyProtection="1">
      <alignment horizontal="right"/>
      <protection locked="0"/>
    </xf>
    <xf numFmtId="0" fontId="19" fillId="3" borderId="0" xfId="0" applyFont="1" applyFill="1" applyBorder="1" applyAlignment="1" applyProtection="1">
      <alignment horizontal="left"/>
      <protection hidden="1"/>
    </xf>
    <xf numFmtId="3" fontId="6" fillId="34" borderId="10" xfId="0" applyNumberFormat="1" applyFont="1" applyFill="1" applyBorder="1" applyAlignment="1" applyProtection="1">
      <alignment horizontal="right"/>
      <protection hidden="1"/>
    </xf>
    <xf numFmtId="3" fontId="6" fillId="34" borderId="1" xfId="0" applyNumberFormat="1" applyFont="1" applyFill="1" applyBorder="1" applyAlignment="1" applyProtection="1">
      <alignment horizontal="right"/>
      <protection hidden="1"/>
    </xf>
    <xf numFmtId="3" fontId="6" fillId="22" borderId="40" xfId="0" applyNumberFormat="1" applyFont="1" applyFill="1" applyBorder="1" applyAlignment="1" applyProtection="1">
      <alignment horizontal="right"/>
      <protection locked="0"/>
    </xf>
    <xf numFmtId="3" fontId="6" fillId="22" borderId="26" xfId="0" applyNumberFormat="1" applyFont="1" applyFill="1" applyBorder="1" applyAlignment="1" applyProtection="1">
      <alignment horizontal="right"/>
      <protection locked="0"/>
    </xf>
    <xf numFmtId="3" fontId="6" fillId="22" borderId="1" xfId="0" applyNumberFormat="1" applyFont="1" applyFill="1" applyBorder="1" applyAlignment="1" applyProtection="1">
      <alignment horizontal="right"/>
      <protection locked="0"/>
    </xf>
    <xf numFmtId="3" fontId="6" fillId="26" borderId="40" xfId="0" applyNumberFormat="1" applyFont="1" applyFill="1" applyBorder="1" applyAlignment="1" applyProtection="1">
      <alignment horizontal="right"/>
      <protection locked="0"/>
    </xf>
    <xf numFmtId="3" fontId="6" fillId="26" borderId="26" xfId="0" applyNumberFormat="1" applyFont="1" applyFill="1" applyBorder="1" applyAlignment="1" applyProtection="1">
      <alignment horizontal="right"/>
      <protection locked="0"/>
    </xf>
    <xf numFmtId="3" fontId="6" fillId="34" borderId="72" xfId="0" applyNumberFormat="1" applyFont="1" applyFill="1" applyBorder="1" applyAlignment="1" applyProtection="1">
      <alignment horizontal="right"/>
      <protection hidden="1"/>
    </xf>
    <xf numFmtId="0" fontId="0" fillId="34" borderId="5" xfId="0" applyFill="1" applyBorder="1" applyAlignment="1" applyProtection="1">
      <alignment horizontal="right"/>
      <protection hidden="1"/>
    </xf>
    <xf numFmtId="37" fontId="6" fillId="34" borderId="31" xfId="0" applyNumberFormat="1" applyFont="1" applyFill="1" applyBorder="1" applyAlignment="1" applyProtection="1">
      <alignment horizontal="right"/>
      <protection hidden="1"/>
    </xf>
    <xf numFmtId="37" fontId="5" fillId="34" borderId="9" xfId="0" applyNumberFormat="1" applyFont="1" applyFill="1" applyBorder="1" applyAlignment="1">
      <alignment horizontal="right"/>
    </xf>
    <xf numFmtId="37" fontId="5" fillId="34" borderId="10" xfId="0" applyNumberFormat="1" applyFont="1" applyFill="1" applyBorder="1" applyAlignment="1">
      <alignment horizontal="right"/>
    </xf>
    <xf numFmtId="37" fontId="5" fillId="34" borderId="1" xfId="0" applyNumberFormat="1" applyFont="1" applyFill="1" applyBorder="1" applyAlignment="1">
      <alignment horizontal="right"/>
    </xf>
    <xf numFmtId="3" fontId="5" fillId="26" borderId="31" xfId="0" applyNumberFormat="1" applyFont="1" applyFill="1" applyBorder="1" applyAlignment="1" applyProtection="1">
      <alignment horizontal="right"/>
      <protection locked="0"/>
    </xf>
    <xf numFmtId="3" fontId="5" fillId="26" borderId="9" xfId="0" applyNumberFormat="1" applyFont="1" applyFill="1" applyBorder="1" applyAlignment="1" applyProtection="1">
      <alignment horizontal="right"/>
      <protection locked="0"/>
    </xf>
    <xf numFmtId="3" fontId="5" fillId="26" borderId="10" xfId="0" applyNumberFormat="1" applyFont="1" applyFill="1" applyBorder="1" applyAlignment="1" applyProtection="1">
      <alignment horizontal="right"/>
      <protection locked="0"/>
    </xf>
    <xf numFmtId="3" fontId="5" fillId="26" borderId="1" xfId="0" applyNumberFormat="1" applyFont="1" applyFill="1" applyBorder="1" applyAlignment="1" applyProtection="1">
      <alignment horizontal="right"/>
      <protection locked="0"/>
    </xf>
    <xf numFmtId="37" fontId="6" fillId="34" borderId="10" xfId="0" applyNumberFormat="1" applyFont="1" applyFill="1" applyBorder="1" applyAlignment="1" applyProtection="1">
      <alignment horizontal="right"/>
      <protection locked="0"/>
    </xf>
    <xf numFmtId="37" fontId="6" fillId="34" borderId="1" xfId="0" applyNumberFormat="1" applyFont="1" applyFill="1" applyBorder="1" applyAlignment="1">
      <alignment horizontal="right"/>
    </xf>
    <xf numFmtId="37" fontId="6" fillId="34" borderId="10" xfId="0" applyNumberFormat="1" applyFont="1" applyFill="1" applyBorder="1" applyAlignment="1">
      <alignment horizontal="right"/>
    </xf>
    <xf numFmtId="0" fontId="78" fillId="14" borderId="64" xfId="2" applyFill="1" applyBorder="1" applyAlignment="1" applyProtection="1">
      <alignment horizontal="center" vertical="center" wrapText="1"/>
    </xf>
    <xf numFmtId="0" fontId="78" fillId="14" borderId="65" xfId="2" applyFill="1" applyBorder="1" applyAlignment="1" applyProtection="1">
      <alignment horizontal="center" vertical="center" wrapText="1"/>
    </xf>
    <xf numFmtId="0" fontId="78" fillId="14" borderId="66" xfId="2" applyFill="1" applyBorder="1" applyAlignment="1" applyProtection="1">
      <alignment horizontal="center" vertical="center" wrapText="1"/>
    </xf>
    <xf numFmtId="39" fontId="8" fillId="26" borderId="103" xfId="0" applyNumberFormat="1" applyFont="1" applyFill="1" applyBorder="1" applyAlignment="1" applyProtection="1">
      <protection locked="0"/>
    </xf>
    <xf numFmtId="0" fontId="0" fillId="22" borderId="103" xfId="0" applyFill="1" applyBorder="1" applyAlignment="1" applyProtection="1">
      <protection locked="0"/>
    </xf>
    <xf numFmtId="0" fontId="0" fillId="22" borderId="104" xfId="0" applyFill="1" applyBorder="1" applyAlignment="1" applyProtection="1">
      <protection locked="0"/>
    </xf>
    <xf numFmtId="0" fontId="8" fillId="22" borderId="103" xfId="0" applyFont="1" applyFill="1" applyBorder="1" applyAlignment="1" applyProtection="1">
      <protection locked="0"/>
    </xf>
    <xf numFmtId="39" fontId="8" fillId="26" borderId="100" xfId="0" applyNumberFormat="1" applyFont="1" applyFill="1" applyBorder="1" applyAlignment="1" applyProtection="1">
      <protection locked="0"/>
    </xf>
    <xf numFmtId="0" fontId="0" fillId="22" borderId="100" xfId="0" applyFill="1" applyBorder="1" applyAlignment="1" applyProtection="1">
      <protection locked="0"/>
    </xf>
    <xf numFmtId="0" fontId="0" fillId="22" borderId="101" xfId="0" applyFill="1" applyBorder="1" applyAlignment="1" applyProtection="1">
      <protection locked="0"/>
    </xf>
    <xf numFmtId="0" fontId="78" fillId="14" borderId="64" xfId="2" applyFill="1" applyBorder="1" applyAlignment="1" applyProtection="1">
      <alignment horizontal="center" vertical="center"/>
    </xf>
    <xf numFmtId="0" fontId="78" fillId="14" borderId="65" xfId="2" applyFill="1" applyBorder="1" applyAlignment="1" applyProtection="1">
      <alignment horizontal="center" vertical="center"/>
    </xf>
    <xf numFmtId="0" fontId="78" fillId="14" borderId="66" xfId="2" applyFill="1" applyBorder="1" applyAlignment="1" applyProtection="1">
      <alignment horizontal="center" vertical="center"/>
    </xf>
    <xf numFmtId="0" fontId="17" fillId="3" borderId="27" xfId="0" applyFont="1" applyFill="1" applyBorder="1" applyAlignment="1" applyProtection="1">
      <alignment horizontal="center"/>
      <protection hidden="1"/>
    </xf>
    <xf numFmtId="0" fontId="68" fillId="3" borderId="88" xfId="0" applyFont="1" applyFill="1" applyBorder="1" applyAlignment="1" applyProtection="1">
      <alignment horizontal="center" vertical="center"/>
      <protection hidden="1"/>
    </xf>
    <xf numFmtId="0" fontId="112" fillId="0" borderId="9" xfId="0" applyFont="1" applyBorder="1" applyAlignment="1">
      <alignment horizontal="center" vertical="center"/>
    </xf>
    <xf numFmtId="0" fontId="68" fillId="3" borderId="9" xfId="0" applyFont="1" applyFill="1" applyBorder="1" applyAlignment="1" applyProtection="1">
      <alignment horizontal="center" vertical="center"/>
      <protection hidden="1"/>
    </xf>
    <xf numFmtId="0" fontId="0" fillId="0" borderId="9" xfId="0" applyBorder="1" applyAlignment="1">
      <alignment horizontal="center" vertical="center"/>
    </xf>
    <xf numFmtId="39" fontId="15" fillId="26" borderId="100" xfId="0" applyNumberFormat="1" applyFont="1" applyFill="1" applyBorder="1" applyAlignment="1" applyProtection="1">
      <alignment horizontal="left"/>
      <protection locked="0"/>
    </xf>
    <xf numFmtId="0" fontId="0" fillId="22" borderId="100" xfId="0" applyFill="1" applyBorder="1" applyAlignment="1" applyProtection="1">
      <alignment horizontal="left"/>
      <protection locked="0"/>
    </xf>
    <xf numFmtId="0" fontId="0" fillId="22" borderId="67" xfId="0" applyFill="1" applyBorder="1" applyAlignment="1" applyProtection="1">
      <alignment horizontal="left"/>
      <protection locked="0"/>
    </xf>
    <xf numFmtId="37" fontId="6" fillId="34" borderId="72" xfId="0" applyNumberFormat="1" applyFont="1" applyFill="1" applyBorder="1" applyAlignment="1" applyProtection="1">
      <alignment horizontal="right"/>
      <protection hidden="1"/>
    </xf>
    <xf numFmtId="37" fontId="5" fillId="34" borderId="5" xfId="0" applyNumberFormat="1" applyFont="1" applyFill="1" applyBorder="1" applyAlignment="1">
      <alignment horizontal="right"/>
    </xf>
    <xf numFmtId="14" fontId="4" fillId="26" borderId="1" xfId="0" applyNumberFormat="1" applyFont="1" applyFill="1" applyBorder="1" applyAlignment="1" applyProtection="1">
      <alignment horizontal="center"/>
      <protection locked="0"/>
    </xf>
    <xf numFmtId="39" fontId="5" fillId="3" borderId="0" xfId="0" applyNumberFormat="1" applyFont="1" applyFill="1" applyBorder="1" applyAlignment="1" applyProtection="1">
      <alignment horizontal="center"/>
      <protection hidden="1"/>
    </xf>
    <xf numFmtId="0" fontId="5" fillId="0" borderId="0" xfId="0" applyFont="1" applyAlignment="1">
      <alignment horizontal="center"/>
    </xf>
    <xf numFmtId="3" fontId="6" fillId="26" borderId="10" xfId="0" applyNumberFormat="1" applyFont="1" applyFill="1" applyBorder="1" applyAlignment="1" applyProtection="1">
      <alignment horizontal="right"/>
      <protection locked="0"/>
    </xf>
    <xf numFmtId="3" fontId="6" fillId="26" borderId="1" xfId="0" applyNumberFormat="1" applyFont="1" applyFill="1" applyBorder="1" applyAlignment="1" applyProtection="1">
      <alignment horizontal="right"/>
      <protection locked="0"/>
    </xf>
    <xf numFmtId="3" fontId="6" fillId="22" borderId="53" xfId="0" applyNumberFormat="1" applyFont="1" applyFill="1" applyBorder="1" applyAlignment="1" applyProtection="1">
      <alignment horizontal="right"/>
      <protection locked="0"/>
    </xf>
    <xf numFmtId="3" fontId="6" fillId="22" borderId="32" xfId="0" applyNumberFormat="1" applyFont="1" applyFill="1" applyBorder="1" applyAlignment="1" applyProtection="1">
      <alignment horizontal="right"/>
      <protection locked="0"/>
    </xf>
    <xf numFmtId="0" fontId="53" fillId="3" borderId="0" xfId="0" applyFont="1" applyFill="1" applyBorder="1" applyAlignment="1" applyProtection="1">
      <alignment wrapText="1"/>
      <protection hidden="1"/>
    </xf>
    <xf numFmtId="0" fontId="0" fillId="0" borderId="25" xfId="0" applyBorder="1" applyAlignment="1">
      <alignment wrapText="1"/>
    </xf>
    <xf numFmtId="0" fontId="0" fillId="0" borderId="1" xfId="0" applyBorder="1" applyAlignment="1">
      <alignment wrapText="1"/>
    </xf>
    <xf numFmtId="0" fontId="0" fillId="0" borderId="12" xfId="0" applyBorder="1" applyAlignment="1">
      <alignment wrapText="1"/>
    </xf>
    <xf numFmtId="4" fontId="6" fillId="26" borderId="98" xfId="0" applyNumberFormat="1" applyFont="1" applyFill="1" applyBorder="1" applyAlignment="1" applyProtection="1">
      <protection locked="0"/>
    </xf>
    <xf numFmtId="0" fontId="0" fillId="22" borderId="98" xfId="0" applyFill="1" applyBorder="1" applyAlignment="1" applyProtection="1">
      <protection locked="0"/>
    </xf>
    <xf numFmtId="0" fontId="11" fillId="3" borderId="10" xfId="0" applyFont="1" applyFill="1" applyBorder="1" applyAlignment="1" applyProtection="1">
      <alignment horizontal="center"/>
      <protection hidden="1"/>
    </xf>
    <xf numFmtId="0" fontId="0" fillId="0" borderId="30" xfId="0" applyBorder="1"/>
    <xf numFmtId="0" fontId="4" fillId="26" borderId="1" xfId="0" applyFont="1" applyFill="1" applyBorder="1" applyAlignment="1" applyProtection="1">
      <alignment horizontal="center"/>
      <protection locked="0"/>
    </xf>
    <xf numFmtId="0" fontId="4" fillId="22" borderId="12" xfId="0" applyFont="1" applyFill="1" applyBorder="1" applyAlignment="1" applyProtection="1">
      <alignment horizontal="center"/>
      <protection locked="0"/>
    </xf>
    <xf numFmtId="0" fontId="6" fillId="26" borderId="1" xfId="0" applyFont="1" applyFill="1" applyBorder="1" applyAlignment="1" applyProtection="1">
      <alignment horizontal="center"/>
      <protection locked="0"/>
    </xf>
    <xf numFmtId="0" fontId="6" fillId="22" borderId="1" xfId="0" applyFont="1" applyFill="1" applyBorder="1" applyAlignment="1" applyProtection="1">
      <alignment horizontal="center"/>
      <protection locked="0"/>
    </xf>
    <xf numFmtId="0" fontId="6" fillId="22" borderId="107" xfId="0" applyFont="1" applyFill="1" applyBorder="1" applyAlignment="1" applyProtection="1">
      <alignment horizontal="center"/>
      <protection locked="0"/>
    </xf>
    <xf numFmtId="166" fontId="4" fillId="26" borderId="36" xfId="0" applyNumberFormat="1" applyFont="1" applyFill="1" applyBorder="1" applyAlignment="1" applyProtection="1">
      <alignment horizontal="center" vertical="center"/>
      <protection locked="0"/>
    </xf>
    <xf numFmtId="166" fontId="19" fillId="22" borderId="14" xfId="0" applyNumberFormat="1" applyFont="1" applyFill="1" applyBorder="1" applyAlignment="1" applyProtection="1">
      <alignment horizontal="center" vertical="center"/>
      <protection locked="0"/>
    </xf>
    <xf numFmtId="0" fontId="15" fillId="26" borderId="105" xfId="0" applyFont="1" applyFill="1" applyBorder="1" applyAlignment="1" applyProtection="1">
      <alignment horizontal="left"/>
      <protection locked="0"/>
    </xf>
    <xf numFmtId="0" fontId="0" fillId="22" borderId="105" xfId="0" applyFill="1" applyBorder="1" applyAlignment="1" applyProtection="1">
      <alignment horizontal="left"/>
      <protection locked="0"/>
    </xf>
    <xf numFmtId="37" fontId="6" fillId="26" borderId="10" xfId="0" applyNumberFormat="1" applyFont="1" applyFill="1" applyBorder="1" applyAlignment="1" applyProtection="1">
      <alignment horizontal="right"/>
      <protection locked="0"/>
    </xf>
    <xf numFmtId="37" fontId="6" fillId="22" borderId="1" xfId="0" applyNumberFormat="1" applyFont="1" applyFill="1" applyBorder="1" applyAlignment="1" applyProtection="1">
      <alignment horizontal="right"/>
      <protection locked="0"/>
    </xf>
    <xf numFmtId="0" fontId="6" fillId="3" borderId="3" xfId="0" applyFont="1" applyFill="1" applyBorder="1" applyAlignment="1" applyProtection="1">
      <alignment horizontal="center"/>
      <protection hidden="1"/>
    </xf>
    <xf numFmtId="0" fontId="0" fillId="0" borderId="21" xfId="0" applyBorder="1" applyAlignment="1"/>
    <xf numFmtId="3" fontId="6" fillId="21" borderId="31" xfId="0" applyNumberFormat="1" applyFont="1" applyFill="1" applyBorder="1" applyAlignment="1" applyProtection="1">
      <alignment horizontal="right"/>
      <protection hidden="1"/>
    </xf>
    <xf numFmtId="3" fontId="6" fillId="21" borderId="9" xfId="0" applyNumberFormat="1" applyFont="1" applyFill="1" applyBorder="1" applyAlignment="1" applyProtection="1">
      <alignment horizontal="right"/>
      <protection hidden="1"/>
    </xf>
    <xf numFmtId="3" fontId="6" fillId="21" borderId="3" xfId="0" applyNumberFormat="1" applyFont="1" applyFill="1" applyBorder="1" applyAlignment="1" applyProtection="1">
      <alignment horizontal="right"/>
      <protection hidden="1"/>
    </xf>
    <xf numFmtId="3" fontId="6" fillId="21" borderId="0" xfId="0" applyNumberFormat="1" applyFont="1" applyFill="1" applyBorder="1" applyAlignment="1" applyProtection="1">
      <alignment horizontal="right"/>
      <protection hidden="1"/>
    </xf>
    <xf numFmtId="1" fontId="9" fillId="26" borderId="1" xfId="0" applyNumberFormat="1" applyFont="1" applyFill="1" applyBorder="1" applyAlignment="1" applyProtection="1">
      <alignment horizontal="center"/>
      <protection locked="0"/>
    </xf>
    <xf numFmtId="1" fontId="0" fillId="26" borderId="1" xfId="0" applyNumberFormat="1" applyFill="1" applyBorder="1" applyAlignment="1" applyProtection="1">
      <alignment horizontal="center"/>
      <protection locked="0"/>
    </xf>
    <xf numFmtId="1" fontId="0" fillId="26" borderId="1" xfId="0" applyNumberFormat="1" applyFill="1" applyBorder="1" applyAlignment="1" applyProtection="1">
      <protection locked="0"/>
    </xf>
    <xf numFmtId="3" fontId="4" fillId="26" borderId="4" xfId="0" applyNumberFormat="1" applyFont="1" applyFill="1" applyBorder="1" applyAlignment="1" applyProtection="1">
      <alignment horizontal="center"/>
      <protection locked="0"/>
    </xf>
    <xf numFmtId="37" fontId="4" fillId="26" borderId="4" xfId="0" applyNumberFormat="1" applyFont="1" applyFill="1" applyBorder="1" applyAlignment="1" applyProtection="1">
      <alignment horizontal="center"/>
      <protection locked="0"/>
    </xf>
    <xf numFmtId="0" fontId="0" fillId="0" borderId="4" xfId="0" applyBorder="1" applyAlignment="1">
      <alignment horizontal="center"/>
    </xf>
    <xf numFmtId="39" fontId="8" fillId="26" borderId="105" xfId="0" applyNumberFormat="1" applyFont="1" applyFill="1" applyBorder="1" applyAlignment="1" applyProtection="1">
      <protection locked="0"/>
    </xf>
    <xf numFmtId="0" fontId="0" fillId="22" borderId="105" xfId="0" applyFill="1" applyBorder="1" applyAlignment="1" applyProtection="1">
      <protection locked="0"/>
    </xf>
    <xf numFmtId="0" fontId="0" fillId="22" borderId="106" xfId="0" applyFill="1" applyBorder="1" applyAlignment="1" applyProtection="1">
      <protection locked="0"/>
    </xf>
    <xf numFmtId="37" fontId="188" fillId="3" borderId="31" xfId="0" applyNumberFormat="1" applyFont="1" applyFill="1" applyBorder="1" applyAlignment="1" applyProtection="1">
      <alignment horizontal="right"/>
      <protection hidden="1"/>
    </xf>
    <xf numFmtId="37" fontId="188" fillId="0" borderId="15" xfId="0" applyNumberFormat="1" applyFont="1" applyBorder="1" applyAlignment="1" applyProtection="1">
      <alignment horizontal="right"/>
      <protection hidden="1"/>
    </xf>
    <xf numFmtId="37" fontId="188" fillId="0" borderId="9" xfId="0" applyNumberFormat="1" applyFont="1" applyBorder="1" applyAlignment="1" applyProtection="1">
      <alignment horizontal="right"/>
      <protection hidden="1"/>
    </xf>
    <xf numFmtId="0" fontId="167" fillId="0" borderId="15" xfId="0" applyFont="1" applyBorder="1" applyAlignment="1">
      <alignment horizontal="right"/>
    </xf>
    <xf numFmtId="0" fontId="17" fillId="0" borderId="1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1" xfId="0" applyFont="1" applyBorder="1" applyAlignment="1">
      <alignment horizontal="center" vertical="center" wrapText="1"/>
    </xf>
    <xf numFmtId="0" fontId="17" fillId="3" borderId="16" xfId="0" applyFont="1" applyFill="1" applyBorder="1" applyAlignment="1" applyProtection="1">
      <alignment horizontal="center" vertical="center" wrapText="1"/>
      <protection hidden="1"/>
    </xf>
    <xf numFmtId="0" fontId="0" fillId="0" borderId="7" xfId="0" applyBorder="1" applyAlignment="1">
      <alignment horizontal="center" vertical="center"/>
    </xf>
    <xf numFmtId="0" fontId="0" fillId="0" borderId="11" xfId="0" applyBorder="1" applyAlignment="1">
      <alignment horizontal="center" vertical="center"/>
    </xf>
    <xf numFmtId="4" fontId="17" fillId="3" borderId="16" xfId="0" applyNumberFormat="1" applyFont="1" applyFill="1" applyBorder="1" applyAlignment="1" applyProtection="1">
      <alignment horizontal="center" vertical="center" wrapText="1"/>
      <protection hidden="1"/>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5" fillId="3" borderId="9" xfId="0" applyFont="1" applyFill="1" applyBorder="1" applyAlignment="1" applyProtection="1">
      <alignment horizontal="left" vertical="top" wrapText="1"/>
      <protection hidden="1"/>
    </xf>
    <xf numFmtId="0" fontId="5" fillId="0" borderId="0" xfId="0" applyFont="1" applyAlignment="1">
      <alignment horizontal="left" vertical="top"/>
    </xf>
    <xf numFmtId="0" fontId="5" fillId="0" borderId="25" xfId="0" applyFont="1" applyBorder="1" applyAlignment="1"/>
    <xf numFmtId="0" fontId="5" fillId="0" borderId="1" xfId="0" applyFont="1" applyBorder="1" applyAlignment="1">
      <alignment horizontal="left" vertical="top"/>
    </xf>
    <xf numFmtId="0" fontId="5" fillId="0" borderId="1" xfId="0" applyFont="1" applyBorder="1" applyAlignment="1"/>
    <xf numFmtId="0" fontId="5" fillId="0" borderId="12" xfId="0" applyFont="1" applyBorder="1" applyAlignment="1"/>
    <xf numFmtId="37" fontId="6" fillId="34" borderId="10" xfId="0" applyNumberFormat="1" applyFont="1" applyFill="1" applyBorder="1" applyAlignment="1" applyProtection="1">
      <alignment horizontal="right"/>
      <protection hidden="1"/>
    </xf>
    <xf numFmtId="37" fontId="6" fillId="34" borderId="1" xfId="0" applyNumberFormat="1" applyFont="1" applyFill="1" applyBorder="1" applyAlignment="1" applyProtection="1">
      <alignment horizontal="right"/>
      <protection hidden="1"/>
    </xf>
    <xf numFmtId="37" fontId="6" fillId="34" borderId="12" xfId="0" applyNumberFormat="1" applyFont="1" applyFill="1" applyBorder="1" applyAlignment="1" applyProtection="1">
      <alignment horizontal="right"/>
      <protection hidden="1"/>
    </xf>
    <xf numFmtId="4" fontId="5" fillId="3" borderId="9" xfId="0" applyNumberFormat="1" applyFont="1" applyFill="1" applyBorder="1" applyAlignment="1" applyProtection="1">
      <alignment horizontal="left" vertical="center" wrapText="1"/>
      <protection hidden="1"/>
    </xf>
    <xf numFmtId="0" fontId="0" fillId="0" borderId="9" xfId="0" applyBorder="1" applyAlignment="1" applyProtection="1">
      <alignment horizontal="left" vertical="center" wrapText="1"/>
      <protection hidden="1"/>
    </xf>
    <xf numFmtId="0" fontId="0" fillId="0" borderId="15" xfId="0" applyBorder="1" applyAlignment="1" applyProtection="1">
      <alignment horizontal="left" vertical="center" wrapText="1"/>
      <protection hidden="1"/>
    </xf>
    <xf numFmtId="0" fontId="0" fillId="0" borderId="1" xfId="0" applyBorder="1" applyAlignment="1">
      <alignment horizontal="left" vertical="center" wrapText="1"/>
    </xf>
    <xf numFmtId="0" fontId="0" fillId="0" borderId="12" xfId="0" applyBorder="1" applyAlignment="1">
      <alignment horizontal="left" vertical="center" wrapText="1"/>
    </xf>
    <xf numFmtId="0" fontId="17" fillId="3" borderId="31" xfId="0" applyFont="1" applyFill="1" applyBorder="1" applyAlignment="1" applyProtection="1">
      <alignment horizontal="center" vertical="center" wrapText="1"/>
      <protection hidden="1"/>
    </xf>
    <xf numFmtId="0" fontId="3" fillId="0" borderId="15" xfId="0" applyFont="1" applyBorder="1" applyAlignment="1">
      <alignment horizontal="center" vertical="center"/>
    </xf>
    <xf numFmtId="0" fontId="3" fillId="0" borderId="3" xfId="0" applyFont="1" applyBorder="1" applyAlignment="1">
      <alignment horizontal="center" vertical="center"/>
    </xf>
    <xf numFmtId="0" fontId="3" fillId="0" borderId="25" xfId="0" applyFont="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5" fillId="21" borderId="9" xfId="0" applyFont="1" applyFill="1" applyBorder="1" applyAlignment="1">
      <alignment wrapText="1"/>
    </xf>
    <xf numFmtId="0" fontId="0" fillId="0" borderId="9" xfId="0" applyBorder="1" applyAlignment="1">
      <alignment wrapText="1"/>
    </xf>
    <xf numFmtId="0" fontId="0" fillId="0" borderId="15" xfId="0" applyBorder="1" applyAlignment="1">
      <alignment wrapText="1"/>
    </xf>
    <xf numFmtId="37" fontId="6" fillId="28" borderId="10" xfId="0" applyNumberFormat="1" applyFont="1" applyFill="1" applyBorder="1" applyAlignment="1" applyProtection="1">
      <alignment horizontal="right"/>
      <protection hidden="1"/>
    </xf>
    <xf numFmtId="37" fontId="6" fillId="28" borderId="1" xfId="0" applyNumberFormat="1" applyFont="1" applyFill="1" applyBorder="1" applyAlignment="1" applyProtection="1">
      <alignment horizontal="right"/>
      <protection hidden="1"/>
    </xf>
    <xf numFmtId="37" fontId="6" fillId="28" borderId="12" xfId="0" applyNumberFormat="1" applyFont="1" applyFill="1" applyBorder="1" applyAlignment="1" applyProtection="1">
      <alignment horizontal="right"/>
      <protection hidden="1"/>
    </xf>
    <xf numFmtId="0" fontId="0" fillId="34" borderId="1" xfId="0" applyFill="1" applyBorder="1" applyAlignment="1" applyProtection="1">
      <alignment horizontal="right"/>
      <protection locked="0"/>
    </xf>
    <xf numFmtId="0" fontId="33" fillId="11" borderId="0" xfId="0" applyFont="1" applyFill="1" applyBorder="1" applyAlignment="1" applyProtection="1">
      <alignment horizontal="center" vertical="center"/>
      <protection hidden="1"/>
    </xf>
    <xf numFmtId="0" fontId="0" fillId="0" borderId="0" xfId="0" applyAlignment="1">
      <alignment vertical="center"/>
    </xf>
    <xf numFmtId="0" fontId="0" fillId="22" borderId="1" xfId="0" applyFill="1" applyBorder="1" applyAlignment="1" applyProtection="1">
      <alignment horizontal="right"/>
      <protection locked="0"/>
    </xf>
    <xf numFmtId="0" fontId="0" fillId="31" borderId="1" xfId="0" applyFill="1" applyBorder="1" applyAlignment="1" applyProtection="1">
      <alignment horizontal="right"/>
      <protection locked="0"/>
    </xf>
    <xf numFmtId="37" fontId="1" fillId="34" borderId="72" xfId="0" applyNumberFormat="1" applyFont="1" applyFill="1" applyBorder="1" applyAlignment="1" applyProtection="1">
      <alignment horizontal="right"/>
      <protection hidden="1"/>
    </xf>
    <xf numFmtId="37" fontId="6" fillId="3" borderId="31" xfId="0" applyNumberFormat="1" applyFont="1" applyFill="1" applyBorder="1" applyAlignment="1" applyProtection="1">
      <protection hidden="1"/>
    </xf>
    <xf numFmtId="0" fontId="4" fillId="0" borderId="9" xfId="0" applyFont="1" applyBorder="1" applyAlignment="1" applyProtection="1">
      <protection hidden="1"/>
    </xf>
    <xf numFmtId="37" fontId="6" fillId="20" borderId="31" xfId="0" applyNumberFormat="1" applyFont="1" applyFill="1" applyBorder="1" applyAlignment="1" applyProtection="1">
      <alignment horizontal="right"/>
      <protection hidden="1"/>
    </xf>
    <xf numFmtId="0" fontId="0" fillId="0" borderId="9" xfId="0" applyBorder="1" applyAlignment="1" applyProtection="1">
      <alignment horizontal="right"/>
      <protection hidden="1"/>
    </xf>
    <xf numFmtId="37" fontId="1" fillId="3" borderId="31" xfId="0" applyNumberFormat="1" applyFont="1" applyFill="1" applyBorder="1" applyAlignment="1" applyProtection="1">
      <alignment horizontal="right"/>
      <protection hidden="1"/>
    </xf>
    <xf numFmtId="0" fontId="21" fillId="3" borderId="6" xfId="0" applyFont="1" applyFill="1" applyBorder="1" applyAlignment="1" applyProtection="1">
      <alignment horizontal="center" vertical="center"/>
      <protection hidden="1"/>
    </xf>
    <xf numFmtId="0" fontId="88" fillId="0" borderId="0" xfId="0" applyFont="1" applyAlignment="1" applyProtection="1">
      <alignment horizontal="center" vertical="center"/>
      <protection hidden="1"/>
    </xf>
    <xf numFmtId="0" fontId="88" fillId="0" borderId="21" xfId="0" applyFont="1" applyBorder="1" applyAlignment="1" applyProtection="1">
      <alignment horizontal="center" vertical="center"/>
      <protection hidden="1"/>
    </xf>
    <xf numFmtId="0" fontId="88" fillId="0" borderId="6" xfId="0" applyFont="1" applyBorder="1" applyAlignment="1">
      <alignment horizontal="center" vertical="center"/>
    </xf>
    <xf numFmtId="0" fontId="88" fillId="0" borderId="0" xfId="0" applyFont="1" applyAlignment="1">
      <alignment horizontal="center" vertical="center"/>
    </xf>
    <xf numFmtId="0" fontId="88" fillId="0" borderId="21" xfId="0" applyFont="1" applyBorder="1" applyAlignment="1">
      <alignment horizontal="center" vertical="center"/>
    </xf>
    <xf numFmtId="4" fontId="11" fillId="3" borderId="59" xfId="0" applyNumberFormat="1" applyFont="1" applyFill="1" applyBorder="1" applyAlignment="1" applyProtection="1">
      <alignment horizontal="center"/>
      <protection hidden="1"/>
    </xf>
    <xf numFmtId="4" fontId="11" fillId="3" borderId="8" xfId="0" applyNumberFormat="1" applyFont="1" applyFill="1" applyBorder="1" applyAlignment="1" applyProtection="1">
      <alignment horizontal="center"/>
      <protection hidden="1"/>
    </xf>
    <xf numFmtId="166" fontId="10" fillId="34" borderId="10" xfId="0" applyNumberFormat="1" applyFont="1" applyFill="1" applyBorder="1" applyAlignment="1" applyProtection="1">
      <alignment horizontal="center"/>
      <protection hidden="1"/>
    </xf>
    <xf numFmtId="166" fontId="10" fillId="34" borderId="1" xfId="0" applyNumberFormat="1" applyFont="1" applyFill="1" applyBorder="1" applyAlignment="1" applyProtection="1">
      <alignment horizontal="center"/>
      <protection hidden="1"/>
    </xf>
    <xf numFmtId="0" fontId="14" fillId="31" borderId="1" xfId="0" applyFont="1" applyFill="1" applyBorder="1" applyAlignment="1">
      <alignment horizontal="center"/>
    </xf>
    <xf numFmtId="4" fontId="17" fillId="3" borderId="27" xfId="0" applyNumberFormat="1" applyFont="1" applyFill="1" applyBorder="1" applyAlignment="1" applyProtection="1">
      <alignment horizontal="center"/>
      <protection hidden="1"/>
    </xf>
    <xf numFmtId="4" fontId="17" fillId="3" borderId="7" xfId="0" applyNumberFormat="1" applyFont="1" applyFill="1" applyBorder="1" applyAlignment="1" applyProtection="1">
      <alignment horizontal="center" vertical="center"/>
      <protection hidden="1"/>
    </xf>
    <xf numFmtId="4" fontId="17" fillId="3" borderId="11" xfId="0" applyNumberFormat="1" applyFont="1" applyFill="1" applyBorder="1" applyAlignment="1" applyProtection="1">
      <alignment horizontal="center" vertical="center"/>
      <protection hidden="1"/>
    </xf>
    <xf numFmtId="4" fontId="17" fillId="3" borderId="31" xfId="0" applyNumberFormat="1" applyFont="1" applyFill="1" applyBorder="1" applyAlignment="1" applyProtection="1">
      <alignment horizontal="center" vertical="center" wrapText="1"/>
      <protection hidden="1"/>
    </xf>
    <xf numFmtId="0" fontId="17" fillId="0" borderId="9" xfId="0" applyFont="1" applyBorder="1" applyAlignment="1">
      <alignment horizontal="center" vertical="center"/>
    </xf>
    <xf numFmtId="0" fontId="17" fillId="0" borderId="3" xfId="0" applyFont="1" applyBorder="1" applyAlignment="1">
      <alignment horizontal="center" vertical="center"/>
    </xf>
    <xf numFmtId="0" fontId="17" fillId="0" borderId="0" xfId="0" applyFont="1" applyAlignment="1">
      <alignment horizontal="center" vertical="center"/>
    </xf>
    <xf numFmtId="0" fontId="17" fillId="0" borderId="10" xfId="0" applyFont="1" applyBorder="1" applyAlignment="1">
      <alignment horizontal="center" vertical="center"/>
    </xf>
    <xf numFmtId="0" fontId="17" fillId="0" borderId="1" xfId="0" applyFont="1" applyBorder="1" applyAlignment="1">
      <alignment horizontal="center" vertical="center"/>
    </xf>
    <xf numFmtId="1" fontId="86" fillId="3" borderId="88" xfId="0" applyNumberFormat="1" applyFont="1" applyFill="1" applyBorder="1" applyAlignment="1" applyProtection="1">
      <alignment horizontal="center" vertical="center"/>
      <protection hidden="1"/>
    </xf>
    <xf numFmtId="0" fontId="191" fillId="0" borderId="9" xfId="0" applyFont="1" applyBorder="1" applyAlignment="1">
      <alignment horizontal="center" vertical="center"/>
    </xf>
    <xf numFmtId="0" fontId="191" fillId="0" borderId="6" xfId="0" applyFont="1" applyBorder="1" applyAlignment="1">
      <alignment horizontal="center" vertical="center"/>
    </xf>
    <xf numFmtId="0" fontId="191" fillId="0" borderId="0" xfId="0" applyFont="1" applyAlignment="1">
      <alignment horizontal="center" vertical="center"/>
    </xf>
    <xf numFmtId="0" fontId="8" fillId="3" borderId="6" xfId="0" applyFont="1" applyFill="1" applyBorder="1" applyAlignment="1" applyProtection="1">
      <alignment vertical="center" wrapText="1"/>
      <protection hidden="1"/>
    </xf>
    <xf numFmtId="0" fontId="0" fillId="0" borderId="22" xfId="0" applyBorder="1" applyAlignment="1">
      <alignment vertical="center"/>
    </xf>
    <xf numFmtId="0" fontId="0" fillId="0" borderId="5" xfId="0" applyBorder="1" applyAlignment="1">
      <alignment vertical="center"/>
    </xf>
    <xf numFmtId="4" fontId="17" fillId="3" borderId="9" xfId="0" applyNumberFormat="1" applyFont="1" applyFill="1" applyBorder="1" applyAlignment="1" applyProtection="1">
      <alignment horizontal="center" vertical="center" wrapText="1"/>
      <protection hidden="1"/>
    </xf>
    <xf numFmtId="0" fontId="0" fillId="0" borderId="15" xfId="0"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Border="1" applyAlignment="1">
      <alignment horizontal="center" vertical="center" wrapText="1"/>
    </xf>
    <xf numFmtId="0" fontId="0" fillId="0" borderId="25" xfId="0"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2" xfId="0" applyBorder="1" applyAlignment="1">
      <alignment horizontal="center" vertical="center" wrapText="1"/>
    </xf>
    <xf numFmtId="0" fontId="11" fillId="0" borderId="1" xfId="0" quotePrefix="1" applyFont="1" applyBorder="1" applyAlignment="1" applyProtection="1">
      <alignment horizontal="center"/>
      <protection hidden="1"/>
    </xf>
    <xf numFmtId="0" fontId="11" fillId="0" borderId="1" xfId="0" applyFont="1" applyBorder="1" applyAlignment="1">
      <alignment horizontal="center"/>
    </xf>
    <xf numFmtId="0" fontId="0" fillId="0" borderId="1" xfId="0" applyBorder="1" applyAlignment="1"/>
    <xf numFmtId="39" fontId="181" fillId="3" borderId="31" xfId="0" applyNumberFormat="1" applyFont="1" applyFill="1" applyBorder="1" applyAlignment="1" applyProtection="1">
      <alignment wrapText="1"/>
      <protection hidden="1"/>
    </xf>
    <xf numFmtId="0" fontId="181" fillId="3" borderId="9" xfId="0" applyFont="1" applyFill="1" applyBorder="1" applyAlignment="1" applyProtection="1">
      <alignment wrapText="1"/>
      <protection hidden="1"/>
    </xf>
    <xf numFmtId="0" fontId="181" fillId="3" borderId="3" xfId="0" applyFont="1" applyFill="1" applyBorder="1" applyAlignment="1" applyProtection="1">
      <alignment wrapText="1"/>
      <protection hidden="1"/>
    </xf>
    <xf numFmtId="0" fontId="181" fillId="3" borderId="0" xfId="0" applyFont="1" applyFill="1" applyBorder="1" applyAlignment="1" applyProtection="1">
      <alignment wrapText="1"/>
      <protection hidden="1"/>
    </xf>
    <xf numFmtId="0" fontId="0" fillId="0" borderId="3" xfId="0" applyBorder="1" applyAlignment="1">
      <alignment wrapText="1"/>
    </xf>
    <xf numFmtId="0" fontId="0" fillId="0" borderId="0" xfId="0" applyBorder="1" applyAlignment="1">
      <alignment wrapText="1"/>
    </xf>
    <xf numFmtId="0" fontId="0" fillId="31" borderId="5" xfId="0" applyFill="1" applyBorder="1" applyAlignment="1" applyProtection="1">
      <alignment horizontal="right"/>
      <protection hidden="1"/>
    </xf>
    <xf numFmtId="37" fontId="6" fillId="3" borderId="31" xfId="0" applyNumberFormat="1" applyFont="1" applyFill="1" applyBorder="1" applyAlignment="1" applyProtection="1">
      <alignment horizontal="right"/>
      <protection hidden="1"/>
    </xf>
    <xf numFmtId="0" fontId="17" fillId="0" borderId="9"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0" xfId="0" applyFont="1" applyAlignment="1">
      <alignment horizontal="center" vertical="center" wrapText="1"/>
    </xf>
    <xf numFmtId="0" fontId="17" fillId="0" borderId="10" xfId="0" applyFont="1" applyBorder="1" applyAlignment="1">
      <alignment horizontal="center" vertical="center" wrapText="1"/>
    </xf>
    <xf numFmtId="0" fontId="17" fillId="0" borderId="1" xfId="0" applyFont="1" applyBorder="1" applyAlignment="1">
      <alignment horizontal="center" vertical="center" wrapText="1"/>
    </xf>
    <xf numFmtId="0" fontId="0" fillId="0" borderId="9" xfId="0" applyBorder="1" applyAlignment="1">
      <alignment horizontal="right"/>
    </xf>
    <xf numFmtId="0" fontId="6" fillId="3" borderId="0" xfId="0" applyFont="1" applyFill="1" applyBorder="1" applyAlignment="1" applyProtection="1">
      <alignment vertical="top" wrapText="1"/>
      <protection hidden="1"/>
    </xf>
    <xf numFmtId="0" fontId="0" fillId="0" borderId="0" xfId="0" applyBorder="1" applyAlignment="1">
      <alignment vertical="top" wrapText="1"/>
    </xf>
    <xf numFmtId="0" fontId="0" fillId="0" borderId="5" xfId="0" applyBorder="1" applyAlignment="1">
      <alignment vertical="top" wrapText="1"/>
    </xf>
    <xf numFmtId="0" fontId="0" fillId="0" borderId="73" xfId="0" applyBorder="1" applyAlignment="1"/>
    <xf numFmtId="0" fontId="0" fillId="0" borderId="0" xfId="0" applyBorder="1" applyAlignment="1" applyProtection="1">
      <alignment vertical="top" wrapText="1"/>
      <protection hidden="1"/>
    </xf>
    <xf numFmtId="0" fontId="0" fillId="0" borderId="5" xfId="0" applyBorder="1" applyAlignment="1" applyProtection="1">
      <alignment vertical="top" wrapText="1"/>
      <protection hidden="1"/>
    </xf>
    <xf numFmtId="37" fontId="6" fillId="26" borderId="12" xfId="0" applyNumberFormat="1" applyFont="1" applyFill="1" applyBorder="1" applyAlignment="1" applyProtection="1">
      <alignment horizontal="right"/>
      <protection locked="0"/>
    </xf>
    <xf numFmtId="0" fontId="11" fillId="3" borderId="6" xfId="0" applyFont="1" applyFill="1" applyBorder="1" applyAlignment="1" applyProtection="1">
      <alignment horizontal="center"/>
      <protection hidden="1"/>
    </xf>
    <xf numFmtId="4" fontId="17" fillId="3" borderId="15" xfId="0" applyNumberFormat="1" applyFont="1" applyFill="1" applyBorder="1" applyAlignment="1" applyProtection="1">
      <alignment horizontal="center" vertical="center" wrapText="1"/>
      <protection hidden="1"/>
    </xf>
    <xf numFmtId="4" fontId="17" fillId="3" borderId="3" xfId="0" applyNumberFormat="1" applyFont="1" applyFill="1" applyBorder="1" applyAlignment="1" applyProtection="1">
      <alignment horizontal="center" vertical="center" wrapText="1"/>
      <protection hidden="1"/>
    </xf>
    <xf numFmtId="4" fontId="17" fillId="3" borderId="0" xfId="0" applyNumberFormat="1" applyFont="1" applyFill="1" applyBorder="1" applyAlignment="1" applyProtection="1">
      <alignment horizontal="center" vertical="center" wrapText="1"/>
      <protection hidden="1"/>
    </xf>
    <xf numFmtId="4" fontId="17" fillId="3" borderId="25" xfId="0" applyNumberFormat="1" applyFont="1" applyFill="1" applyBorder="1" applyAlignment="1" applyProtection="1">
      <alignment horizontal="center" vertical="center" wrapText="1"/>
      <protection hidden="1"/>
    </xf>
    <xf numFmtId="4" fontId="17" fillId="3" borderId="10" xfId="0" applyNumberFormat="1" applyFont="1" applyFill="1" applyBorder="1" applyAlignment="1" applyProtection="1">
      <alignment horizontal="center" vertical="center" wrapText="1"/>
      <protection hidden="1"/>
    </xf>
    <xf numFmtId="4" fontId="17" fillId="3" borderId="1" xfId="0" applyNumberFormat="1" applyFont="1" applyFill="1" applyBorder="1" applyAlignment="1" applyProtection="1">
      <alignment horizontal="center" vertical="center" wrapText="1"/>
      <protection hidden="1"/>
    </xf>
    <xf numFmtId="4" fontId="17" fillId="3" borderId="12" xfId="0" applyNumberFormat="1" applyFont="1" applyFill="1" applyBorder="1" applyAlignment="1" applyProtection="1">
      <alignment horizontal="center" vertical="center" wrapText="1"/>
      <protection hidden="1"/>
    </xf>
    <xf numFmtId="37" fontId="6" fillId="3" borderId="31" xfId="0" applyNumberFormat="1" applyFont="1" applyFill="1" applyBorder="1" applyAlignment="1" applyProtection="1">
      <alignment horizontal="right"/>
      <protection locked="0"/>
    </xf>
    <xf numFmtId="0" fontId="0" fillId="0" borderId="9" xfId="0" applyBorder="1" applyAlignment="1" applyProtection="1">
      <alignment horizontal="right"/>
      <protection locked="0"/>
    </xf>
    <xf numFmtId="0" fontId="5" fillId="3" borderId="9" xfId="0" applyFont="1" applyFill="1" applyBorder="1" applyAlignment="1" applyProtection="1">
      <alignment wrapText="1"/>
      <protection hidden="1"/>
    </xf>
    <xf numFmtId="0" fontId="181" fillId="5" borderId="8" xfId="0" applyFont="1" applyFill="1" applyBorder="1" applyAlignment="1" applyProtection="1">
      <alignment horizontal="center" vertical="center" wrapText="1"/>
      <protection hidden="1"/>
    </xf>
    <xf numFmtId="0" fontId="0" fillId="0" borderId="0" xfId="0" applyAlignment="1">
      <alignment vertical="center" wrapText="1"/>
    </xf>
    <xf numFmtId="0" fontId="89" fillId="3" borderId="3" xfId="0" applyFont="1" applyFill="1" applyBorder="1" applyAlignment="1" applyProtection="1">
      <alignment horizontal="center" vertical="center"/>
      <protection hidden="1"/>
    </xf>
    <xf numFmtId="0" fontId="104" fillId="0" borderId="0" xfId="0" applyFont="1" applyAlignment="1">
      <alignment horizontal="center" vertical="center"/>
    </xf>
    <xf numFmtId="0" fontId="3" fillId="3" borderId="0" xfId="0" applyFont="1" applyFill="1" applyBorder="1" applyAlignment="1" applyProtection="1">
      <alignment horizontal="left" vertical="top" wrapText="1"/>
      <protection hidden="1"/>
    </xf>
    <xf numFmtId="0" fontId="0" fillId="0" borderId="0" xfId="0" applyAlignment="1">
      <alignment horizontal="left" wrapText="1"/>
    </xf>
    <xf numFmtId="0" fontId="16" fillId="26" borderId="1" xfId="0" quotePrefix="1" applyFont="1" applyFill="1" applyBorder="1" applyAlignment="1" applyProtection="1">
      <protection locked="0" hidden="1"/>
    </xf>
    <xf numFmtId="0" fontId="0" fillId="22" borderId="1" xfId="0" applyFill="1" applyBorder="1" applyAlignment="1" applyProtection="1">
      <protection locked="0" hidden="1"/>
    </xf>
    <xf numFmtId="0" fontId="0" fillId="22" borderId="12" xfId="0" applyFill="1" applyBorder="1" applyAlignment="1" applyProtection="1">
      <protection locked="0" hidden="1"/>
    </xf>
    <xf numFmtId="37" fontId="5" fillId="21" borderId="40" xfId="0" applyNumberFormat="1" applyFont="1" applyFill="1" applyBorder="1" applyAlignment="1" applyProtection="1">
      <protection locked="0"/>
    </xf>
    <xf numFmtId="0" fontId="0" fillId="0" borderId="26" xfId="0" applyBorder="1" applyAlignment="1" applyProtection="1">
      <protection locked="0"/>
    </xf>
    <xf numFmtId="0" fontId="0" fillId="0" borderId="55" xfId="0" applyBorder="1" applyAlignment="1" applyProtection="1">
      <protection locked="0"/>
    </xf>
    <xf numFmtId="37" fontId="159" fillId="2" borderId="40" xfId="0" applyNumberFormat="1" applyFont="1" applyFill="1" applyBorder="1" applyAlignment="1" applyProtection="1">
      <protection locked="0"/>
    </xf>
    <xf numFmtId="37" fontId="8" fillId="20" borderId="31" xfId="0" applyNumberFormat="1" applyFont="1" applyFill="1" applyBorder="1" applyAlignment="1" applyProtection="1">
      <alignment horizontal="center" wrapText="1"/>
      <protection locked="0"/>
    </xf>
    <xf numFmtId="37" fontId="0" fillId="21" borderId="9" xfId="0" applyNumberFormat="1" applyFill="1" applyBorder="1" applyAlignment="1" applyProtection="1">
      <alignment horizontal="center" wrapText="1"/>
      <protection locked="0"/>
    </xf>
    <xf numFmtId="37" fontId="6" fillId="26" borderId="40" xfId="0" applyNumberFormat="1" applyFont="1" applyFill="1" applyBorder="1" applyAlignment="1" applyProtection="1">
      <alignment horizontal="right" wrapText="1"/>
      <protection locked="0"/>
    </xf>
    <xf numFmtId="37" fontId="6" fillId="26" borderId="26" xfId="0" applyNumberFormat="1" applyFont="1" applyFill="1" applyBorder="1" applyAlignment="1" applyProtection="1">
      <alignment horizontal="right" wrapText="1"/>
      <protection locked="0"/>
    </xf>
    <xf numFmtId="37" fontId="5" fillId="0" borderId="40" xfId="0" applyNumberFormat="1" applyFont="1" applyBorder="1" applyAlignment="1" applyProtection="1">
      <protection locked="0"/>
    </xf>
    <xf numFmtId="37" fontId="5" fillId="0" borderId="26" xfId="0" applyNumberFormat="1" applyFont="1" applyBorder="1" applyAlignment="1" applyProtection="1">
      <protection locked="0"/>
    </xf>
    <xf numFmtId="37" fontId="5" fillId="0" borderId="55" xfId="0" applyNumberFormat="1" applyFont="1" applyBorder="1" applyAlignment="1" applyProtection="1">
      <protection locked="0"/>
    </xf>
    <xf numFmtId="37" fontId="6" fillId="32" borderId="40" xfId="0" applyNumberFormat="1" applyFont="1" applyFill="1" applyBorder="1" applyAlignment="1" applyProtection="1">
      <protection hidden="1"/>
    </xf>
    <xf numFmtId="37" fontId="5" fillId="32" borderId="26" xfId="0" applyNumberFormat="1" applyFont="1" applyFill="1" applyBorder="1" applyAlignment="1" applyProtection="1">
      <protection hidden="1"/>
    </xf>
    <xf numFmtId="37" fontId="6" fillId="32" borderId="36" xfId="0" applyNumberFormat="1" applyFont="1" applyFill="1" applyBorder="1" applyAlignment="1" applyProtection="1">
      <protection hidden="1"/>
    </xf>
    <xf numFmtId="37" fontId="5" fillId="32" borderId="14" xfId="0" applyNumberFormat="1" applyFont="1" applyFill="1" applyBorder="1" applyAlignment="1" applyProtection="1">
      <protection hidden="1"/>
    </xf>
    <xf numFmtId="37" fontId="163" fillId="21" borderId="31" xfId="0" applyNumberFormat="1" applyFont="1" applyFill="1" applyBorder="1" applyAlignment="1" applyProtection="1">
      <alignment horizontal="center" vertical="top" wrapText="1"/>
      <protection hidden="1"/>
    </xf>
    <xf numFmtId="37" fontId="0" fillId="21" borderId="9" xfId="0" applyNumberFormat="1" applyFill="1" applyBorder="1" applyAlignment="1" applyProtection="1">
      <alignment horizontal="center" vertical="top" wrapText="1"/>
      <protection hidden="1"/>
    </xf>
    <xf numFmtId="37" fontId="0" fillId="21" borderId="3" xfId="0" applyNumberFormat="1" applyFill="1" applyBorder="1" applyAlignment="1" applyProtection="1">
      <alignment horizontal="center" vertical="top" wrapText="1"/>
      <protection hidden="1"/>
    </xf>
    <xf numFmtId="37" fontId="0" fillId="21" borderId="0" xfId="0" applyNumberFormat="1" applyFill="1" applyBorder="1" applyAlignment="1" applyProtection="1">
      <alignment horizontal="center" vertical="top" wrapText="1"/>
      <protection hidden="1"/>
    </xf>
    <xf numFmtId="37" fontId="6" fillId="32" borderId="40" xfId="0" applyNumberFormat="1" applyFont="1" applyFill="1" applyBorder="1" applyAlignment="1" applyProtection="1">
      <alignment horizontal="right" wrapText="1"/>
      <protection hidden="1"/>
    </xf>
    <xf numFmtId="37" fontId="6" fillId="32" borderId="26" xfId="0" applyNumberFormat="1" applyFont="1" applyFill="1" applyBorder="1" applyAlignment="1" applyProtection="1">
      <alignment horizontal="right" wrapText="1"/>
      <protection hidden="1"/>
    </xf>
    <xf numFmtId="0" fontId="6" fillId="22" borderId="0" xfId="0" applyFont="1" applyFill="1" applyAlignment="1" applyProtection="1">
      <alignment horizontal="center" wrapText="1"/>
      <protection locked="0"/>
    </xf>
    <xf numFmtId="0" fontId="6" fillId="22" borderId="1" xfId="0" applyFont="1" applyFill="1" applyBorder="1" applyAlignment="1" applyProtection="1">
      <alignment horizontal="center" wrapText="1"/>
      <protection locked="0"/>
    </xf>
    <xf numFmtId="37" fontId="6" fillId="26" borderId="55" xfId="0" applyNumberFormat="1" applyFont="1" applyFill="1" applyBorder="1" applyAlignment="1" applyProtection="1">
      <alignment horizontal="right" wrapText="1"/>
      <protection locked="0"/>
    </xf>
    <xf numFmtId="175" fontId="8" fillId="5" borderId="0" xfId="0" applyNumberFormat="1" applyFont="1" applyFill="1" applyAlignment="1">
      <alignment horizontal="center" vertical="center"/>
    </xf>
    <xf numFmtId="0" fontId="10" fillId="3" borderId="0" xfId="0" applyFont="1" applyFill="1" applyBorder="1" applyAlignment="1" applyProtection="1">
      <alignment horizontal="left"/>
      <protection hidden="1"/>
    </xf>
    <xf numFmtId="0" fontId="0" fillId="0" borderId="0" xfId="0" applyAlignment="1">
      <alignment horizontal="left"/>
    </xf>
    <xf numFmtId="0" fontId="0" fillId="0" borderId="21" xfId="0" applyBorder="1" applyAlignment="1">
      <alignment horizontal="left"/>
    </xf>
    <xf numFmtId="0" fontId="156" fillId="3" borderId="6" xfId="0" applyNumberFormat="1" applyFont="1" applyFill="1" applyBorder="1" applyAlignment="1" applyProtection="1">
      <alignment horizontal="center" vertical="center"/>
      <protection hidden="1"/>
    </xf>
    <xf numFmtId="0" fontId="8" fillId="3" borderId="0" xfId="0" applyFont="1" applyFill="1" applyBorder="1" applyAlignment="1" applyProtection="1">
      <alignment horizontal="left"/>
      <protection hidden="1"/>
    </xf>
    <xf numFmtId="0" fontId="8" fillId="3" borderId="5" xfId="0" applyFont="1" applyFill="1" applyBorder="1" applyAlignment="1" applyProtection="1">
      <alignment horizontal="left"/>
      <protection hidden="1"/>
    </xf>
    <xf numFmtId="0" fontId="8" fillId="0" borderId="5" xfId="0" applyFont="1" applyBorder="1" applyAlignment="1"/>
    <xf numFmtId="0" fontId="8" fillId="0" borderId="23" xfId="0" applyFont="1" applyBorder="1" applyAlignment="1"/>
    <xf numFmtId="37" fontId="6" fillId="26" borderId="10" xfId="0" applyNumberFormat="1" applyFont="1" applyFill="1" applyBorder="1" applyAlignment="1" applyProtection="1">
      <alignment horizontal="right" wrapText="1"/>
      <protection locked="0"/>
    </xf>
    <xf numFmtId="37" fontId="6" fillId="26" borderId="1" xfId="0" applyNumberFormat="1" applyFont="1" applyFill="1" applyBorder="1" applyAlignment="1" applyProtection="1">
      <alignment horizontal="right" wrapText="1"/>
      <protection locked="0"/>
    </xf>
    <xf numFmtId="0" fontId="6" fillId="3" borderId="40" xfId="0" applyFont="1" applyFill="1" applyBorder="1" applyAlignment="1" applyProtection="1">
      <alignment horizontal="center" vertical="center" wrapText="1"/>
      <protection hidden="1"/>
    </xf>
    <xf numFmtId="0" fontId="6" fillId="3" borderId="55" xfId="0" applyFont="1" applyFill="1" applyBorder="1" applyAlignment="1" applyProtection="1">
      <alignment horizontal="center" vertical="center" wrapText="1"/>
      <protection hidden="1"/>
    </xf>
    <xf numFmtId="37" fontId="6" fillId="26" borderId="12" xfId="0" applyNumberFormat="1" applyFont="1" applyFill="1" applyBorder="1" applyAlignment="1" applyProtection="1">
      <alignment horizontal="right" wrapText="1"/>
      <protection locked="0"/>
    </xf>
    <xf numFmtId="37" fontId="8" fillId="20" borderId="15" xfId="0" applyNumberFormat="1" applyFont="1" applyFill="1" applyBorder="1" applyAlignment="1" applyProtection="1">
      <alignment horizontal="center" wrapText="1"/>
      <protection locked="0"/>
    </xf>
    <xf numFmtId="0" fontId="45" fillId="3" borderId="22" xfId="0" applyFont="1" applyFill="1" applyBorder="1" applyAlignment="1" applyProtection="1">
      <alignment horizontal="center"/>
      <protection hidden="1"/>
    </xf>
    <xf numFmtId="0" fontId="0" fillId="0" borderId="5" xfId="0" applyBorder="1" applyAlignment="1">
      <alignment horizontal="center"/>
    </xf>
    <xf numFmtId="0" fontId="0" fillId="0" borderId="23" xfId="0" applyBorder="1" applyAlignment="1">
      <alignment horizontal="center"/>
    </xf>
    <xf numFmtId="0" fontId="16" fillId="26" borderId="108" xfId="0" applyFont="1" applyFill="1" applyBorder="1" applyAlignment="1" applyProtection="1">
      <alignment horizontal="center" vertical="center" wrapText="1"/>
      <protection locked="0"/>
    </xf>
    <xf numFmtId="0" fontId="55" fillId="22" borderId="106" xfId="0" applyFont="1" applyFill="1" applyBorder="1" applyAlignment="1">
      <alignment horizontal="center" vertical="center" wrapText="1"/>
    </xf>
    <xf numFmtId="0" fontId="11" fillId="2" borderId="40" xfId="0" applyFont="1" applyFill="1" applyBorder="1" applyAlignment="1" applyProtection="1">
      <alignment horizontal="right" vertical="center"/>
      <protection hidden="1"/>
    </xf>
    <xf numFmtId="0" fontId="11" fillId="2" borderId="26" xfId="0" applyFont="1" applyFill="1" applyBorder="1" applyAlignment="1" applyProtection="1">
      <alignment horizontal="right" vertical="center"/>
      <protection hidden="1"/>
    </xf>
    <xf numFmtId="0" fontId="11" fillId="2" borderId="55" xfId="0" applyFont="1" applyFill="1" applyBorder="1" applyAlignment="1" applyProtection="1">
      <alignment horizontal="right" vertical="center"/>
      <protection hidden="1"/>
    </xf>
    <xf numFmtId="0" fontId="6" fillId="3" borderId="26" xfId="0" applyFont="1" applyFill="1" applyBorder="1" applyAlignment="1" applyProtection="1">
      <alignment horizontal="left" vertical="center"/>
      <protection hidden="1"/>
    </xf>
    <xf numFmtId="0" fontId="0" fillId="0" borderId="26" xfId="0" applyBorder="1" applyAlignment="1">
      <alignment horizontal="left" vertical="center"/>
    </xf>
    <xf numFmtId="0" fontId="0" fillId="0" borderId="55" xfId="0" applyBorder="1" applyAlignment="1">
      <alignment horizontal="left" vertical="center"/>
    </xf>
    <xf numFmtId="166" fontId="4" fillId="26" borderId="10" xfId="0" applyNumberFormat="1" applyFont="1" applyFill="1" applyBorder="1" applyAlignment="1" applyProtection="1">
      <alignment horizontal="center"/>
      <protection locked="0" hidden="1"/>
    </xf>
    <xf numFmtId="0" fontId="0" fillId="22" borderId="1" xfId="0" applyFill="1" applyBorder="1" applyAlignment="1" applyProtection="1">
      <alignment horizontal="center"/>
      <protection locked="0" hidden="1"/>
    </xf>
    <xf numFmtId="0" fontId="0" fillId="0" borderId="8" xfId="0" applyBorder="1" applyAlignment="1">
      <alignment horizontal="center"/>
    </xf>
    <xf numFmtId="0" fontId="160" fillId="14" borderId="64" xfId="3" applyFill="1" applyBorder="1" applyAlignment="1" applyProtection="1">
      <alignment horizontal="center"/>
    </xf>
    <xf numFmtId="0" fontId="160" fillId="14" borderId="65" xfId="3" applyFill="1" applyBorder="1" applyAlignment="1" applyProtection="1">
      <alignment horizontal="center"/>
    </xf>
    <xf numFmtId="0" fontId="160" fillId="14" borderId="66" xfId="3" applyFill="1" applyBorder="1" applyAlignment="1" applyProtection="1">
      <alignment horizontal="center"/>
    </xf>
    <xf numFmtId="0" fontId="160" fillId="14" borderId="64" xfId="3" applyFill="1" applyBorder="1" applyAlignment="1" applyProtection="1">
      <alignment horizontal="center" wrapText="1"/>
    </xf>
    <xf numFmtId="0" fontId="160" fillId="14" borderId="65" xfId="3" applyFill="1" applyBorder="1" applyAlignment="1" applyProtection="1">
      <alignment horizontal="center" wrapText="1"/>
    </xf>
    <xf numFmtId="0" fontId="160" fillId="14" borderId="66" xfId="3" applyFill="1" applyBorder="1" applyAlignment="1" applyProtection="1">
      <alignment horizontal="center" wrapText="1"/>
    </xf>
    <xf numFmtId="0" fontId="5" fillId="3" borderId="0" xfId="0" applyFont="1" applyFill="1" applyBorder="1" applyAlignment="1" applyProtection="1">
      <alignment vertical="top" wrapText="1"/>
      <protection hidden="1"/>
    </xf>
    <xf numFmtId="0" fontId="5" fillId="0" borderId="25" xfId="0" applyFont="1" applyBorder="1" applyAlignment="1">
      <alignment wrapText="1"/>
    </xf>
    <xf numFmtId="38" fontId="6" fillId="32" borderId="13" xfId="0" applyNumberFormat="1" applyFont="1" applyFill="1" applyBorder="1" applyAlignment="1" applyProtection="1">
      <protection hidden="1"/>
    </xf>
    <xf numFmtId="0" fontId="4" fillId="33" borderId="13" xfId="0" applyFont="1" applyFill="1" applyBorder="1" applyAlignment="1" applyProtection="1">
      <protection hidden="1"/>
    </xf>
    <xf numFmtId="37" fontId="6" fillId="32" borderId="55" xfId="0" applyNumberFormat="1" applyFont="1" applyFill="1" applyBorder="1" applyAlignment="1" applyProtection="1">
      <alignment horizontal="right" wrapText="1"/>
      <protection hidden="1"/>
    </xf>
    <xf numFmtId="0" fontId="11" fillId="26" borderId="4" xfId="0" applyFont="1" applyFill="1" applyBorder="1" applyAlignment="1" applyProtection="1">
      <alignment horizontal="center"/>
      <protection locked="0"/>
    </xf>
    <xf numFmtId="0" fontId="11" fillId="22" borderId="4" xfId="0" applyFont="1" applyFill="1" applyBorder="1" applyAlignment="1" applyProtection="1">
      <alignment horizontal="center"/>
      <protection locked="0"/>
    </xf>
    <xf numFmtId="0" fontId="11" fillId="22" borderId="95" xfId="0" applyFont="1" applyFill="1" applyBorder="1" applyAlignment="1" applyProtection="1">
      <alignment horizontal="center"/>
      <protection locked="0"/>
    </xf>
    <xf numFmtId="0" fontId="5" fillId="3" borderId="59" xfId="0" applyFont="1" applyFill="1" applyBorder="1" applyAlignment="1" applyProtection="1">
      <alignment horizontal="left" vertical="center"/>
      <protection hidden="1"/>
    </xf>
    <xf numFmtId="0" fontId="5" fillId="3" borderId="8" xfId="0" applyFont="1" applyFill="1" applyBorder="1" applyAlignment="1" applyProtection="1">
      <alignment horizontal="left" vertical="center"/>
      <protection hidden="1"/>
    </xf>
    <xf numFmtId="0" fontId="5" fillId="0" borderId="8" xfId="0" applyFont="1" applyBorder="1" applyAlignment="1" applyProtection="1">
      <alignment horizontal="left"/>
      <protection hidden="1"/>
    </xf>
    <xf numFmtId="0" fontId="5" fillId="26" borderId="40" xfId="0" applyFont="1" applyFill="1" applyBorder="1" applyAlignment="1" applyProtection="1">
      <alignment horizontal="left" vertical="center"/>
      <protection locked="0"/>
    </xf>
    <xf numFmtId="0" fontId="5" fillId="26" borderId="26" xfId="0" applyFont="1" applyFill="1" applyBorder="1" applyAlignment="1" applyProtection="1">
      <alignment horizontal="left" vertical="center"/>
      <protection locked="0"/>
    </xf>
    <xf numFmtId="0" fontId="5" fillId="22" borderId="26" xfId="0" applyFont="1" applyFill="1" applyBorder="1" applyAlignment="1" applyProtection="1">
      <alignment horizontal="left"/>
      <protection locked="0"/>
    </xf>
    <xf numFmtId="0" fontId="6" fillId="0" borderId="10" xfId="0" applyFont="1" applyBorder="1" applyAlignment="1" applyProtection="1">
      <alignment horizontal="center" vertical="center" wrapText="1"/>
      <protection hidden="1"/>
    </xf>
    <xf numFmtId="0" fontId="1" fillId="0" borderId="1" xfId="0" applyFont="1" applyBorder="1" applyAlignment="1">
      <alignment horizontal="center" wrapText="1"/>
    </xf>
    <xf numFmtId="0" fontId="1" fillId="0" borderId="12" xfId="0" applyFont="1" applyBorder="1" applyAlignment="1">
      <alignment horizontal="center" wrapText="1"/>
    </xf>
    <xf numFmtId="0" fontId="6" fillId="22" borderId="40" xfId="0" applyFont="1" applyFill="1" applyBorder="1" applyAlignment="1" applyProtection="1">
      <alignment horizontal="center" vertical="center" wrapText="1"/>
      <protection locked="0"/>
    </xf>
    <xf numFmtId="0" fontId="1" fillId="22" borderId="26" xfId="0" applyFont="1" applyFill="1" applyBorder="1" applyAlignment="1" applyProtection="1">
      <alignment horizontal="center" vertical="center" wrapText="1"/>
      <protection locked="0"/>
    </xf>
    <xf numFmtId="0" fontId="1" fillId="22" borderId="55" xfId="0" applyFont="1" applyFill="1" applyBorder="1" applyAlignment="1" applyProtection="1">
      <alignment horizontal="center" vertical="center" wrapText="1"/>
      <protection locked="0"/>
    </xf>
    <xf numFmtId="0" fontId="5" fillId="3" borderId="0" xfId="0" applyFont="1" applyFill="1" applyBorder="1" applyAlignment="1" applyProtection="1">
      <alignment horizontal="left" vertical="top" wrapText="1"/>
      <protection hidden="1"/>
    </xf>
    <xf numFmtId="0" fontId="0" fillId="0" borderId="0" xfId="0" applyBorder="1" applyAlignment="1">
      <alignment horizontal="left" vertical="top" wrapText="1"/>
    </xf>
    <xf numFmtId="0" fontId="0" fillId="0" borderId="1" xfId="0" applyBorder="1" applyAlignment="1">
      <alignment horizontal="left" vertical="top" wrapText="1"/>
    </xf>
    <xf numFmtId="0" fontId="16" fillId="26" borderId="109" xfId="0" applyFont="1" applyFill="1" applyBorder="1" applyAlignment="1" applyProtection="1">
      <alignment horizontal="center" vertical="center" wrapText="1"/>
      <protection locked="0"/>
    </xf>
    <xf numFmtId="0" fontId="55" fillId="22" borderId="104" xfId="0" applyFont="1" applyFill="1" applyBorder="1" applyAlignment="1">
      <alignment horizontal="center" vertical="center" wrapText="1"/>
    </xf>
    <xf numFmtId="0" fontId="5" fillId="3" borderId="26" xfId="0" applyFont="1" applyFill="1" applyBorder="1" applyAlignment="1" applyProtection="1">
      <alignment horizontal="left" vertical="center" wrapText="1"/>
      <protection hidden="1"/>
    </xf>
    <xf numFmtId="0" fontId="5" fillId="3" borderId="55" xfId="0" applyFont="1" applyFill="1" applyBorder="1" applyAlignment="1" applyProtection="1">
      <alignment horizontal="left" vertical="center" wrapText="1"/>
      <protection hidden="1"/>
    </xf>
    <xf numFmtId="0" fontId="6" fillId="3" borderId="40" xfId="0" applyFont="1" applyFill="1" applyBorder="1" applyAlignment="1" applyProtection="1">
      <alignment horizontal="center" vertical="center"/>
      <protection hidden="1"/>
    </xf>
    <xf numFmtId="0" fontId="6" fillId="3" borderId="26" xfId="0" applyFont="1" applyFill="1" applyBorder="1" applyAlignment="1" applyProtection="1">
      <alignment horizontal="center" vertical="center"/>
      <protection hidden="1"/>
    </xf>
    <xf numFmtId="0" fontId="16" fillId="26" borderId="110" xfId="0" applyFont="1" applyFill="1" applyBorder="1" applyAlignment="1" applyProtection="1">
      <alignment horizontal="center" vertical="center" wrapText="1"/>
      <protection locked="0"/>
    </xf>
    <xf numFmtId="0" fontId="55" fillId="22" borderId="101" xfId="0" applyFont="1" applyFill="1" applyBorder="1" applyAlignment="1">
      <alignment horizontal="center" vertical="center" wrapText="1"/>
    </xf>
    <xf numFmtId="0" fontId="5" fillId="3" borderId="10" xfId="0" applyFont="1" applyFill="1" applyBorder="1" applyAlignment="1" applyProtection="1">
      <alignment horizontal="center" vertical="center" wrapText="1"/>
      <protection hidden="1"/>
    </xf>
    <xf numFmtId="0" fontId="0" fillId="0" borderId="12" xfId="0" applyBorder="1" applyAlignment="1">
      <alignment horizontal="center" vertical="center"/>
    </xf>
    <xf numFmtId="0" fontId="233" fillId="3" borderId="9" xfId="0" applyFont="1" applyFill="1" applyBorder="1" applyAlignment="1" applyProtection="1">
      <alignment horizontal="right"/>
      <protection hidden="1"/>
    </xf>
    <xf numFmtId="0" fontId="233" fillId="0" borderId="9" xfId="0" applyFont="1" applyBorder="1" applyAlignment="1">
      <alignment horizontal="right"/>
    </xf>
    <xf numFmtId="0" fontId="233" fillId="0" borderId="15" xfId="0" applyFont="1" applyBorder="1" applyAlignment="1">
      <alignment horizontal="right"/>
    </xf>
    <xf numFmtId="22" fontId="8" fillId="5" borderId="0" xfId="0" applyNumberFormat="1" applyFont="1" applyFill="1" applyAlignment="1" applyProtection="1">
      <alignment horizontal="center" vertical="center"/>
      <protection hidden="1"/>
    </xf>
    <xf numFmtId="0" fontId="8" fillId="0" borderId="0" xfId="0" applyFont="1" applyAlignment="1">
      <alignment horizontal="center" vertical="center"/>
    </xf>
    <xf numFmtId="38" fontId="6" fillId="26" borderId="1" xfId="0" applyNumberFormat="1" applyFont="1" applyFill="1" applyBorder="1" applyAlignment="1" applyProtection="1">
      <alignment horizontal="left" vertical="center"/>
      <protection locked="0"/>
    </xf>
    <xf numFmtId="0" fontId="0" fillId="22" borderId="1" xfId="0" applyFill="1" applyBorder="1" applyAlignment="1" applyProtection="1">
      <alignment horizontal="left" vertical="center"/>
      <protection locked="0"/>
    </xf>
    <xf numFmtId="0" fontId="0" fillId="22" borderId="12" xfId="0" applyFill="1" applyBorder="1" applyAlignment="1" applyProtection="1">
      <alignment horizontal="left" vertical="center"/>
      <protection locked="0"/>
    </xf>
    <xf numFmtId="38" fontId="0" fillId="22" borderId="40" xfId="0" applyNumberFormat="1" applyFill="1" applyBorder="1" applyAlignment="1" applyProtection="1">
      <alignment horizontal="left"/>
      <protection locked="0"/>
    </xf>
    <xf numFmtId="0" fontId="0" fillId="22" borderId="26" xfId="0" applyFill="1" applyBorder="1" applyAlignment="1" applyProtection="1">
      <alignment horizontal="left"/>
      <protection locked="0"/>
    </xf>
    <xf numFmtId="0" fontId="0" fillId="22" borderId="55" xfId="0" applyFill="1" applyBorder="1" applyAlignment="1" applyProtection="1">
      <alignment horizontal="left"/>
      <protection locked="0"/>
    </xf>
    <xf numFmtId="38" fontId="0" fillId="22" borderId="40" xfId="0" applyNumberFormat="1" applyFill="1" applyBorder="1" applyAlignment="1" applyProtection="1">
      <alignment horizontal="center"/>
      <protection locked="0"/>
    </xf>
    <xf numFmtId="38" fontId="11" fillId="2" borderId="3" xfId="0" applyNumberFormat="1" applyFont="1" applyFill="1" applyBorder="1" applyAlignment="1" applyProtection="1">
      <alignment horizontal="center" vertical="center" wrapText="1"/>
      <protection hidden="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horizontal="center" vertical="center" wrapText="1"/>
    </xf>
    <xf numFmtId="38" fontId="4" fillId="2" borderId="26" xfId="0" applyNumberFormat="1" applyFont="1" applyFill="1" applyBorder="1" applyAlignment="1" applyProtection="1">
      <alignment horizontal="center"/>
      <protection hidden="1"/>
    </xf>
    <xf numFmtId="0" fontId="0" fillId="0" borderId="26" xfId="0" applyBorder="1" applyAlignment="1">
      <alignment horizontal="center"/>
    </xf>
    <xf numFmtId="0" fontId="0" fillId="0" borderId="118" xfId="0" applyBorder="1" applyAlignment="1">
      <alignment horizontal="center"/>
    </xf>
    <xf numFmtId="38" fontId="4" fillId="2" borderId="9" xfId="0" applyNumberFormat="1" applyFont="1" applyFill="1" applyBorder="1" applyAlignment="1" applyProtection="1">
      <alignment horizontal="center"/>
      <protection hidden="1"/>
    </xf>
    <xf numFmtId="0" fontId="0" fillId="0" borderId="9" xfId="0" applyBorder="1" applyAlignment="1">
      <alignment horizontal="center"/>
    </xf>
    <xf numFmtId="38" fontId="0" fillId="5" borderId="0" xfId="0" applyNumberFormat="1" applyFill="1" applyAlignment="1" applyProtection="1">
      <protection hidden="1"/>
    </xf>
    <xf numFmtId="38" fontId="170" fillId="5" borderId="9" xfId="0" applyNumberFormat="1" applyFont="1" applyFill="1" applyBorder="1" applyAlignment="1" applyProtection="1">
      <protection hidden="1"/>
    </xf>
    <xf numFmtId="0" fontId="170" fillId="0" borderId="9" xfId="0" applyFont="1" applyBorder="1" applyAlignment="1"/>
    <xf numFmtId="38" fontId="5" fillId="22" borderId="26" xfId="0" applyNumberFormat="1" applyFont="1" applyFill="1" applyBorder="1" applyAlignment="1" applyProtection="1">
      <alignment horizontal="left"/>
      <protection locked="0"/>
    </xf>
    <xf numFmtId="0" fontId="5" fillId="22" borderId="55" xfId="0" applyFont="1" applyFill="1" applyBorder="1" applyAlignment="1" applyProtection="1">
      <alignment horizontal="left"/>
      <protection locked="0"/>
    </xf>
    <xf numFmtId="49" fontId="5" fillId="22" borderId="40" xfId="0" applyNumberFormat="1" applyFont="1" applyFill="1" applyBorder="1" applyAlignment="1" applyProtection="1">
      <alignment horizontal="left"/>
      <protection locked="0"/>
    </xf>
    <xf numFmtId="49" fontId="5" fillId="22" borderId="55" xfId="0" applyNumberFormat="1" applyFont="1" applyFill="1" applyBorder="1" applyAlignment="1" applyProtection="1">
      <protection locked="0"/>
    </xf>
    <xf numFmtId="38" fontId="0" fillId="22" borderId="40" xfId="0" applyNumberFormat="1" applyFill="1" applyBorder="1" applyAlignment="1" applyProtection="1">
      <alignment horizontal="right"/>
      <protection locked="0"/>
    </xf>
    <xf numFmtId="0" fontId="0" fillId="22" borderId="55" xfId="0" applyFill="1" applyBorder="1" applyAlignment="1" applyProtection="1">
      <alignment horizontal="right"/>
      <protection locked="0"/>
    </xf>
    <xf numFmtId="38" fontId="6" fillId="33" borderId="40" xfId="0" applyNumberFormat="1" applyFont="1" applyFill="1" applyBorder="1" applyAlignment="1" applyProtection="1">
      <alignment horizontal="right"/>
      <protection hidden="1"/>
    </xf>
    <xf numFmtId="0" fontId="1" fillId="33" borderId="26" xfId="0" applyFont="1" applyFill="1" applyBorder="1" applyAlignment="1" applyProtection="1">
      <alignment horizontal="right"/>
      <protection hidden="1"/>
    </xf>
    <xf numFmtId="38" fontId="0" fillId="7" borderId="3" xfId="0" applyNumberFormat="1" applyFill="1" applyBorder="1" applyAlignment="1" applyProtection="1">
      <alignment horizontal="center"/>
      <protection hidden="1"/>
    </xf>
    <xf numFmtId="38" fontId="6" fillId="33" borderId="26" xfId="0" applyNumberFormat="1" applyFont="1" applyFill="1" applyBorder="1" applyAlignment="1" applyProtection="1">
      <protection hidden="1"/>
    </xf>
    <xf numFmtId="0" fontId="1" fillId="33" borderId="55" xfId="0" applyFont="1" applyFill="1" applyBorder="1" applyAlignment="1" applyProtection="1">
      <protection hidden="1"/>
    </xf>
    <xf numFmtId="38" fontId="6" fillId="33" borderId="3" xfId="0" applyNumberFormat="1" applyFont="1" applyFill="1" applyBorder="1" applyAlignment="1" applyProtection="1">
      <alignment horizontal="right"/>
      <protection hidden="1"/>
    </xf>
    <xf numFmtId="0" fontId="1" fillId="33" borderId="0" xfId="0" applyFont="1" applyFill="1" applyAlignment="1" applyProtection="1">
      <alignment horizontal="right"/>
      <protection hidden="1"/>
    </xf>
    <xf numFmtId="38" fontId="0" fillId="2" borderId="116" xfId="0" applyNumberFormat="1" applyFill="1" applyBorder="1" applyAlignment="1" applyProtection="1">
      <alignment horizontal="center"/>
      <protection hidden="1"/>
    </xf>
    <xf numFmtId="0" fontId="0" fillId="0" borderId="116" xfId="0" applyBorder="1" applyAlignment="1">
      <alignment horizontal="center"/>
    </xf>
    <xf numFmtId="38" fontId="20" fillId="2" borderId="59" xfId="0" applyNumberFormat="1" applyFont="1" applyFill="1" applyBorder="1" applyAlignment="1" applyProtection="1">
      <alignment horizontal="center" vertical="center" wrapText="1"/>
      <protection hidden="1"/>
    </xf>
    <xf numFmtId="0" fontId="0" fillId="0" borderId="8" xfId="0" applyBorder="1" applyAlignment="1">
      <alignment horizontal="center" vertical="center" wrapText="1"/>
    </xf>
    <xf numFmtId="0" fontId="0" fillId="0" borderId="37" xfId="0" applyBorder="1" applyAlignment="1">
      <alignment horizontal="center" vertical="center" wrapText="1"/>
    </xf>
    <xf numFmtId="38" fontId="5" fillId="22" borderId="40" xfId="0" applyNumberFormat="1" applyFont="1" applyFill="1" applyBorder="1" applyAlignment="1" applyProtection="1">
      <alignment horizontal="right"/>
      <protection locked="0"/>
    </xf>
    <xf numFmtId="0" fontId="0" fillId="0" borderId="26" xfId="0" applyBorder="1" applyAlignment="1" applyProtection="1">
      <alignment horizontal="right"/>
      <protection locked="0"/>
    </xf>
    <xf numFmtId="0" fontId="0" fillId="0" borderId="55" xfId="0" applyBorder="1" applyAlignment="1" applyProtection="1">
      <alignment horizontal="right"/>
      <protection locked="0"/>
    </xf>
    <xf numFmtId="38" fontId="20" fillId="2" borderId="3" xfId="0" applyNumberFormat="1" applyFont="1" applyFill="1" applyBorder="1" applyAlignment="1" applyProtection="1">
      <alignment horizontal="center" vertical="center" wrapText="1"/>
      <protection hidden="1"/>
    </xf>
    <xf numFmtId="38" fontId="6" fillId="22" borderId="48" xfId="0" applyNumberFormat="1" applyFont="1" applyFill="1" applyBorder="1" applyAlignment="1" applyProtection="1">
      <alignment horizontal="right"/>
      <protection locked="0"/>
    </xf>
    <xf numFmtId="0" fontId="6" fillId="22" borderId="28" xfId="0" applyFont="1" applyFill="1" applyBorder="1" applyAlignment="1" applyProtection="1">
      <alignment horizontal="right"/>
      <protection locked="0"/>
    </xf>
    <xf numFmtId="0" fontId="6" fillId="33" borderId="26" xfId="0" applyFont="1" applyFill="1" applyBorder="1" applyAlignment="1" applyProtection="1">
      <alignment horizontal="right"/>
      <protection hidden="1"/>
    </xf>
    <xf numFmtId="38" fontId="8" fillId="2" borderId="3" xfId="0" applyNumberFormat="1" applyFont="1" applyFill="1" applyBorder="1" applyAlignment="1" applyProtection="1">
      <alignment horizontal="center"/>
      <protection hidden="1"/>
    </xf>
    <xf numFmtId="38" fontId="5" fillId="2" borderId="5" xfId="0" applyNumberFormat="1" applyFont="1" applyFill="1" applyBorder="1" applyAlignment="1" applyProtection="1">
      <alignment horizontal="right"/>
      <protection hidden="1"/>
    </xf>
    <xf numFmtId="0" fontId="0" fillId="0" borderId="5" xfId="0" applyBorder="1" applyAlignment="1">
      <alignment horizontal="right"/>
    </xf>
    <xf numFmtId="38" fontId="11" fillId="3" borderId="59" xfId="0" applyNumberFormat="1" applyFont="1" applyFill="1" applyBorder="1" applyAlignment="1" applyProtection="1">
      <alignment horizontal="center"/>
      <protection hidden="1"/>
    </xf>
    <xf numFmtId="0" fontId="0" fillId="0" borderId="8" xfId="0" applyBorder="1" applyAlignment="1" applyProtection="1">
      <protection hidden="1"/>
    </xf>
    <xf numFmtId="166" fontId="158" fillId="26" borderId="3" xfId="0" applyNumberFormat="1" applyFont="1" applyFill="1" applyBorder="1" applyAlignment="1" applyProtection="1">
      <alignment horizontal="center" vertical="center"/>
      <protection locked="0"/>
    </xf>
    <xf numFmtId="0" fontId="0" fillId="22" borderId="0" xfId="0" applyFill="1" applyAlignment="1">
      <alignment horizontal="center" vertical="center"/>
    </xf>
    <xf numFmtId="38" fontId="0" fillId="2" borderId="26" xfId="0" applyNumberFormat="1" applyFill="1" applyBorder="1" applyAlignment="1" applyProtection="1">
      <protection hidden="1"/>
    </xf>
    <xf numFmtId="0" fontId="0" fillId="0" borderId="26" xfId="0" applyBorder="1" applyAlignment="1"/>
    <xf numFmtId="38" fontId="11" fillId="2" borderId="59" xfId="0" applyNumberFormat="1" applyFont="1" applyFill="1" applyBorder="1" applyAlignment="1" applyProtection="1">
      <alignment horizontal="center"/>
      <protection hidden="1"/>
    </xf>
    <xf numFmtId="38" fontId="6" fillId="22" borderId="40" xfId="0" applyNumberFormat="1" applyFont="1" applyFill="1" applyBorder="1" applyAlignment="1" applyProtection="1">
      <alignment horizontal="right"/>
      <protection locked="0"/>
    </xf>
    <xf numFmtId="0" fontId="1" fillId="22" borderId="26" xfId="0" applyFont="1" applyFill="1" applyBorder="1" applyAlignment="1" applyProtection="1">
      <alignment horizontal="right"/>
      <protection locked="0"/>
    </xf>
    <xf numFmtId="38" fontId="6" fillId="33" borderId="31" xfId="0" applyNumberFormat="1" applyFont="1" applyFill="1" applyBorder="1" applyAlignment="1" applyProtection="1">
      <alignment horizontal="right"/>
      <protection hidden="1"/>
    </xf>
    <xf numFmtId="0" fontId="1" fillId="33" borderId="9" xfId="0" applyFont="1" applyFill="1" applyBorder="1" applyAlignment="1" applyProtection="1">
      <alignment horizontal="right"/>
      <protection hidden="1"/>
    </xf>
    <xf numFmtId="49" fontId="5" fillId="22" borderId="40" xfId="0" applyNumberFormat="1" applyFont="1" applyFill="1" applyBorder="1" applyAlignment="1" applyProtection="1">
      <alignment horizontal="center"/>
      <protection locked="0"/>
    </xf>
    <xf numFmtId="38" fontId="4" fillId="2" borderId="0" xfId="0" applyNumberFormat="1" applyFont="1" applyFill="1" applyBorder="1" applyAlignment="1" applyProtection="1">
      <alignment horizontal="center"/>
      <protection hidden="1"/>
    </xf>
    <xf numFmtId="0" fontId="0" fillId="0" borderId="0" xfId="0" applyBorder="1" applyAlignment="1">
      <alignment horizontal="center"/>
    </xf>
    <xf numFmtId="0" fontId="1" fillId="22" borderId="55" xfId="0" applyFont="1" applyFill="1" applyBorder="1" applyAlignment="1" applyProtection="1">
      <alignment horizontal="right"/>
      <protection locked="0"/>
    </xf>
    <xf numFmtId="38" fontId="6" fillId="22" borderId="26" xfId="0" applyNumberFormat="1" applyFont="1" applyFill="1" applyBorder="1" applyAlignment="1" applyProtection="1">
      <alignment horizontal="right"/>
      <protection locked="0"/>
    </xf>
    <xf numFmtId="38" fontId="6" fillId="33" borderId="111" xfId="0" applyNumberFormat="1" applyFont="1" applyFill="1" applyBorder="1" applyAlignment="1" applyProtection="1">
      <alignment horizontal="right"/>
      <protection hidden="1"/>
    </xf>
    <xf numFmtId="0" fontId="1" fillId="33" borderId="112" xfId="0" applyFont="1" applyFill="1" applyBorder="1" applyAlignment="1" applyProtection="1">
      <alignment horizontal="right"/>
      <protection hidden="1"/>
    </xf>
    <xf numFmtId="0" fontId="1" fillId="33" borderId="0" xfId="0" applyFont="1" applyFill="1" applyBorder="1" applyAlignment="1" applyProtection="1">
      <alignment horizontal="right"/>
      <protection hidden="1"/>
    </xf>
    <xf numFmtId="38" fontId="0" fillId="2" borderId="3" xfId="0" applyNumberFormat="1" applyFill="1" applyBorder="1" applyAlignment="1" applyProtection="1">
      <alignment horizontal="right"/>
      <protection hidden="1"/>
    </xf>
    <xf numFmtId="0" fontId="0" fillId="0" borderId="0" xfId="0" applyAlignment="1">
      <alignment horizontal="right"/>
    </xf>
    <xf numFmtId="0" fontId="0" fillId="0" borderId="0" xfId="0" applyBorder="1" applyAlignment="1">
      <alignment horizontal="center" vertical="center" wrapText="1"/>
    </xf>
    <xf numFmtId="38" fontId="5" fillId="22" borderId="40" xfId="0" applyNumberFormat="1" applyFont="1" applyFill="1" applyBorder="1" applyAlignment="1" applyProtection="1">
      <alignment horizontal="left"/>
      <protection locked="0"/>
    </xf>
    <xf numFmtId="38" fontId="11" fillId="2" borderId="9" xfId="0" applyNumberFormat="1" applyFont="1" applyFill="1" applyBorder="1" applyAlignment="1" applyProtection="1">
      <alignment horizontal="center" vertical="center" wrapText="1"/>
      <protection hidden="1"/>
    </xf>
    <xf numFmtId="0" fontId="0" fillId="0" borderId="15" xfId="0" applyBorder="1" applyAlignment="1">
      <alignment vertical="center" wrapText="1"/>
    </xf>
    <xf numFmtId="0" fontId="0" fillId="0" borderId="25" xfId="0" applyBorder="1" applyAlignment="1">
      <alignment vertical="center" wrapText="1"/>
    </xf>
    <xf numFmtId="0" fontId="0" fillId="0" borderId="1" xfId="0" applyBorder="1" applyAlignment="1">
      <alignment vertical="center" wrapText="1"/>
    </xf>
    <xf numFmtId="0" fontId="0" fillId="0" borderId="12" xfId="0" applyBorder="1" applyAlignment="1">
      <alignment vertical="center" wrapText="1"/>
    </xf>
    <xf numFmtId="38" fontId="8" fillId="2" borderId="9" xfId="0" applyNumberFormat="1" applyFont="1" applyFill="1" applyBorder="1" applyAlignment="1" applyProtection="1">
      <alignment horizontal="center" vertical="center" wrapText="1"/>
      <protection hidden="1"/>
    </xf>
    <xf numFmtId="0" fontId="0" fillId="0" borderId="9" xfId="0" applyBorder="1" applyAlignment="1">
      <alignment horizontal="center" vertical="center" wrapText="1"/>
    </xf>
    <xf numFmtId="0" fontId="1" fillId="22" borderId="118" xfId="0" applyFont="1" applyFill="1" applyBorder="1" applyAlignment="1" applyProtection="1">
      <alignment horizontal="right"/>
      <protection locked="0"/>
    </xf>
    <xf numFmtId="38" fontId="0" fillId="7" borderId="40" xfId="0" applyNumberFormat="1" applyFill="1" applyBorder="1" applyAlignment="1" applyProtection="1">
      <alignment wrapText="1"/>
      <protection hidden="1"/>
    </xf>
    <xf numFmtId="0" fontId="0" fillId="0" borderId="26" xfId="0" applyBorder="1" applyAlignment="1">
      <alignment wrapText="1"/>
    </xf>
    <xf numFmtId="0" fontId="0" fillId="0" borderId="118" xfId="0" applyBorder="1" applyAlignment="1">
      <alignment wrapText="1"/>
    </xf>
    <xf numFmtId="38" fontId="6" fillId="33" borderId="40" xfId="0" applyNumberFormat="1" applyFont="1" applyFill="1" applyBorder="1" applyAlignment="1" applyProtection="1">
      <protection hidden="1"/>
    </xf>
    <xf numFmtId="38" fontId="6" fillId="22" borderId="40" xfId="0" applyNumberFormat="1" applyFont="1" applyFill="1" applyBorder="1" applyAlignment="1" applyProtection="1">
      <alignment horizontal="right" wrapText="1"/>
      <protection locked="0"/>
    </xf>
    <xf numFmtId="0" fontId="1" fillId="22" borderId="26" xfId="0" applyFont="1" applyFill="1" applyBorder="1" applyAlignment="1" applyProtection="1">
      <alignment horizontal="right" wrapText="1"/>
      <protection locked="0"/>
    </xf>
    <xf numFmtId="0" fontId="1" fillId="22" borderId="118" xfId="0" applyFont="1" applyFill="1" applyBorder="1" applyAlignment="1" applyProtection="1">
      <alignment horizontal="right" wrapText="1"/>
      <protection locked="0"/>
    </xf>
    <xf numFmtId="38" fontId="6" fillId="33" borderId="40" xfId="0" applyNumberFormat="1" applyFont="1" applyFill="1" applyBorder="1" applyAlignment="1" applyProtection="1">
      <alignment wrapText="1"/>
      <protection hidden="1"/>
    </xf>
    <xf numFmtId="0" fontId="1" fillId="33" borderId="26" xfId="0" applyFont="1" applyFill="1" applyBorder="1" applyAlignment="1" applyProtection="1">
      <alignment wrapText="1"/>
      <protection hidden="1"/>
    </xf>
    <xf numFmtId="0" fontId="1" fillId="33" borderId="118" xfId="0" applyFont="1" applyFill="1" applyBorder="1" applyAlignment="1" applyProtection="1">
      <alignment wrapText="1"/>
      <protection hidden="1"/>
    </xf>
    <xf numFmtId="0" fontId="1" fillId="33" borderId="26" xfId="0" applyFont="1" applyFill="1" applyBorder="1" applyAlignment="1" applyProtection="1">
      <protection hidden="1"/>
    </xf>
    <xf numFmtId="38" fontId="8" fillId="2" borderId="31" xfId="0" applyNumberFormat="1" applyFont="1" applyFill="1" applyBorder="1" applyAlignment="1" applyProtection="1">
      <alignment horizontal="center" vertical="center" wrapText="1"/>
      <protection hidden="1"/>
    </xf>
    <xf numFmtId="38" fontId="11" fillId="2" borderId="31" xfId="0" applyNumberFormat="1" applyFont="1" applyFill="1" applyBorder="1" applyAlignment="1" applyProtection="1">
      <alignment horizontal="center" vertical="center" wrapText="1"/>
      <protection hidden="1"/>
    </xf>
    <xf numFmtId="0" fontId="0" fillId="0" borderId="117" xfId="0" applyBorder="1" applyAlignment="1">
      <alignment horizontal="center" vertical="center" wrapText="1"/>
    </xf>
    <xf numFmtId="0" fontId="0" fillId="0" borderId="79" xfId="0" applyBorder="1" applyAlignment="1">
      <alignment horizontal="center" vertical="center" wrapText="1"/>
    </xf>
    <xf numFmtId="0" fontId="0" fillId="0" borderId="107" xfId="0" applyBorder="1" applyAlignment="1">
      <alignment horizontal="center" vertical="center" wrapText="1"/>
    </xf>
    <xf numFmtId="38" fontId="177" fillId="7" borderId="120" xfId="0" applyNumberFormat="1" applyFont="1" applyFill="1" applyBorder="1" applyAlignment="1" applyProtection="1">
      <alignment horizontal="center"/>
      <protection hidden="1"/>
    </xf>
    <xf numFmtId="0" fontId="177" fillId="0" borderId="26" xfId="0" applyFont="1" applyBorder="1" applyAlignment="1">
      <alignment horizontal="center"/>
    </xf>
    <xf numFmtId="0" fontId="177" fillId="0" borderId="55" xfId="0" applyFont="1" applyBorder="1" applyAlignment="1">
      <alignment horizontal="center"/>
    </xf>
    <xf numFmtId="38" fontId="0" fillId="2" borderId="0" xfId="0" applyNumberFormat="1" applyFill="1" applyBorder="1" applyAlignment="1" applyProtection="1">
      <alignment horizontal="center"/>
      <protection hidden="1"/>
    </xf>
    <xf numFmtId="38" fontId="11" fillId="2" borderId="40" xfId="0" applyNumberFormat="1" applyFont="1" applyFill="1" applyBorder="1" applyAlignment="1" applyProtection="1">
      <alignment horizontal="center" vertical="center" wrapText="1"/>
      <protection hidden="1"/>
    </xf>
    <xf numFmtId="0" fontId="0" fillId="0" borderId="26" xfId="0" applyBorder="1" applyAlignment="1">
      <alignment horizontal="center" vertical="center" wrapText="1"/>
    </xf>
    <xf numFmtId="38" fontId="5" fillId="2" borderId="3" xfId="0" applyNumberFormat="1" applyFont="1" applyFill="1" applyBorder="1" applyAlignment="1" applyProtection="1">
      <alignment horizontal="center"/>
      <protection hidden="1"/>
    </xf>
    <xf numFmtId="38" fontId="6" fillId="22" borderId="72" xfId="0" applyNumberFormat="1" applyFont="1" applyFill="1" applyBorder="1" applyAlignment="1" applyProtection="1">
      <alignment horizontal="right"/>
      <protection hidden="1"/>
    </xf>
    <xf numFmtId="0" fontId="1" fillId="22" borderId="5" xfId="0" applyFont="1" applyFill="1" applyBorder="1" applyAlignment="1">
      <alignment horizontal="right"/>
    </xf>
    <xf numFmtId="0" fontId="0" fillId="0" borderId="117" xfId="0" applyBorder="1" applyAlignment="1">
      <alignment horizontal="center"/>
    </xf>
    <xf numFmtId="0" fontId="0" fillId="0" borderId="117"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07" xfId="0" applyBorder="1" applyAlignment="1">
      <alignment horizontal="center" vertical="center"/>
    </xf>
    <xf numFmtId="38" fontId="11" fillId="2" borderId="31" xfId="0" applyNumberFormat="1" applyFont="1" applyFill="1" applyBorder="1" applyAlignment="1" applyProtection="1">
      <alignment horizontal="center" wrapText="1"/>
      <protection hidden="1"/>
    </xf>
    <xf numFmtId="0" fontId="0" fillId="0" borderId="9" xfId="0" applyBorder="1" applyAlignment="1">
      <alignment horizontal="center" wrapText="1"/>
    </xf>
    <xf numFmtId="0" fontId="0" fillId="0" borderId="10" xfId="0" applyBorder="1" applyAlignment="1">
      <alignment horizontal="center" wrapText="1"/>
    </xf>
    <xf numFmtId="0" fontId="0" fillId="0" borderId="1" xfId="0" applyBorder="1" applyAlignment="1">
      <alignment horizontal="center" wrapText="1"/>
    </xf>
    <xf numFmtId="38" fontId="16" fillId="2" borderId="116" xfId="0" applyNumberFormat="1" applyFont="1" applyFill="1" applyBorder="1" applyAlignment="1" applyProtection="1">
      <alignment horizontal="center"/>
      <protection hidden="1"/>
    </xf>
    <xf numFmtId="38" fontId="0" fillId="7" borderId="40" xfId="0" applyNumberFormat="1" applyFill="1" applyBorder="1" applyAlignment="1" applyProtection="1">
      <alignment horizontal="center"/>
      <protection hidden="1"/>
    </xf>
    <xf numFmtId="38" fontId="6" fillId="33" borderId="10" xfId="0" applyNumberFormat="1" applyFont="1" applyFill="1" applyBorder="1" applyAlignment="1" applyProtection="1">
      <alignment horizontal="right"/>
      <protection hidden="1"/>
    </xf>
    <xf numFmtId="0" fontId="1" fillId="33" borderId="1" xfId="0" applyFont="1" applyFill="1" applyBorder="1" applyAlignment="1" applyProtection="1">
      <alignment horizontal="right"/>
      <protection hidden="1"/>
    </xf>
    <xf numFmtId="0" fontId="5" fillId="3" borderId="0" xfId="0" applyFont="1" applyFill="1" applyBorder="1" applyAlignment="1" applyProtection="1">
      <protection hidden="1"/>
    </xf>
    <xf numFmtId="0" fontId="8" fillId="3" borderId="0" xfId="0" applyFont="1" applyFill="1" applyBorder="1" applyAlignment="1" applyProtection="1">
      <protection hidden="1"/>
    </xf>
    <xf numFmtId="0" fontId="208" fillId="3" borderId="31" xfId="0" applyFont="1" applyFill="1" applyBorder="1" applyAlignment="1" applyProtection="1">
      <protection hidden="1"/>
    </xf>
    <xf numFmtId="0" fontId="167" fillId="0" borderId="9" xfId="0" applyFont="1" applyBorder="1" applyAlignment="1"/>
    <xf numFmtId="0" fontId="59" fillId="11" borderId="35" xfId="0" applyFont="1" applyFill="1" applyBorder="1" applyAlignment="1" applyProtection="1">
      <alignment horizontal="center"/>
      <protection hidden="1"/>
    </xf>
    <xf numFmtId="0" fontId="0" fillId="0" borderId="35" xfId="0" applyBorder="1" applyAlignment="1">
      <alignment horizontal="center"/>
    </xf>
    <xf numFmtId="0" fontId="156" fillId="3" borderId="88" xfId="0" applyFont="1" applyFill="1" applyBorder="1" applyAlignment="1" applyProtection="1">
      <alignment horizontal="center" vertical="center"/>
      <protection hidden="1"/>
    </xf>
    <xf numFmtId="0" fontId="207" fillId="0" borderId="9" xfId="0" applyFont="1" applyBorder="1" applyAlignment="1"/>
    <xf numFmtId="0" fontId="8" fillId="3" borderId="6" xfId="0" applyFont="1" applyFill="1" applyBorder="1" applyAlignment="1" applyProtection="1">
      <alignment horizontal="left" vertical="center" wrapText="1" indent="1"/>
      <protection hidden="1"/>
    </xf>
    <xf numFmtId="0" fontId="0" fillId="0" borderId="0" xfId="0" applyBorder="1" applyAlignment="1">
      <alignment horizontal="left" wrapText="1" indent="1"/>
    </xf>
    <xf numFmtId="0" fontId="0" fillId="0" borderId="6" xfId="0" applyBorder="1" applyAlignment="1">
      <alignment horizontal="left" wrapText="1" indent="1"/>
    </xf>
    <xf numFmtId="0" fontId="0" fillId="0" borderId="27" xfId="0" applyBorder="1" applyAlignment="1">
      <alignment horizontal="left" wrapText="1" indent="1"/>
    </xf>
    <xf numFmtId="0" fontId="0" fillId="0" borderId="1" xfId="0" applyBorder="1" applyAlignment="1">
      <alignment horizontal="left" wrapText="1" indent="1"/>
    </xf>
    <xf numFmtId="0" fontId="0" fillId="0" borderId="0" xfId="0" applyBorder="1" applyAlignment="1" applyProtection="1">
      <alignment horizontal="center"/>
      <protection locked="0"/>
    </xf>
    <xf numFmtId="166" fontId="4" fillId="26" borderId="10" xfId="0" applyNumberFormat="1" applyFont="1" applyFill="1" applyBorder="1" applyAlignment="1" applyProtection="1">
      <alignment horizontal="center" vertical="center"/>
      <protection locked="0"/>
    </xf>
    <xf numFmtId="166" fontId="19" fillId="22" borderId="1" xfId="0" applyNumberFormat="1" applyFont="1" applyFill="1" applyBorder="1" applyAlignment="1" applyProtection="1">
      <alignment horizontal="center" vertical="center"/>
      <protection locked="0"/>
    </xf>
    <xf numFmtId="0" fontId="0" fillId="0" borderId="1" xfId="0" applyBorder="1" applyAlignment="1" applyProtection="1">
      <alignment horizontal="center" vertical="center"/>
      <protection locked="0"/>
    </xf>
    <xf numFmtId="37" fontId="6" fillId="32" borderId="10" xfId="0" applyNumberFormat="1" applyFont="1" applyFill="1" applyBorder="1" applyAlignment="1" applyProtection="1">
      <alignment horizontal="right"/>
      <protection hidden="1"/>
    </xf>
    <xf numFmtId="37" fontId="6" fillId="32" borderId="1" xfId="0" applyNumberFormat="1" applyFont="1" applyFill="1" applyBorder="1" applyAlignment="1" applyProtection="1">
      <alignment horizontal="right"/>
      <protection hidden="1"/>
    </xf>
    <xf numFmtId="37" fontId="0" fillId="33" borderId="1" xfId="0" applyNumberFormat="1" applyFill="1" applyBorder="1" applyAlignment="1" applyProtection="1">
      <alignment horizontal="right"/>
      <protection hidden="1"/>
    </xf>
    <xf numFmtId="0" fontId="0" fillId="0" borderId="1" xfId="0" applyBorder="1" applyAlignment="1" applyProtection="1">
      <alignment horizontal="right"/>
      <protection locked="0"/>
    </xf>
    <xf numFmtId="0" fontId="0" fillId="0" borderId="12" xfId="0" applyBorder="1" applyAlignment="1" applyProtection="1">
      <alignment horizontal="right"/>
      <protection locked="0"/>
    </xf>
    <xf numFmtId="0" fontId="6" fillId="3" borderId="0" xfId="0" applyFont="1" applyFill="1" applyBorder="1" applyAlignment="1" applyProtection="1">
      <protection hidden="1"/>
    </xf>
    <xf numFmtId="0" fontId="0" fillId="0" borderId="0" xfId="0" applyBorder="1" applyAlignment="1"/>
    <xf numFmtId="0" fontId="6" fillId="26" borderId="0" xfId="0" applyFont="1" applyFill="1" applyBorder="1" applyAlignment="1" applyProtection="1">
      <alignment horizontal="center"/>
      <protection locked="0"/>
    </xf>
    <xf numFmtId="49" fontId="1" fillId="26" borderId="7" xfId="0" applyNumberFormat="1" applyFont="1" applyFill="1" applyBorder="1" applyAlignment="1" applyProtection="1">
      <alignment horizontal="center" vertical="center"/>
      <protection locked="0"/>
    </xf>
    <xf numFmtId="0" fontId="0" fillId="0" borderId="29" xfId="0" applyBorder="1" applyAlignment="1" applyProtection="1">
      <alignment horizontal="center" vertical="center"/>
      <protection locked="0"/>
    </xf>
    <xf numFmtId="49" fontId="1" fillId="26" borderId="86" xfId="0" applyNumberFormat="1" applyFont="1" applyFill="1" applyBorder="1" applyAlignment="1" applyProtection="1">
      <alignment horizontal="center" vertical="center"/>
      <protection locked="0"/>
    </xf>
    <xf numFmtId="0" fontId="0" fillId="0" borderId="87" xfId="0" applyBorder="1" applyAlignment="1" applyProtection="1">
      <alignment horizontal="center" vertical="center"/>
      <protection locked="0"/>
    </xf>
    <xf numFmtId="0" fontId="1" fillId="3" borderId="0" xfId="0" applyFont="1" applyFill="1" applyBorder="1" applyAlignment="1" applyProtection="1">
      <alignment horizontal="left" vertical="center" wrapText="1"/>
      <protection hidden="1"/>
    </xf>
    <xf numFmtId="0" fontId="3" fillId="0" borderId="21" xfId="0" applyFont="1" applyBorder="1" applyAlignment="1">
      <alignment horizontal="left" vertical="center"/>
    </xf>
    <xf numFmtId="0" fontId="3" fillId="0" borderId="0" xfId="0" applyFont="1" applyAlignment="1">
      <alignment horizontal="left" vertical="center"/>
    </xf>
    <xf numFmtId="0" fontId="17" fillId="3" borderId="0" xfId="0" applyFont="1" applyFill="1" applyBorder="1" applyAlignment="1" applyProtection="1">
      <alignment wrapText="1"/>
      <protection hidden="1"/>
    </xf>
    <xf numFmtId="0" fontId="0" fillId="0" borderId="21" xfId="0" applyBorder="1" applyAlignment="1">
      <alignment wrapText="1"/>
    </xf>
    <xf numFmtId="0" fontId="0" fillId="0" borderId="30" xfId="0" applyBorder="1" applyAlignment="1">
      <alignment wrapText="1"/>
    </xf>
    <xf numFmtId="0" fontId="0" fillId="0" borderId="11" xfId="0" applyBorder="1" applyAlignment="1" applyProtection="1">
      <alignment vertical="center"/>
      <protection locked="0"/>
    </xf>
    <xf numFmtId="3" fontId="1" fillId="0" borderId="26" xfId="0" applyNumberFormat="1" applyFont="1" applyBorder="1" applyAlignment="1" applyProtection="1">
      <alignment horizontal="right"/>
      <protection locked="0"/>
    </xf>
    <xf numFmtId="3" fontId="1" fillId="0" borderId="55" xfId="0" applyNumberFormat="1" applyFont="1" applyBorder="1" applyAlignment="1" applyProtection="1">
      <alignment horizontal="right"/>
      <protection locked="0"/>
    </xf>
    <xf numFmtId="0" fontId="7" fillId="20" borderId="31" xfId="0" applyFont="1" applyFill="1" applyBorder="1" applyAlignment="1" applyProtection="1">
      <alignment horizontal="center"/>
      <protection hidden="1"/>
    </xf>
    <xf numFmtId="0" fontId="0" fillId="0" borderId="9" xfId="0" applyBorder="1" applyAlignment="1" applyProtection="1">
      <alignment horizontal="center"/>
      <protection hidden="1"/>
    </xf>
    <xf numFmtId="49" fontId="1" fillId="26" borderId="122" xfId="0" applyNumberFormat="1" applyFont="1" applyFill="1" applyBorder="1" applyAlignment="1" applyProtection="1">
      <alignment horizontal="center" vertical="center"/>
      <protection locked="0"/>
    </xf>
    <xf numFmtId="0" fontId="0" fillId="0" borderId="19" xfId="0" applyBorder="1" applyAlignment="1" applyProtection="1">
      <alignment horizontal="center" vertical="center"/>
      <protection locked="0"/>
    </xf>
    <xf numFmtId="49" fontId="1" fillId="26" borderId="123" xfId="0" applyNumberFormat="1" applyFont="1" applyFill="1" applyBorder="1" applyAlignment="1" applyProtection="1">
      <alignment horizontal="center" vertical="center"/>
      <protection locked="0"/>
    </xf>
    <xf numFmtId="0" fontId="0" fillId="0" borderId="124" xfId="0" applyBorder="1" applyAlignment="1" applyProtection="1">
      <alignment horizontal="center" vertical="center"/>
      <protection locked="0"/>
    </xf>
    <xf numFmtId="3" fontId="1" fillId="0" borderId="12" xfId="0" applyNumberFormat="1" applyFont="1" applyBorder="1" applyAlignment="1" applyProtection="1">
      <alignment horizontal="right"/>
      <protection locked="0"/>
    </xf>
    <xf numFmtId="3" fontId="9" fillId="3" borderId="0" xfId="0" applyNumberFormat="1" applyFont="1" applyFill="1" applyBorder="1" applyAlignment="1" applyProtection="1">
      <alignment horizontal="center"/>
      <protection hidden="1"/>
    </xf>
    <xf numFmtId="3" fontId="6" fillId="32" borderId="10" xfId="0" applyNumberFormat="1" applyFont="1" applyFill="1" applyBorder="1" applyAlignment="1" applyProtection="1">
      <alignment horizontal="right"/>
      <protection hidden="1"/>
    </xf>
    <xf numFmtId="3" fontId="6" fillId="32" borderId="1" xfId="0" applyNumberFormat="1" applyFont="1" applyFill="1" applyBorder="1" applyAlignment="1" applyProtection="1">
      <alignment horizontal="right"/>
      <protection hidden="1"/>
    </xf>
    <xf numFmtId="0" fontId="0" fillId="33" borderId="1" xfId="0" applyFill="1" applyBorder="1" applyAlignment="1" applyProtection="1">
      <alignment horizontal="right"/>
      <protection hidden="1"/>
    </xf>
    <xf numFmtId="0" fontId="7" fillId="3" borderId="16" xfId="0" applyFont="1" applyFill="1" applyBorder="1" applyAlignment="1" applyProtection="1">
      <alignment horizontal="center"/>
      <protection hidden="1"/>
    </xf>
    <xf numFmtId="0" fontId="0" fillId="0" borderId="11" xfId="0" applyBorder="1" applyAlignment="1">
      <alignment horizontal="center"/>
    </xf>
    <xf numFmtId="39" fontId="5" fillId="3" borderId="0" xfId="0" applyNumberFormat="1" applyFont="1" applyFill="1" applyBorder="1" applyAlignment="1" applyProtection="1">
      <alignment horizontal="left"/>
      <protection hidden="1"/>
    </xf>
    <xf numFmtId="0" fontId="7" fillId="3" borderId="31" xfId="0" applyFont="1" applyFill="1" applyBorder="1" applyAlignment="1" applyProtection="1">
      <alignment horizontal="center"/>
      <protection hidden="1"/>
    </xf>
    <xf numFmtId="0" fontId="6" fillId="3" borderId="3" xfId="0" applyFont="1" applyFill="1" applyBorder="1" applyAlignment="1" applyProtection="1">
      <alignment horizontal="right" indent="1"/>
      <protection hidden="1"/>
    </xf>
    <xf numFmtId="0" fontId="0" fillId="0" borderId="0" xfId="0" applyBorder="1" applyAlignment="1">
      <alignment horizontal="right" indent="1"/>
    </xf>
    <xf numFmtId="0" fontId="0" fillId="0" borderId="1" xfId="0" applyBorder="1" applyAlignment="1">
      <alignment horizontal="right"/>
    </xf>
    <xf numFmtId="3" fontId="6" fillId="26" borderId="31" xfId="0" applyNumberFormat="1" applyFont="1" applyFill="1" applyBorder="1" applyAlignment="1" applyProtection="1">
      <alignment horizontal="right"/>
      <protection locked="0"/>
    </xf>
    <xf numFmtId="3" fontId="6" fillId="26" borderId="9" xfId="0" applyNumberFormat="1" applyFont="1" applyFill="1" applyBorder="1" applyAlignment="1" applyProtection="1">
      <alignment horizontal="right"/>
      <protection locked="0"/>
    </xf>
    <xf numFmtId="37" fontId="6" fillId="32" borderId="40" xfId="0" applyNumberFormat="1" applyFont="1" applyFill="1" applyBorder="1" applyAlignment="1" applyProtection="1">
      <alignment horizontal="right"/>
      <protection hidden="1"/>
    </xf>
    <xf numFmtId="37" fontId="6" fillId="32" borderId="26" xfId="0" applyNumberFormat="1" applyFont="1" applyFill="1" applyBorder="1" applyAlignment="1" applyProtection="1">
      <alignment horizontal="right"/>
      <protection hidden="1"/>
    </xf>
    <xf numFmtId="37" fontId="0" fillId="33" borderId="26" xfId="0" applyNumberFormat="1" applyFill="1" applyBorder="1" applyAlignment="1" applyProtection="1">
      <alignment horizontal="right"/>
      <protection hidden="1"/>
    </xf>
    <xf numFmtId="0" fontId="6" fillId="3" borderId="10" xfId="0" applyFont="1" applyFill="1" applyBorder="1" applyAlignment="1" applyProtection="1">
      <alignment horizontal="right" indent="1"/>
      <protection hidden="1"/>
    </xf>
    <xf numFmtId="0" fontId="0" fillId="0" borderId="1" xfId="0" applyBorder="1" applyAlignment="1">
      <alignment horizontal="right" indent="1"/>
    </xf>
    <xf numFmtId="0" fontId="11" fillId="26" borderId="98" xfId="0" applyFont="1" applyFill="1" applyBorder="1" applyAlignment="1" applyProtection="1">
      <alignment horizontal="left"/>
      <protection locked="0"/>
    </xf>
    <xf numFmtId="0" fontId="11" fillId="0" borderId="98" xfId="0" applyFont="1" applyBorder="1" applyAlignment="1" applyProtection="1">
      <alignment horizontal="left"/>
      <protection locked="0"/>
    </xf>
    <xf numFmtId="0" fontId="11" fillId="0" borderId="102" xfId="0" applyFont="1" applyBorder="1" applyAlignment="1" applyProtection="1">
      <alignment horizontal="left"/>
      <protection locked="0"/>
    </xf>
    <xf numFmtId="0" fontId="11" fillId="26" borderId="125" xfId="0" applyFont="1" applyFill="1" applyBorder="1" applyAlignment="1" applyProtection="1">
      <alignment horizontal="left"/>
      <protection locked="0"/>
    </xf>
    <xf numFmtId="0" fontId="11" fillId="0" borderId="125" xfId="0" applyFont="1" applyBorder="1" applyAlignment="1" applyProtection="1">
      <alignment horizontal="left"/>
      <protection locked="0"/>
    </xf>
    <xf numFmtId="0" fontId="11" fillId="0" borderId="126" xfId="0" applyFont="1" applyBorder="1" applyAlignment="1" applyProtection="1">
      <alignment horizontal="left"/>
      <protection locked="0"/>
    </xf>
    <xf numFmtId="0" fontId="59" fillId="11" borderId="26" xfId="0" applyFont="1" applyFill="1" applyBorder="1" applyAlignment="1" applyProtection="1">
      <alignment horizontal="center"/>
      <protection hidden="1"/>
    </xf>
    <xf numFmtId="0" fontId="7" fillId="3" borderId="31" xfId="0" applyFont="1" applyFill="1" applyBorder="1" applyAlignment="1" applyProtection="1">
      <alignment horizontal="right" indent="1"/>
      <protection hidden="1"/>
    </xf>
    <xf numFmtId="0" fontId="0" fillId="0" borderId="9" xfId="0" applyBorder="1" applyAlignment="1">
      <alignment horizontal="right" indent="1"/>
    </xf>
    <xf numFmtId="0" fontId="7" fillId="3" borderId="3" xfId="0" applyFont="1" applyFill="1" applyBorder="1" applyAlignment="1" applyProtection="1">
      <alignment horizontal="right" indent="1"/>
      <protection hidden="1"/>
    </xf>
    <xf numFmtId="0" fontId="45" fillId="2" borderId="22" xfId="0" applyFont="1" applyFill="1" applyBorder="1" applyAlignment="1" applyProtection="1">
      <alignment horizontal="center"/>
      <protection hidden="1"/>
    </xf>
    <xf numFmtId="0" fontId="51" fillId="2" borderId="6" xfId="0" applyFont="1" applyFill="1" applyBorder="1" applyAlignment="1" applyProtection="1">
      <alignment horizontal="center" vertical="top"/>
      <protection hidden="1"/>
    </xf>
    <xf numFmtId="0" fontId="186" fillId="0" borderId="0" xfId="0" applyFont="1" applyAlignment="1">
      <alignment horizontal="center" vertical="top"/>
    </xf>
    <xf numFmtId="0" fontId="186" fillId="0" borderId="21" xfId="0" applyFont="1" applyBorder="1" applyAlignment="1">
      <alignment horizontal="center" vertical="top"/>
    </xf>
    <xf numFmtId="0" fontId="11" fillId="2" borderId="6" xfId="0" applyFont="1" applyFill="1" applyBorder="1" applyAlignment="1" applyProtection="1">
      <alignment horizontal="center"/>
      <protection hidden="1"/>
    </xf>
    <xf numFmtId="0" fontId="11" fillId="0" borderId="0" xfId="0" applyFont="1" applyAlignment="1">
      <alignment horizontal="center"/>
    </xf>
    <xf numFmtId="0" fontId="11" fillId="0" borderId="21" xfId="0" applyFont="1" applyBorder="1" applyAlignment="1">
      <alignment horizontal="center"/>
    </xf>
    <xf numFmtId="3" fontId="0" fillId="22" borderId="10" xfId="0" applyNumberFormat="1" applyFill="1" applyBorder="1" applyAlignment="1" applyProtection="1">
      <alignment vertical="center"/>
      <protection locked="0"/>
    </xf>
    <xf numFmtId="3" fontId="0" fillId="22" borderId="1" xfId="0" applyNumberFormat="1" applyFill="1" applyBorder="1" applyAlignment="1" applyProtection="1">
      <alignment vertical="center"/>
      <protection locked="0"/>
    </xf>
    <xf numFmtId="3" fontId="0" fillId="22" borderId="12" xfId="0" applyNumberFormat="1" applyFill="1" applyBorder="1" applyAlignment="1" applyProtection="1">
      <alignment vertical="center"/>
      <protection locked="0"/>
    </xf>
    <xf numFmtId="0" fontId="5" fillId="2" borderId="59" xfId="0" applyFont="1" applyFill="1" applyBorder="1" applyAlignment="1" applyProtection="1">
      <alignment horizontal="left" wrapText="1"/>
      <protection hidden="1"/>
    </xf>
    <xf numFmtId="0" fontId="5" fillId="0" borderId="8" xfId="0" applyFont="1" applyBorder="1" applyAlignment="1">
      <alignment horizontal="left" wrapText="1"/>
    </xf>
    <xf numFmtId="0" fontId="5" fillId="0" borderId="37" xfId="0" applyFont="1" applyBorder="1" applyAlignment="1">
      <alignment horizontal="left" wrapText="1"/>
    </xf>
    <xf numFmtId="0" fontId="5" fillId="0" borderId="10" xfId="0" applyFont="1" applyBorder="1" applyAlignment="1">
      <alignment horizontal="left" wrapText="1"/>
    </xf>
    <xf numFmtId="0" fontId="5" fillId="0" borderId="1" xfId="0" applyFont="1" applyBorder="1" applyAlignment="1">
      <alignment horizontal="left" wrapText="1"/>
    </xf>
    <xf numFmtId="0" fontId="5" fillId="0" borderId="12" xfId="0" applyFont="1" applyBorder="1" applyAlignment="1">
      <alignment horizontal="left" wrapText="1"/>
    </xf>
    <xf numFmtId="0" fontId="5" fillId="2" borderId="3" xfId="0" applyFont="1" applyFill="1" applyBorder="1" applyAlignment="1" applyProtection="1">
      <alignment horizontal="left" vertical="center" wrapText="1"/>
      <protection hidden="1"/>
    </xf>
    <xf numFmtId="0" fontId="5" fillId="0" borderId="0" xfId="0" applyFont="1" applyBorder="1" applyAlignment="1">
      <alignment horizontal="left" vertical="center" wrapText="1"/>
    </xf>
    <xf numFmtId="0" fontId="5" fillId="0" borderId="10" xfId="0" applyFont="1" applyBorder="1" applyAlignment="1">
      <alignment horizontal="left" vertical="center" wrapText="1"/>
    </xf>
    <xf numFmtId="0" fontId="5" fillId="0" borderId="1" xfId="0" applyFont="1" applyBorder="1" applyAlignment="1">
      <alignment horizontal="left" vertical="center" wrapText="1"/>
    </xf>
    <xf numFmtId="0" fontId="4" fillId="2" borderId="40" xfId="0" applyFont="1" applyFill="1" applyBorder="1" applyAlignment="1" applyProtection="1">
      <alignment horizontal="center" vertical="center"/>
      <protection hidden="1"/>
    </xf>
    <xf numFmtId="0" fontId="0" fillId="0" borderId="26" xfId="0" applyBorder="1" applyAlignment="1">
      <alignment horizontal="center" vertical="center"/>
    </xf>
    <xf numFmtId="0" fontId="0" fillId="0" borderId="55" xfId="0" applyBorder="1" applyAlignment="1">
      <alignment horizontal="center" vertical="center"/>
    </xf>
    <xf numFmtId="0" fontId="145" fillId="2" borderId="3" xfId="0" applyFont="1" applyFill="1" applyBorder="1" applyAlignment="1" applyProtection="1">
      <protection hidden="1"/>
    </xf>
    <xf numFmtId="0" fontId="145" fillId="0" borderId="0" xfId="0" applyFont="1" applyAlignment="1"/>
    <xf numFmtId="0" fontId="145" fillId="0" borderId="25" xfId="0" applyFont="1" applyBorder="1" applyAlignment="1"/>
    <xf numFmtId="0" fontId="0" fillId="2" borderId="3" xfId="0" applyFill="1" applyBorder="1" applyAlignment="1" applyProtection="1">
      <protection hidden="1"/>
    </xf>
    <xf numFmtId="0" fontId="4" fillId="22" borderId="1" xfId="0" applyFont="1" applyFill="1" applyBorder="1" applyAlignment="1" applyProtection="1">
      <alignment horizontal="left"/>
      <protection locked="0"/>
    </xf>
    <xf numFmtId="0" fontId="4" fillId="22" borderId="1" xfId="0" applyFont="1" applyFill="1" applyBorder="1" applyAlignment="1" applyProtection="1">
      <protection locked="0"/>
    </xf>
    <xf numFmtId="0" fontId="4" fillId="22" borderId="12" xfId="0" applyFont="1" applyFill="1" applyBorder="1" applyAlignment="1" applyProtection="1">
      <protection locked="0"/>
    </xf>
    <xf numFmtId="3" fontId="0" fillId="33" borderId="10" xfId="0" applyNumberFormat="1" applyFill="1" applyBorder="1" applyAlignment="1" applyProtection="1">
      <alignment vertical="center"/>
      <protection hidden="1"/>
    </xf>
    <xf numFmtId="0" fontId="0" fillId="33" borderId="1" xfId="0" applyFill="1" applyBorder="1" applyAlignment="1" applyProtection="1">
      <alignment vertical="center"/>
      <protection hidden="1"/>
    </xf>
    <xf numFmtId="0" fontId="0" fillId="33" borderId="12" xfId="0" applyFill="1" applyBorder="1" applyAlignment="1" applyProtection="1">
      <alignment vertical="center"/>
      <protection hidden="1"/>
    </xf>
    <xf numFmtId="0" fontId="3" fillId="2" borderId="26" xfId="0" applyFont="1" applyFill="1" applyBorder="1" applyAlignment="1" applyProtection="1">
      <alignment vertical="center"/>
      <protection hidden="1"/>
    </xf>
    <xf numFmtId="0" fontId="0" fillId="0" borderId="26" xfId="0" applyBorder="1" applyAlignment="1">
      <alignment vertical="center"/>
    </xf>
    <xf numFmtId="0" fontId="8" fillId="14" borderId="9" xfId="0" applyFont="1" applyFill="1" applyBorder="1" applyAlignment="1" applyProtection="1">
      <alignment horizontal="center" wrapText="1"/>
      <protection hidden="1"/>
    </xf>
    <xf numFmtId="0" fontId="108" fillId="2" borderId="3" xfId="0" applyFont="1" applyFill="1" applyBorder="1" applyAlignment="1" applyProtection="1">
      <alignment horizontal="center" vertical="top"/>
      <protection hidden="1"/>
    </xf>
    <xf numFmtId="0" fontId="108" fillId="2" borderId="0" xfId="0" applyFont="1" applyFill="1" applyAlignment="1" applyProtection="1">
      <alignment horizontal="center" vertical="top"/>
      <protection hidden="1"/>
    </xf>
    <xf numFmtId="3" fontId="3" fillId="33" borderId="10" xfId="0" applyNumberFormat="1" applyFont="1" applyFill="1" applyBorder="1" applyAlignment="1" applyProtection="1">
      <alignment vertical="center"/>
      <protection hidden="1"/>
    </xf>
    <xf numFmtId="0" fontId="3" fillId="33" borderId="1" xfId="0" applyFont="1" applyFill="1" applyBorder="1" applyAlignment="1" applyProtection="1">
      <alignment vertical="center"/>
      <protection hidden="1"/>
    </xf>
    <xf numFmtId="3" fontId="0" fillId="33" borderId="40" xfId="0" applyNumberFormat="1" applyFill="1" applyBorder="1" applyAlignment="1" applyProtection="1">
      <alignment vertical="center"/>
      <protection hidden="1"/>
    </xf>
    <xf numFmtId="0" fontId="0" fillId="33" borderId="26" xfId="0" applyFill="1" applyBorder="1" applyAlignment="1" applyProtection="1">
      <alignment vertical="center"/>
      <protection hidden="1"/>
    </xf>
    <xf numFmtId="3" fontId="113" fillId="2" borderId="10" xfId="0" applyNumberFormat="1" applyFont="1" applyFill="1" applyBorder="1" applyAlignment="1" applyProtection="1">
      <alignment vertical="top"/>
      <protection hidden="1"/>
    </xf>
    <xf numFmtId="0" fontId="114" fillId="0" borderId="1" xfId="0" applyFont="1" applyBorder="1" applyAlignment="1" applyProtection="1">
      <alignment vertical="top"/>
      <protection hidden="1"/>
    </xf>
    <xf numFmtId="3" fontId="0" fillId="33" borderId="1" xfId="0" applyNumberFormat="1" applyFill="1" applyBorder="1" applyAlignment="1" applyProtection="1">
      <alignment vertical="center"/>
      <protection hidden="1"/>
    </xf>
    <xf numFmtId="3" fontId="0" fillId="33" borderId="12" xfId="0" applyNumberFormat="1" applyFill="1" applyBorder="1" applyAlignment="1" applyProtection="1">
      <alignment vertical="center"/>
      <protection hidden="1"/>
    </xf>
    <xf numFmtId="0" fontId="0" fillId="22" borderId="40" xfId="0" applyFill="1" applyBorder="1" applyAlignment="1" applyProtection="1">
      <protection locked="0"/>
    </xf>
    <xf numFmtId="0" fontId="0" fillId="2" borderId="0" xfId="0" applyFill="1" applyAlignment="1" applyProtection="1">
      <protection hidden="1"/>
    </xf>
    <xf numFmtId="0" fontId="0" fillId="22" borderId="1" xfId="0" applyFill="1" applyBorder="1" applyAlignment="1" applyProtection="1">
      <alignment vertical="center"/>
      <protection locked="0"/>
    </xf>
    <xf numFmtId="0" fontId="4" fillId="33" borderId="1" xfId="0" applyFont="1" applyFill="1" applyBorder="1" applyAlignment="1" applyProtection="1">
      <alignment horizontal="left"/>
      <protection locked="0"/>
    </xf>
    <xf numFmtId="0" fontId="4" fillId="33" borderId="1" xfId="0" applyFont="1" applyFill="1" applyBorder="1" applyAlignment="1" applyProtection="1">
      <protection locked="0"/>
    </xf>
    <xf numFmtId="0" fontId="4" fillId="33" borderId="12" xfId="0" applyFont="1" applyFill="1" applyBorder="1" applyAlignment="1" applyProtection="1">
      <protection locked="0"/>
    </xf>
    <xf numFmtId="166" fontId="4" fillId="33" borderId="59" xfId="0" applyNumberFormat="1" applyFont="1" applyFill="1" applyBorder="1" applyAlignment="1" applyProtection="1">
      <alignment horizontal="center" vertical="center"/>
      <protection locked="0"/>
    </xf>
    <xf numFmtId="166" fontId="4" fillId="33" borderId="8" xfId="0" applyNumberFormat="1" applyFont="1" applyFill="1" applyBorder="1" applyAlignment="1" applyProtection="1">
      <alignment horizontal="center" vertical="center"/>
      <protection locked="0"/>
    </xf>
    <xf numFmtId="166" fontId="4" fillId="33" borderId="10" xfId="0" applyNumberFormat="1" applyFont="1" applyFill="1" applyBorder="1" applyAlignment="1" applyProtection="1">
      <alignment horizontal="center" vertical="center"/>
      <protection locked="0"/>
    </xf>
    <xf numFmtId="166" fontId="4" fillId="33" borderId="1" xfId="0" applyNumberFormat="1" applyFont="1" applyFill="1" applyBorder="1" applyAlignment="1" applyProtection="1">
      <alignment horizontal="center" vertical="center"/>
      <protection locked="0"/>
    </xf>
    <xf numFmtId="4" fontId="129" fillId="2" borderId="3" xfId="0" applyNumberFormat="1" applyFont="1" applyFill="1" applyBorder="1" applyAlignment="1" applyProtection="1">
      <alignment horizontal="right"/>
      <protection hidden="1"/>
    </xf>
    <xf numFmtId="4" fontId="129" fillId="2" borderId="0" xfId="0" applyNumberFormat="1" applyFont="1" applyFill="1" applyBorder="1" applyAlignment="1" applyProtection="1">
      <protection hidden="1"/>
    </xf>
    <xf numFmtId="0" fontId="0" fillId="2" borderId="31" xfId="0" applyFill="1" applyBorder="1" applyAlignment="1" applyProtection="1">
      <protection hidden="1"/>
    </xf>
    <xf numFmtId="0" fontId="0" fillId="2" borderId="9" xfId="0" applyFill="1" applyBorder="1" applyAlignment="1" applyProtection="1">
      <protection hidden="1"/>
    </xf>
    <xf numFmtId="0" fontId="108" fillId="2" borderId="3" xfId="0" applyFont="1" applyFill="1" applyBorder="1" applyAlignment="1" applyProtection="1">
      <alignment horizontal="center"/>
      <protection hidden="1"/>
    </xf>
    <xf numFmtId="0" fontId="108" fillId="2" borderId="0" xfId="0" applyFont="1" applyFill="1" applyAlignment="1" applyProtection="1">
      <alignment horizontal="center"/>
      <protection hidden="1"/>
    </xf>
    <xf numFmtId="0" fontId="108" fillId="2" borderId="3" xfId="0" applyFont="1" applyFill="1" applyBorder="1" applyAlignment="1" applyProtection="1">
      <alignment horizontal="center" vertical="center"/>
      <protection hidden="1"/>
    </xf>
    <xf numFmtId="0" fontId="108" fillId="2" borderId="0" xfId="0" applyFont="1" applyFill="1" applyAlignment="1" applyProtection="1">
      <alignment horizontal="center" vertical="center"/>
      <protection hidden="1"/>
    </xf>
    <xf numFmtId="0" fontId="145" fillId="2" borderId="0" xfId="0" applyFont="1" applyFill="1" applyBorder="1" applyAlignment="1" applyProtection="1">
      <protection hidden="1"/>
    </xf>
    <xf numFmtId="0" fontId="78" fillId="14" borderId="64" xfId="2" applyFill="1" applyBorder="1" applyAlignment="1" applyProtection="1">
      <alignment horizontal="center" wrapText="1"/>
    </xf>
    <xf numFmtId="0" fontId="78" fillId="14" borderId="65" xfId="2" applyFill="1" applyBorder="1" applyAlignment="1" applyProtection="1">
      <alignment horizontal="center" wrapText="1"/>
    </xf>
    <xf numFmtId="0" fontId="0" fillId="0" borderId="65" xfId="0" applyBorder="1" applyAlignment="1">
      <alignment horizontal="center" wrapText="1"/>
    </xf>
    <xf numFmtId="0" fontId="0" fillId="0" borderId="66" xfId="0" applyBorder="1" applyAlignment="1">
      <alignment horizontal="center" wrapText="1"/>
    </xf>
    <xf numFmtId="0" fontId="8" fillId="2" borderId="5" xfId="0" applyFont="1" applyFill="1" applyBorder="1" applyAlignment="1" applyProtection="1">
      <alignment vertical="top" wrapText="1"/>
      <protection hidden="1"/>
    </xf>
    <xf numFmtId="0" fontId="8" fillId="0" borderId="5" xfId="0" applyFont="1" applyBorder="1" applyAlignment="1">
      <alignment wrapText="1"/>
    </xf>
    <xf numFmtId="0" fontId="8" fillId="2" borderId="0" xfId="0" applyFont="1" applyFill="1" applyBorder="1" applyAlignment="1">
      <alignment horizontal="left" vertical="top" wrapText="1"/>
    </xf>
    <xf numFmtId="0" fontId="8" fillId="0" borderId="0" xfId="0" applyFont="1" applyAlignment="1">
      <alignment vertical="top" wrapText="1"/>
    </xf>
    <xf numFmtId="0" fontId="8" fillId="0" borderId="25" xfId="0" applyFont="1" applyBorder="1" applyAlignment="1">
      <alignment vertical="top" wrapText="1"/>
    </xf>
    <xf numFmtId="0" fontId="8" fillId="2" borderId="5" xfId="0" applyFont="1" applyFill="1" applyBorder="1" applyAlignment="1">
      <alignment horizontal="left" vertical="top" wrapText="1"/>
    </xf>
    <xf numFmtId="0" fontId="8" fillId="0" borderId="5" xfId="0" applyFont="1" applyBorder="1" applyAlignment="1">
      <alignment vertical="top" wrapText="1"/>
    </xf>
    <xf numFmtId="0" fontId="8" fillId="0" borderId="73" xfId="0" applyFont="1" applyBorder="1" applyAlignment="1">
      <alignment vertical="top" wrapText="1"/>
    </xf>
    <xf numFmtId="0" fontId="8" fillId="2" borderId="0" xfId="0" applyFont="1" applyFill="1" applyAlignment="1" applyProtection="1">
      <alignment vertical="top" wrapText="1"/>
      <protection hidden="1"/>
    </xf>
    <xf numFmtId="0" fontId="8" fillId="0" borderId="0" xfId="0" applyFont="1" applyAlignment="1">
      <alignment wrapText="1"/>
    </xf>
    <xf numFmtId="0" fontId="129" fillId="2" borderId="3" xfId="0" applyFont="1" applyFill="1" applyBorder="1" applyAlignment="1" applyProtection="1">
      <protection hidden="1"/>
    </xf>
    <xf numFmtId="0" fontId="129" fillId="2" borderId="0" xfId="0" applyFont="1" applyFill="1" applyBorder="1" applyAlignment="1" applyProtection="1">
      <protection hidden="1"/>
    </xf>
    <xf numFmtId="0" fontId="23" fillId="2" borderId="31" xfId="0" applyFont="1" applyFill="1" applyBorder="1" applyAlignment="1" applyProtection="1">
      <protection hidden="1"/>
    </xf>
    <xf numFmtId="0" fontId="23" fillId="2" borderId="9" xfId="0" applyFont="1" applyFill="1" applyBorder="1" applyAlignment="1" applyProtection="1">
      <protection hidden="1"/>
    </xf>
    <xf numFmtId="0" fontId="5" fillId="2" borderId="31" xfId="0" applyFont="1" applyFill="1" applyBorder="1" applyAlignment="1" applyProtection="1">
      <protection hidden="1"/>
    </xf>
    <xf numFmtId="0" fontId="5" fillId="2" borderId="9" xfId="0" applyFont="1" applyFill="1" applyBorder="1" applyAlignment="1" applyProtection="1">
      <protection hidden="1"/>
    </xf>
    <xf numFmtId="3" fontId="0" fillId="33" borderId="10" xfId="0" applyNumberFormat="1" applyFill="1" applyBorder="1" applyAlignment="1" applyProtection="1">
      <alignment horizontal="right" vertical="center"/>
      <protection hidden="1"/>
    </xf>
    <xf numFmtId="3" fontId="0" fillId="33" borderId="1" xfId="0" applyNumberFormat="1" applyFill="1" applyBorder="1" applyAlignment="1" applyProtection="1">
      <alignment horizontal="right" vertical="center"/>
      <protection hidden="1"/>
    </xf>
    <xf numFmtId="0" fontId="5" fillId="2" borderId="3" xfId="0" applyFont="1" applyFill="1" applyBorder="1" applyAlignment="1" applyProtection="1">
      <protection hidden="1"/>
    </xf>
    <xf numFmtId="0" fontId="167" fillId="2" borderId="31" xfId="0" applyNumberFormat="1" applyFont="1" applyFill="1" applyBorder="1" applyAlignment="1" applyProtection="1">
      <protection hidden="1"/>
    </xf>
    <xf numFmtId="0" fontId="167" fillId="0" borderId="9" xfId="0" applyNumberFormat="1" applyFont="1" applyBorder="1" applyAlignment="1" applyProtection="1">
      <protection hidden="1"/>
    </xf>
    <xf numFmtId="0" fontId="8" fillId="2" borderId="1" xfId="0" applyFont="1" applyFill="1" applyBorder="1" applyAlignment="1" applyProtection="1">
      <alignment horizontal="center"/>
      <protection hidden="1"/>
    </xf>
    <xf numFmtId="0" fontId="8" fillId="0" borderId="1" xfId="0" applyFont="1" applyBorder="1" applyAlignment="1"/>
    <xf numFmtId="166" fontId="4" fillId="22" borderId="59" xfId="0" applyNumberFormat="1" applyFont="1" applyFill="1" applyBorder="1" applyAlignment="1" applyProtection="1">
      <alignment horizontal="center" vertical="center"/>
      <protection locked="0"/>
    </xf>
    <xf numFmtId="166" fontId="4" fillId="22" borderId="8" xfId="0" applyNumberFormat="1" applyFont="1" applyFill="1" applyBorder="1" applyAlignment="1" applyProtection="1">
      <alignment horizontal="center" vertical="center"/>
      <protection locked="0"/>
    </xf>
    <xf numFmtId="166" fontId="4" fillId="22" borderId="10" xfId="0" applyNumberFormat="1" applyFont="1" applyFill="1" applyBorder="1" applyAlignment="1" applyProtection="1">
      <alignment horizontal="center" vertical="center"/>
      <protection locked="0"/>
    </xf>
    <xf numFmtId="166" fontId="4" fillId="22" borderId="1" xfId="0" applyNumberFormat="1" applyFont="1" applyFill="1" applyBorder="1" applyAlignment="1" applyProtection="1">
      <alignment horizontal="center" vertical="center"/>
      <protection locked="0"/>
    </xf>
    <xf numFmtId="0" fontId="86" fillId="2" borderId="9" xfId="0" applyFont="1" applyFill="1" applyBorder="1" applyAlignment="1" applyProtection="1">
      <alignment horizontal="center" vertical="center"/>
      <protection hidden="1"/>
    </xf>
    <xf numFmtId="0" fontId="0" fillId="2" borderId="3" xfId="0" applyFill="1" applyBorder="1" applyAlignment="1" applyProtection="1">
      <alignment vertical="center"/>
      <protection hidden="1"/>
    </xf>
    <xf numFmtId="0" fontId="0" fillId="2" borderId="0" xfId="0" applyFill="1" applyAlignment="1" applyProtection="1">
      <alignment vertical="center"/>
      <protection hidden="1"/>
    </xf>
    <xf numFmtId="0" fontId="67" fillId="2" borderId="3" xfId="0" applyFont="1" applyFill="1" applyBorder="1" applyAlignment="1" applyProtection="1">
      <alignment horizontal="center"/>
      <protection hidden="1"/>
    </xf>
    <xf numFmtId="0" fontId="67" fillId="2" borderId="0" xfId="0" applyFont="1" applyFill="1" applyBorder="1" applyAlignment="1" applyProtection="1">
      <alignment horizontal="center"/>
      <protection hidden="1"/>
    </xf>
    <xf numFmtId="0" fontId="0" fillId="2" borderId="31" xfId="0" applyFill="1" applyBorder="1" applyAlignment="1" applyProtection="1">
      <alignment vertical="center"/>
      <protection hidden="1"/>
    </xf>
    <xf numFmtId="0" fontId="0" fillId="2" borderId="9" xfId="0" applyFill="1" applyBorder="1" applyAlignment="1" applyProtection="1">
      <alignment vertical="center"/>
      <protection hidden="1"/>
    </xf>
    <xf numFmtId="0" fontId="23" fillId="2" borderId="31" xfId="0" applyFont="1" applyFill="1" applyBorder="1" applyAlignment="1" applyProtection="1">
      <alignment vertical="center"/>
      <protection hidden="1"/>
    </xf>
    <xf numFmtId="0" fontId="23" fillId="2" borderId="9" xfId="0" applyFont="1" applyFill="1" applyBorder="1" applyAlignment="1" applyProtection="1">
      <alignment vertical="center"/>
      <protection hidden="1"/>
    </xf>
    <xf numFmtId="3" fontId="0" fillId="22" borderId="40" xfId="0" applyNumberFormat="1" applyFill="1" applyBorder="1" applyAlignment="1" applyProtection="1">
      <alignment vertical="center"/>
      <protection locked="0"/>
    </xf>
    <xf numFmtId="0" fontId="0" fillId="22" borderId="26" xfId="0" applyFill="1" applyBorder="1" applyAlignment="1" applyProtection="1">
      <alignment vertical="center"/>
      <protection locked="0"/>
    </xf>
    <xf numFmtId="0" fontId="8" fillId="26" borderId="110" xfId="0" applyFont="1" applyFill="1" applyBorder="1" applyAlignment="1" applyProtection="1">
      <alignment horizontal="left"/>
      <protection locked="0"/>
    </xf>
    <xf numFmtId="0" fontId="8" fillId="26" borderId="100" xfId="0" applyFont="1" applyFill="1" applyBorder="1" applyAlignment="1" applyProtection="1">
      <alignment horizontal="left"/>
      <protection locked="0"/>
    </xf>
    <xf numFmtId="0" fontId="3" fillId="22" borderId="100" xfId="0" applyFont="1" applyFill="1" applyBorder="1" applyAlignment="1" applyProtection="1">
      <alignment horizontal="left"/>
      <protection locked="0"/>
    </xf>
    <xf numFmtId="0" fontId="3" fillId="22" borderId="101" xfId="0" applyFont="1" applyFill="1" applyBorder="1" applyAlignment="1" applyProtection="1">
      <alignment horizontal="left"/>
      <protection locked="0"/>
    </xf>
    <xf numFmtId="0" fontId="1" fillId="3" borderId="113" xfId="0" applyFont="1" applyFill="1" applyBorder="1" applyAlignment="1" applyProtection="1">
      <alignment horizontal="center"/>
      <protection hidden="1"/>
    </xf>
    <xf numFmtId="0" fontId="0" fillId="0" borderId="79" xfId="0" applyBorder="1" applyAlignment="1">
      <alignment horizontal="center"/>
    </xf>
    <xf numFmtId="0" fontId="16" fillId="26" borderId="26" xfId="0" applyFont="1" applyFill="1" applyBorder="1" applyAlignment="1" applyProtection="1">
      <alignment horizontal="center" vertical="center"/>
      <protection locked="0"/>
    </xf>
    <xf numFmtId="0" fontId="16" fillId="22" borderId="26" xfId="0" applyFont="1" applyFill="1" applyBorder="1" applyAlignment="1" applyProtection="1">
      <alignment horizontal="center" vertical="center"/>
      <protection locked="0"/>
    </xf>
    <xf numFmtId="0" fontId="16" fillId="22" borderId="55" xfId="0" applyFont="1" applyFill="1" applyBorder="1" applyAlignment="1" applyProtection="1">
      <alignment horizontal="center" vertical="center"/>
      <protection locked="0"/>
    </xf>
    <xf numFmtId="166" fontId="1" fillId="26" borderId="40" xfId="0" applyNumberFormat="1" applyFont="1" applyFill="1" applyBorder="1" applyAlignment="1" applyProtection="1">
      <alignment horizontal="center" vertical="center"/>
      <protection locked="0"/>
    </xf>
    <xf numFmtId="166" fontId="1" fillId="22" borderId="26" xfId="0" applyNumberFormat="1" applyFont="1" applyFill="1" applyBorder="1" applyAlignment="1" applyProtection="1">
      <alignment horizontal="center" vertical="center"/>
      <protection locked="0"/>
    </xf>
    <xf numFmtId="166" fontId="1" fillId="22" borderId="55" xfId="0" applyNumberFormat="1" applyFont="1" applyFill="1" applyBorder="1" applyAlignment="1" applyProtection="1">
      <alignment horizontal="center" vertical="center"/>
      <protection locked="0"/>
    </xf>
    <xf numFmtId="0" fontId="5" fillId="3" borderId="74" xfId="0" applyFont="1" applyFill="1" applyBorder="1" applyAlignment="1" applyProtection="1">
      <alignment horizontal="center"/>
      <protection hidden="1"/>
    </xf>
    <xf numFmtId="0" fontId="0" fillId="0" borderId="17" xfId="0" applyBorder="1" applyAlignment="1"/>
    <xf numFmtId="0" fontId="0" fillId="0" borderId="33" xfId="0" applyBorder="1" applyAlignment="1"/>
    <xf numFmtId="0" fontId="0" fillId="0" borderId="113" xfId="0" applyBorder="1" applyAlignment="1"/>
    <xf numFmtId="0" fontId="0" fillId="0" borderId="79" xfId="0" applyBorder="1" applyAlignment="1"/>
    <xf numFmtId="0" fontId="8" fillId="3" borderId="31" xfId="0" applyFont="1" applyFill="1" applyBorder="1" applyAlignment="1" applyProtection="1">
      <alignment horizontal="center" vertical="center" wrapText="1"/>
      <protection hidden="1"/>
    </xf>
    <xf numFmtId="0" fontId="0" fillId="0" borderId="9" xfId="0" applyBorder="1" applyAlignment="1">
      <alignment vertical="center"/>
    </xf>
    <xf numFmtId="0" fontId="0" fillId="0" borderId="15" xfId="0" applyBorder="1" applyAlignment="1">
      <alignment vertical="center"/>
    </xf>
    <xf numFmtId="0" fontId="0" fillId="0" borderId="3" xfId="0" applyBorder="1" applyAlignment="1">
      <alignment vertical="center"/>
    </xf>
    <xf numFmtId="0" fontId="0" fillId="0" borderId="25" xfId="0" applyBorder="1" applyAlignment="1">
      <alignment vertical="center"/>
    </xf>
    <xf numFmtId="0" fontId="0" fillId="0" borderId="10" xfId="0" applyBorder="1" applyAlignment="1">
      <alignment vertical="center"/>
    </xf>
    <xf numFmtId="0" fontId="0" fillId="0" borderId="1" xfId="0" applyBorder="1" applyAlignment="1">
      <alignment vertical="center"/>
    </xf>
    <xf numFmtId="0" fontId="0" fillId="0" borderId="12" xfId="0" applyBorder="1" applyAlignment="1">
      <alignment vertical="center"/>
    </xf>
    <xf numFmtId="166" fontId="1" fillId="32" borderId="72" xfId="0" applyNumberFormat="1" applyFont="1" applyFill="1" applyBorder="1" applyAlignment="1" applyProtection="1">
      <alignment horizontal="center"/>
      <protection hidden="1"/>
    </xf>
    <xf numFmtId="166" fontId="1" fillId="32" borderId="5" xfId="0" applyNumberFormat="1" applyFont="1" applyFill="1" applyBorder="1" applyAlignment="1" applyProtection="1">
      <alignment horizontal="center"/>
      <protection hidden="1"/>
    </xf>
    <xf numFmtId="0" fontId="8" fillId="26" borderId="9" xfId="0" applyFont="1" applyFill="1" applyBorder="1" applyAlignment="1" applyProtection="1">
      <alignment horizontal="center" vertical="center" wrapText="1"/>
      <protection locked="0"/>
    </xf>
    <xf numFmtId="0" fontId="3" fillId="22" borderId="9" xfId="0" applyFont="1" applyFill="1" applyBorder="1" applyAlignment="1" applyProtection="1">
      <alignment horizontal="center" vertical="center" wrapText="1"/>
      <protection locked="0"/>
    </xf>
    <xf numFmtId="0" fontId="3" fillId="22" borderId="15" xfId="0" applyFont="1" applyFill="1" applyBorder="1" applyAlignment="1" applyProtection="1">
      <alignment horizontal="center" vertical="center" wrapText="1"/>
      <protection locked="0"/>
    </xf>
    <xf numFmtId="0" fontId="3" fillId="22" borderId="1" xfId="0" applyFont="1" applyFill="1" applyBorder="1" applyAlignment="1" applyProtection="1">
      <alignment horizontal="center" vertical="center" wrapText="1"/>
      <protection locked="0"/>
    </xf>
    <xf numFmtId="0" fontId="3" fillId="22" borderId="12" xfId="0" applyFont="1" applyFill="1" applyBorder="1" applyAlignment="1" applyProtection="1">
      <alignment horizontal="center" vertical="center" wrapText="1"/>
      <protection locked="0"/>
    </xf>
    <xf numFmtId="0" fontId="8" fillId="26" borderId="108" xfId="0" applyFont="1" applyFill="1" applyBorder="1" applyAlignment="1" applyProtection="1">
      <alignment horizontal="left"/>
      <protection locked="0"/>
    </xf>
    <xf numFmtId="0" fontId="8" fillId="26" borderId="105" xfId="0" applyFont="1" applyFill="1" applyBorder="1" applyAlignment="1" applyProtection="1">
      <alignment horizontal="left"/>
      <protection locked="0"/>
    </xf>
    <xf numFmtId="0" fontId="3" fillId="22" borderId="105" xfId="0" applyFont="1" applyFill="1" applyBorder="1" applyAlignment="1" applyProtection="1">
      <alignment horizontal="left"/>
      <protection locked="0"/>
    </xf>
    <xf numFmtId="0" fontId="3" fillId="22" borderId="106" xfId="0" applyFont="1" applyFill="1" applyBorder="1" applyAlignment="1" applyProtection="1">
      <alignment horizontal="left"/>
      <protection locked="0"/>
    </xf>
    <xf numFmtId="49" fontId="3" fillId="26" borderId="31" xfId="0" applyNumberFormat="1" applyFont="1" applyFill="1" applyBorder="1" applyAlignment="1" applyProtection="1">
      <alignment horizontal="center" vertical="center" wrapText="1"/>
      <protection locked="0"/>
    </xf>
    <xf numFmtId="49" fontId="3" fillId="22" borderId="9" xfId="0" applyNumberFormat="1" applyFont="1" applyFill="1" applyBorder="1" applyAlignment="1" applyProtection="1">
      <alignment horizontal="center" vertical="center" wrapText="1"/>
      <protection locked="0"/>
    </xf>
    <xf numFmtId="49" fontId="3" fillId="22" borderId="15" xfId="0" applyNumberFormat="1" applyFont="1" applyFill="1" applyBorder="1" applyAlignment="1" applyProtection="1">
      <alignment horizontal="center" vertical="center" wrapText="1"/>
      <protection locked="0"/>
    </xf>
    <xf numFmtId="49" fontId="3" fillId="22" borderId="10" xfId="0" applyNumberFormat="1" applyFont="1" applyFill="1" applyBorder="1" applyAlignment="1" applyProtection="1">
      <alignment horizontal="center" vertical="center" wrapText="1"/>
      <protection locked="0"/>
    </xf>
    <xf numFmtId="49" fontId="3" fillId="22" borderId="1" xfId="0" applyNumberFormat="1" applyFont="1" applyFill="1" applyBorder="1" applyAlignment="1" applyProtection="1">
      <alignment horizontal="center" vertical="center" wrapText="1"/>
      <protection locked="0"/>
    </xf>
    <xf numFmtId="49" fontId="3" fillId="22" borderId="12" xfId="0" applyNumberFormat="1" applyFont="1" applyFill="1" applyBorder="1" applyAlignment="1" applyProtection="1">
      <alignment horizontal="center" vertical="center" wrapText="1"/>
      <protection locked="0"/>
    </xf>
    <xf numFmtId="3" fontId="3" fillId="26" borderId="31" xfId="0" applyNumberFormat="1" applyFont="1" applyFill="1" applyBorder="1" applyAlignment="1" applyProtection="1">
      <alignment horizontal="center" wrapText="1"/>
      <protection locked="0"/>
    </xf>
    <xf numFmtId="3" fontId="3" fillId="22" borderId="10" xfId="0" applyNumberFormat="1" applyFont="1" applyFill="1" applyBorder="1" applyAlignment="1" applyProtection="1">
      <alignment horizontal="center" wrapText="1"/>
      <protection locked="0"/>
    </xf>
    <xf numFmtId="0" fontId="10" fillId="2" borderId="24" xfId="0" applyFont="1" applyFill="1" applyBorder="1" applyAlignment="1" applyProtection="1">
      <alignment horizontal="center"/>
    </xf>
    <xf numFmtId="0" fontId="10" fillId="2" borderId="8" xfId="0" applyFont="1" applyFill="1" applyBorder="1" applyAlignment="1" applyProtection="1">
      <alignment horizontal="center"/>
    </xf>
    <xf numFmtId="0" fontId="0" fillId="0" borderId="20" xfId="0" applyBorder="1" applyAlignment="1">
      <alignment horizontal="center"/>
    </xf>
    <xf numFmtId="0" fontId="230" fillId="3" borderId="38" xfId="0" applyFont="1" applyFill="1" applyBorder="1" applyAlignment="1" applyProtection="1">
      <alignment horizontal="center" vertical="center"/>
      <protection hidden="1"/>
    </xf>
    <xf numFmtId="0" fontId="230" fillId="3" borderId="39" xfId="0" applyFont="1" applyFill="1" applyBorder="1" applyAlignment="1" applyProtection="1">
      <alignment horizontal="center" vertical="center"/>
      <protection hidden="1"/>
    </xf>
    <xf numFmtId="0" fontId="21" fillId="3" borderId="22" xfId="0" applyFont="1" applyFill="1" applyBorder="1" applyAlignment="1" applyProtection="1">
      <alignment horizontal="center" vertical="top"/>
      <protection hidden="1"/>
    </xf>
    <xf numFmtId="0" fontId="21" fillId="3" borderId="5" xfId="0" applyFont="1" applyFill="1" applyBorder="1" applyAlignment="1" applyProtection="1">
      <alignment horizontal="center" vertical="top"/>
      <protection hidden="1"/>
    </xf>
    <xf numFmtId="0" fontId="86" fillId="3" borderId="8" xfId="0" applyFont="1" applyFill="1" applyBorder="1" applyAlignment="1" applyProtection="1">
      <alignment horizontal="left" vertical="center"/>
      <protection hidden="1"/>
    </xf>
    <xf numFmtId="0" fontId="191" fillId="0" borderId="8" xfId="0" applyFont="1" applyBorder="1" applyAlignment="1"/>
    <xf numFmtId="0" fontId="191" fillId="0" borderId="5" xfId="0" applyFont="1" applyBorder="1" applyAlignment="1"/>
    <xf numFmtId="0" fontId="8" fillId="3" borderId="9" xfId="0" applyFont="1" applyFill="1" applyBorder="1" applyAlignment="1" applyProtection="1">
      <alignment horizontal="left" wrapText="1"/>
      <protection locked="0"/>
    </xf>
    <xf numFmtId="0" fontId="0" fillId="0" borderId="9" xfId="0" applyBorder="1" applyAlignment="1" applyProtection="1">
      <alignment horizontal="left" wrapText="1"/>
      <protection locked="0"/>
    </xf>
    <xf numFmtId="0" fontId="0" fillId="0" borderId="15"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12" xfId="0" applyBorder="1" applyAlignment="1" applyProtection="1">
      <alignment horizontal="left" wrapText="1"/>
      <protection locked="0"/>
    </xf>
    <xf numFmtId="0" fontId="8" fillId="3" borderId="108" xfId="0" applyFont="1" applyFill="1" applyBorder="1" applyAlignment="1" applyProtection="1">
      <alignment horizontal="left"/>
      <protection locked="0"/>
    </xf>
    <xf numFmtId="0" fontId="8" fillId="3" borderId="105" xfId="0" applyFont="1" applyFill="1" applyBorder="1" applyAlignment="1" applyProtection="1">
      <alignment horizontal="left"/>
      <protection locked="0"/>
    </xf>
    <xf numFmtId="0" fontId="0" fillId="0" borderId="105" xfId="0" applyBorder="1" applyAlignment="1" applyProtection="1">
      <alignment horizontal="left"/>
      <protection locked="0"/>
    </xf>
    <xf numFmtId="0" fontId="0" fillId="0" borderId="106" xfId="0" applyBorder="1" applyAlignment="1" applyProtection="1">
      <alignment horizontal="left"/>
      <protection locked="0"/>
    </xf>
    <xf numFmtId="49" fontId="3" fillId="3" borderId="31" xfId="0" applyNumberFormat="1" applyFont="1" applyFill="1" applyBorder="1" applyAlignment="1" applyProtection="1">
      <alignment horizontal="center" vertical="center" wrapText="1"/>
      <protection locked="0"/>
    </xf>
    <xf numFmtId="49" fontId="3" fillId="0" borderId="9" xfId="0" applyNumberFormat="1" applyFont="1" applyBorder="1" applyAlignment="1" applyProtection="1">
      <alignment horizontal="center" vertical="center" wrapText="1"/>
      <protection locked="0"/>
    </xf>
    <xf numFmtId="49" fontId="3" fillId="0" borderId="15" xfId="0" applyNumberFormat="1" applyFont="1" applyBorder="1" applyAlignment="1" applyProtection="1">
      <alignment horizontal="center" vertical="center" wrapText="1"/>
      <protection locked="0"/>
    </xf>
    <xf numFmtId="49" fontId="3" fillId="0" borderId="10"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center" vertical="center" wrapText="1"/>
      <protection locked="0"/>
    </xf>
    <xf numFmtId="49" fontId="3" fillId="0" borderId="12" xfId="0" applyNumberFormat="1" applyFont="1" applyBorder="1" applyAlignment="1" applyProtection="1">
      <alignment horizontal="center" vertical="center" wrapText="1"/>
      <protection locked="0"/>
    </xf>
    <xf numFmtId="0" fontId="8" fillId="3" borderId="110" xfId="0" applyFont="1" applyFill="1" applyBorder="1" applyAlignment="1" applyProtection="1">
      <alignment horizontal="left"/>
      <protection locked="0"/>
    </xf>
    <xf numFmtId="0" fontId="8" fillId="3" borderId="100" xfId="0" applyFont="1" applyFill="1" applyBorder="1" applyAlignment="1" applyProtection="1">
      <alignment horizontal="left"/>
      <protection locked="0"/>
    </xf>
    <xf numFmtId="0" fontId="0" fillId="0" borderId="100" xfId="0" applyBorder="1" applyAlignment="1" applyProtection="1">
      <alignment horizontal="left"/>
      <protection locked="0"/>
    </xf>
    <xf numFmtId="0" fontId="0" fillId="0" borderId="101" xfId="0" applyBorder="1" applyAlignment="1" applyProtection="1">
      <alignment horizontal="left"/>
      <protection locked="0"/>
    </xf>
    <xf numFmtId="0" fontId="5" fillId="3" borderId="26" xfId="0" applyFont="1" applyFill="1" applyBorder="1" applyAlignment="1" applyProtection="1">
      <alignment horizontal="center"/>
      <protection locked="0"/>
    </xf>
    <xf numFmtId="0" fontId="5" fillId="0" borderId="26" xfId="0" applyFont="1" applyBorder="1" applyAlignment="1" applyProtection="1">
      <alignment horizontal="center"/>
      <protection locked="0"/>
    </xf>
    <xf numFmtId="0" fontId="5" fillId="0" borderId="55" xfId="0" applyFont="1" applyBorder="1" applyAlignment="1" applyProtection="1">
      <alignment horizontal="center"/>
      <protection locked="0"/>
    </xf>
    <xf numFmtId="0" fontId="5" fillId="3" borderId="40" xfId="0" applyFont="1" applyFill="1" applyBorder="1" applyAlignment="1" applyProtection="1">
      <alignment horizontal="center"/>
      <protection locked="0"/>
    </xf>
    <xf numFmtId="166" fontId="5" fillId="3" borderId="40" xfId="0" applyNumberFormat="1" applyFont="1" applyFill="1" applyBorder="1" applyAlignment="1" applyProtection="1">
      <alignment horizontal="center"/>
      <protection locked="0"/>
    </xf>
    <xf numFmtId="166" fontId="5" fillId="0" borderId="26" xfId="0" applyNumberFormat="1" applyFont="1" applyBorder="1" applyAlignment="1" applyProtection="1">
      <alignment horizontal="center"/>
      <protection locked="0"/>
    </xf>
    <xf numFmtId="166" fontId="5" fillId="0" borderId="55" xfId="0" applyNumberFormat="1" applyFont="1" applyBorder="1" applyAlignment="1" applyProtection="1">
      <alignment horizontal="center"/>
      <protection locked="0"/>
    </xf>
    <xf numFmtId="0" fontId="86" fillId="20" borderId="0" xfId="0" applyFont="1" applyFill="1" applyBorder="1" applyAlignment="1" applyProtection="1">
      <alignment horizontal="center" vertical="center"/>
      <protection hidden="1"/>
    </xf>
    <xf numFmtId="0" fontId="0" fillId="21" borderId="0" xfId="0" applyFill="1" applyBorder="1" applyAlignment="1">
      <alignment horizontal="center" vertical="center"/>
    </xf>
    <xf numFmtId="0" fontId="0" fillId="21" borderId="21" xfId="0" applyFill="1" applyBorder="1" applyAlignment="1">
      <alignment horizontal="center" vertical="center"/>
    </xf>
    <xf numFmtId="0" fontId="156" fillId="3" borderId="88" xfId="0" applyFont="1" applyFill="1" applyBorder="1" applyAlignment="1" applyProtection="1">
      <alignment horizontal="center"/>
      <protection hidden="1"/>
    </xf>
    <xf numFmtId="0" fontId="207" fillId="0" borderId="6" xfId="0" applyFont="1" applyBorder="1" applyAlignment="1">
      <alignment horizontal="center"/>
    </xf>
    <xf numFmtId="0" fontId="5" fillId="3" borderId="0" xfId="0" applyFont="1" applyFill="1" applyBorder="1" applyAlignment="1" applyProtection="1">
      <alignment horizontal="center" vertical="center"/>
      <protection hidden="1"/>
    </xf>
    <xf numFmtId="0" fontId="231" fillId="14" borderId="64" xfId="5" applyFill="1" applyBorder="1" applyAlignment="1" applyProtection="1">
      <alignment horizontal="center"/>
    </xf>
    <xf numFmtId="0" fontId="231" fillId="14" borderId="65" xfId="5" applyFill="1" applyBorder="1" applyAlignment="1" applyProtection="1">
      <alignment horizontal="center"/>
    </xf>
    <xf numFmtId="0" fontId="231" fillId="14" borderId="66" xfId="5" applyFill="1" applyBorder="1" applyAlignment="1" applyProtection="1">
      <alignment horizontal="center"/>
    </xf>
    <xf numFmtId="0" fontId="3" fillId="21" borderId="31" xfId="0" applyFont="1" applyFill="1" applyBorder="1" applyAlignment="1">
      <alignment vertical="top" wrapText="1"/>
    </xf>
    <xf numFmtId="0" fontId="0" fillId="0" borderId="9" xfId="0" applyBorder="1" applyAlignment="1">
      <alignment vertical="top" wrapText="1"/>
    </xf>
    <xf numFmtId="0" fontId="0" fillId="0" borderId="15" xfId="0" applyBorder="1" applyAlignment="1">
      <alignment vertical="top" wrapText="1"/>
    </xf>
    <xf numFmtId="0" fontId="0" fillId="0" borderId="3" xfId="0" applyBorder="1" applyAlignment="1">
      <alignment vertical="top" wrapText="1"/>
    </xf>
    <xf numFmtId="0" fontId="0" fillId="0" borderId="25" xfId="0" applyBorder="1" applyAlignment="1">
      <alignment vertical="top" wrapText="1"/>
    </xf>
    <xf numFmtId="0" fontId="0" fillId="0" borderId="10" xfId="0" applyBorder="1" applyAlignment="1">
      <alignment vertical="top" wrapText="1"/>
    </xf>
    <xf numFmtId="0" fontId="0" fillId="0" borderId="1" xfId="0" applyBorder="1" applyAlignment="1">
      <alignment vertical="top" wrapText="1"/>
    </xf>
    <xf numFmtId="0" fontId="0" fillId="0" borderId="12" xfId="0" applyBorder="1" applyAlignment="1">
      <alignment vertical="top" wrapText="1"/>
    </xf>
    <xf numFmtId="0" fontId="101" fillId="3" borderId="6" xfId="0" applyFont="1" applyFill="1" applyBorder="1" applyAlignment="1" applyProtection="1">
      <alignment horizontal="center" vertical="center"/>
      <protection hidden="1"/>
    </xf>
    <xf numFmtId="0" fontId="48" fillId="3" borderId="6" xfId="0" applyFont="1" applyFill="1" applyBorder="1" applyAlignment="1" applyProtection="1">
      <alignment horizontal="center" vertical="center"/>
      <protection hidden="1"/>
    </xf>
    <xf numFmtId="0" fontId="65" fillId="3" borderId="22" xfId="0" applyFont="1" applyFill="1" applyBorder="1" applyAlignment="1" applyProtection="1">
      <alignment horizontal="center" vertical="center"/>
      <protection hidden="1"/>
    </xf>
    <xf numFmtId="0" fontId="5" fillId="0" borderId="5" xfId="0" applyFont="1" applyBorder="1" applyAlignment="1"/>
    <xf numFmtId="0" fontId="0" fillId="21" borderId="0" xfId="0" applyFill="1" applyAlignment="1"/>
    <xf numFmtId="0" fontId="0" fillId="21" borderId="21" xfId="0" applyFill="1" applyBorder="1" applyAlignment="1"/>
    <xf numFmtId="0" fontId="0" fillId="21" borderId="5" xfId="0" applyFill="1" applyBorder="1" applyAlignment="1"/>
    <xf numFmtId="0" fontId="0" fillId="21" borderId="23" xfId="0" applyFill="1" applyBorder="1" applyAlignment="1"/>
    <xf numFmtId="0" fontId="67" fillId="3" borderId="0" xfId="0" applyFont="1" applyFill="1" applyBorder="1" applyAlignment="1" applyProtection="1">
      <alignment horizontal="right"/>
      <protection hidden="1"/>
    </xf>
    <xf numFmtId="0" fontId="167" fillId="0" borderId="0" xfId="0" applyFont="1" applyFill="1" applyBorder="1" applyAlignment="1" applyProtection="1">
      <alignment horizontal="left" vertical="top" wrapText="1"/>
      <protection hidden="1"/>
    </xf>
    <xf numFmtId="0" fontId="227" fillId="32" borderId="5" xfId="0" quotePrefix="1" applyFont="1" applyFill="1" applyBorder="1" applyAlignment="1" applyProtection="1">
      <protection hidden="1"/>
    </xf>
    <xf numFmtId="0" fontId="0" fillId="33" borderId="5" xfId="0" applyFill="1" applyBorder="1" applyAlignment="1" applyProtection="1">
      <protection hidden="1"/>
    </xf>
    <xf numFmtId="0" fontId="0" fillId="33" borderId="73" xfId="0" applyFill="1" applyBorder="1" applyAlignment="1" applyProtection="1">
      <protection hidden="1"/>
    </xf>
    <xf numFmtId="0" fontId="5" fillId="2" borderId="0" xfId="0" applyFont="1" applyFill="1" applyBorder="1" applyAlignment="1" applyProtection="1">
      <alignment vertical="center"/>
      <protection hidden="1"/>
    </xf>
    <xf numFmtId="0" fontId="184" fillId="2" borderId="22" xfId="0" applyFont="1" applyFill="1" applyBorder="1" applyAlignment="1" applyProtection="1">
      <alignment horizontal="center"/>
      <protection hidden="1"/>
    </xf>
    <xf numFmtId="0" fontId="184" fillId="2" borderId="5" xfId="0" applyFont="1" applyFill="1" applyBorder="1" applyAlignment="1" applyProtection="1">
      <alignment horizontal="center"/>
      <protection hidden="1"/>
    </xf>
    <xf numFmtId="0" fontId="184" fillId="2" borderId="23" xfId="0" applyFont="1" applyFill="1" applyBorder="1" applyAlignment="1" applyProtection="1">
      <alignment horizontal="center"/>
      <protection hidden="1"/>
    </xf>
    <xf numFmtId="0" fontId="42" fillId="2" borderId="24" xfId="0" applyFont="1" applyFill="1" applyBorder="1" applyAlignment="1" applyProtection="1">
      <alignment horizontal="left"/>
      <protection hidden="1"/>
    </xf>
    <xf numFmtId="0" fontId="42" fillId="2" borderId="8" xfId="0" applyFont="1" applyFill="1" applyBorder="1" applyAlignment="1" applyProtection="1">
      <alignment horizontal="left"/>
      <protection hidden="1"/>
    </xf>
    <xf numFmtId="0" fontId="42" fillId="2" borderId="20" xfId="0" applyFont="1" applyFill="1" applyBorder="1" applyAlignment="1" applyProtection="1">
      <alignment horizontal="left"/>
      <protection hidden="1"/>
    </xf>
    <xf numFmtId="0" fontId="42" fillId="2" borderId="6" xfId="0" applyFont="1" applyFill="1" applyBorder="1" applyAlignment="1" applyProtection="1">
      <alignment horizontal="left"/>
      <protection hidden="1"/>
    </xf>
    <xf numFmtId="0" fontId="42" fillId="2" borderId="0" xfId="0" applyFont="1" applyFill="1" applyBorder="1" applyAlignment="1" applyProtection="1">
      <alignment horizontal="left"/>
      <protection hidden="1"/>
    </xf>
    <xf numFmtId="0" fontId="42" fillId="2" borderId="21" xfId="0" applyFont="1" applyFill="1" applyBorder="1" applyAlignment="1" applyProtection="1">
      <alignment horizontal="left"/>
      <protection hidden="1"/>
    </xf>
    <xf numFmtId="0" fontId="68" fillId="3" borderId="0" xfId="0" applyFont="1" applyFill="1" applyBorder="1" applyAlignment="1" applyProtection="1">
      <alignment horizontal="left" vertical="center"/>
      <protection hidden="1"/>
    </xf>
    <xf numFmtId="0" fontId="112" fillId="0" borderId="21" xfId="0" applyFont="1" applyBorder="1" applyAlignment="1">
      <alignment horizontal="left" vertical="center"/>
    </xf>
    <xf numFmtId="0" fontId="112" fillId="0" borderId="0" xfId="0" applyFont="1" applyAlignment="1">
      <alignment vertical="center"/>
    </xf>
    <xf numFmtId="0" fontId="112" fillId="0" borderId="21" xfId="0" applyFont="1" applyBorder="1" applyAlignment="1">
      <alignment vertical="center"/>
    </xf>
    <xf numFmtId="0" fontId="10" fillId="34" borderId="1" xfId="0" quotePrefix="1" applyFont="1" applyFill="1" applyBorder="1" applyAlignment="1" applyProtection="1">
      <protection hidden="1"/>
    </xf>
    <xf numFmtId="0" fontId="0" fillId="31" borderId="1" xfId="0" applyFill="1" applyBorder="1" applyAlignment="1" applyProtection="1">
      <protection hidden="1"/>
    </xf>
    <xf numFmtId="0" fontId="0" fillId="31" borderId="12" xfId="0" applyFill="1" applyBorder="1" applyAlignment="1" applyProtection="1">
      <protection hidden="1"/>
    </xf>
    <xf numFmtId="0" fontId="78" fillId="14" borderId="64" xfId="2" applyFill="1" applyBorder="1" applyAlignment="1" applyProtection="1">
      <alignment horizontal="center"/>
      <protection hidden="1"/>
    </xf>
    <xf numFmtId="0" fontId="78" fillId="14" borderId="65" xfId="2" applyFill="1" applyBorder="1" applyAlignment="1" applyProtection="1">
      <alignment horizontal="center"/>
      <protection hidden="1"/>
    </xf>
    <xf numFmtId="0" fontId="78" fillId="14" borderId="66" xfId="2" applyFill="1" applyBorder="1" applyAlignment="1" applyProtection="1">
      <alignment horizontal="center"/>
      <protection hidden="1"/>
    </xf>
    <xf numFmtId="4" fontId="8" fillId="3" borderId="22" xfId="0" applyNumberFormat="1" applyFont="1" applyFill="1" applyBorder="1" applyAlignment="1" applyProtection="1">
      <alignment horizontal="center" vertical="center"/>
      <protection hidden="1"/>
    </xf>
    <xf numFmtId="0" fontId="0" fillId="0" borderId="5" xfId="0" applyBorder="1" applyAlignment="1" applyProtection="1">
      <alignment horizontal="center" vertical="center"/>
      <protection hidden="1"/>
    </xf>
    <xf numFmtId="0" fontId="0" fillId="0" borderId="1" xfId="0" applyBorder="1" applyAlignment="1" applyProtection="1">
      <alignment horizontal="center"/>
      <protection hidden="1"/>
    </xf>
    <xf numFmtId="0" fontId="112" fillId="0" borderId="9" xfId="0" applyFont="1" applyBorder="1" applyAlignment="1" applyProtection="1">
      <alignment horizontal="center"/>
      <protection hidden="1"/>
    </xf>
    <xf numFmtId="0" fontId="112" fillId="0" borderId="6" xfId="0" applyFont="1" applyBorder="1" applyAlignment="1" applyProtection="1">
      <alignment horizontal="center"/>
      <protection hidden="1"/>
    </xf>
    <xf numFmtId="0" fontId="112" fillId="0" borderId="0" xfId="0" applyFont="1" applyAlignment="1" applyProtection="1">
      <alignment horizontal="center"/>
      <protection hidden="1"/>
    </xf>
    <xf numFmtId="0" fontId="13" fillId="3" borderId="26" xfId="0" applyFont="1" applyFill="1" applyBorder="1" applyAlignment="1" applyProtection="1">
      <protection hidden="1"/>
    </xf>
    <xf numFmtId="0" fontId="14" fillId="0" borderId="26" xfId="0" applyFont="1" applyBorder="1" applyAlignment="1" applyProtection="1">
      <protection hidden="1"/>
    </xf>
    <xf numFmtId="0" fontId="8" fillId="3" borderId="6" xfId="0" applyFont="1" applyFill="1" applyBorder="1" applyAlignment="1" applyProtection="1">
      <alignment horizontal="left"/>
      <protection hidden="1"/>
    </xf>
    <xf numFmtId="0" fontId="6" fillId="3" borderId="22" xfId="0" applyFont="1" applyFill="1" applyBorder="1" applyAlignment="1" applyProtection="1">
      <alignment horizontal="center" vertical="center"/>
      <protection hidden="1"/>
    </xf>
    <xf numFmtId="0" fontId="9" fillId="0" borderId="5" xfId="0" applyFont="1" applyBorder="1" applyAlignment="1" applyProtection="1">
      <alignment horizontal="center" vertical="center"/>
      <protection hidden="1"/>
    </xf>
    <xf numFmtId="0" fontId="9" fillId="0" borderId="23" xfId="0" applyFont="1" applyBorder="1" applyAlignment="1" applyProtection="1">
      <alignment horizontal="center" vertical="center"/>
      <protection hidden="1"/>
    </xf>
    <xf numFmtId="0" fontId="48" fillId="3" borderId="6" xfId="0" applyFont="1" applyFill="1" applyBorder="1" applyAlignment="1" applyProtection="1">
      <alignment horizontal="center" vertical="top"/>
      <protection hidden="1"/>
    </xf>
    <xf numFmtId="0" fontId="9" fillId="0" borderId="0" xfId="0" applyFont="1" applyAlignment="1" applyProtection="1">
      <alignment horizontal="center" vertical="top"/>
      <protection hidden="1"/>
    </xf>
    <xf numFmtId="0" fontId="9" fillId="0" borderId="21" xfId="0" applyFont="1" applyBorder="1" applyAlignment="1" applyProtection="1">
      <alignment horizontal="center" vertical="top"/>
      <protection hidden="1"/>
    </xf>
    <xf numFmtId="0" fontId="1" fillId="21" borderId="24" xfId="0" applyFont="1" applyFill="1" applyBorder="1" applyAlignment="1" applyProtection="1">
      <alignment horizontal="left" vertical="center" wrapText="1"/>
      <protection hidden="1"/>
    </xf>
    <xf numFmtId="0" fontId="0" fillId="0" borderId="8" xfId="0" applyBorder="1" applyAlignment="1">
      <alignment horizontal="left" vertical="center" wrapText="1"/>
    </xf>
    <xf numFmtId="0" fontId="0" fillId="0" borderId="6" xfId="0" applyBorder="1" applyAlignment="1">
      <alignment horizontal="left" vertical="center" wrapText="1"/>
    </xf>
    <xf numFmtId="0" fontId="0" fillId="0" borderId="0" xfId="0" applyAlignment="1">
      <alignment horizontal="left" vertical="center" wrapText="1"/>
    </xf>
    <xf numFmtId="0" fontId="0" fillId="0" borderId="22" xfId="0" applyBorder="1" applyAlignment="1">
      <alignment horizontal="left" vertical="center" wrapText="1"/>
    </xf>
    <xf numFmtId="0" fontId="0" fillId="0" borderId="5" xfId="0" applyBorder="1" applyAlignment="1">
      <alignment horizontal="left" vertical="center" wrapText="1"/>
    </xf>
    <xf numFmtId="0" fontId="21" fillId="3" borderId="0" xfId="0" applyFont="1" applyFill="1" applyBorder="1" applyAlignment="1" applyProtection="1">
      <alignment horizontal="center"/>
      <protection hidden="1"/>
    </xf>
    <xf numFmtId="0" fontId="0" fillId="0" borderId="0" xfId="0" applyAlignment="1" applyProtection="1">
      <alignment horizontal="center"/>
      <protection hidden="1"/>
    </xf>
    <xf numFmtId="0" fontId="0" fillId="0" borderId="21" xfId="0" applyBorder="1" applyAlignment="1" applyProtection="1">
      <alignment horizontal="center"/>
      <protection hidden="1"/>
    </xf>
    <xf numFmtId="0" fontId="14" fillId="31" borderId="1" xfId="0" applyFont="1" applyFill="1" applyBorder="1" applyAlignment="1" applyProtection="1">
      <protection hidden="1"/>
    </xf>
    <xf numFmtId="0" fontId="13" fillId="3" borderId="26" xfId="0" applyFont="1" applyFill="1" applyBorder="1" applyAlignment="1" applyProtection="1">
      <alignment vertical="center"/>
      <protection hidden="1"/>
    </xf>
    <xf numFmtId="0" fontId="14" fillId="0" borderId="26" xfId="0" applyFont="1" applyBorder="1" applyAlignment="1" applyProtection="1">
      <alignment vertical="center"/>
      <protection hidden="1"/>
    </xf>
    <xf numFmtId="4" fontId="11" fillId="3" borderId="3" xfId="0" applyNumberFormat="1" applyFont="1" applyFill="1" applyBorder="1" applyAlignment="1" applyProtection="1">
      <alignment horizontal="center"/>
      <protection hidden="1"/>
    </xf>
    <xf numFmtId="0" fontId="8" fillId="3" borderId="0" xfId="0" applyFont="1" applyFill="1" applyBorder="1" applyAlignment="1" applyProtection="1">
      <alignment horizontal="left" vertical="center"/>
      <protection hidden="1"/>
    </xf>
    <xf numFmtId="0" fontId="0" fillId="0" borderId="0" xfId="0" applyBorder="1" applyAlignment="1" applyProtection="1">
      <alignment horizontal="left" vertical="center"/>
      <protection hidden="1"/>
    </xf>
    <xf numFmtId="0" fontId="0" fillId="0" borderId="21" xfId="0" applyBorder="1" applyAlignment="1">
      <alignment horizontal="left" vertical="center"/>
    </xf>
    <xf numFmtId="0" fontId="8" fillId="3" borderId="5" xfId="0" applyFont="1" applyFill="1" applyBorder="1" applyAlignment="1" applyProtection="1">
      <alignment horizontal="left" vertical="center"/>
      <protection hidden="1"/>
    </xf>
    <xf numFmtId="0" fontId="0" fillId="0" borderId="5" xfId="0" applyBorder="1" applyAlignment="1" applyProtection="1">
      <alignment horizontal="left" vertical="center"/>
      <protection hidden="1"/>
    </xf>
    <xf numFmtId="0" fontId="0" fillId="0" borderId="23" xfId="0" applyBorder="1" applyAlignment="1">
      <alignment horizontal="left" vertical="center"/>
    </xf>
    <xf numFmtId="37" fontId="6" fillId="22" borderId="40" xfId="0" applyNumberFormat="1" applyFont="1" applyFill="1" applyBorder="1" applyAlignment="1" applyProtection="1">
      <alignment horizontal="right"/>
      <protection hidden="1"/>
    </xf>
    <xf numFmtId="37" fontId="4" fillId="22" borderId="26" xfId="0" applyNumberFormat="1" applyFont="1" applyFill="1" applyBorder="1" applyAlignment="1" applyProtection="1">
      <alignment horizontal="right"/>
      <protection hidden="1"/>
    </xf>
    <xf numFmtId="37" fontId="6" fillId="22" borderId="40" xfId="0" applyNumberFormat="1" applyFont="1" applyFill="1" applyBorder="1" applyAlignment="1" applyProtection="1">
      <alignment horizontal="center"/>
      <protection locked="0"/>
    </xf>
    <xf numFmtId="0" fontId="4" fillId="0" borderId="0" xfId="0" applyFont="1" applyAlignment="1" applyProtection="1">
      <alignment horizontal="center" vertical="center"/>
      <protection hidden="1"/>
    </xf>
    <xf numFmtId="0" fontId="4" fillId="0" borderId="0" xfId="0" applyFont="1" applyAlignment="1">
      <alignment horizontal="center" vertical="center"/>
    </xf>
    <xf numFmtId="0" fontId="17" fillId="2" borderId="31" xfId="0" applyFont="1" applyFill="1" applyBorder="1" applyAlignment="1" applyProtection="1">
      <alignment horizontal="center" vertical="center" wrapText="1"/>
      <protection hidden="1"/>
    </xf>
    <xf numFmtId="0" fontId="17" fillId="2" borderId="3" xfId="0" applyFont="1" applyFill="1" applyBorder="1" applyAlignment="1" applyProtection="1">
      <alignment horizontal="center" vertical="center" wrapText="1"/>
      <protection hidden="1"/>
    </xf>
    <xf numFmtId="0" fontId="17" fillId="0" borderId="0" xfId="0" applyFont="1" applyBorder="1" applyAlignment="1">
      <alignment horizontal="center" vertical="center"/>
    </xf>
    <xf numFmtId="0" fontId="3" fillId="0" borderId="40" xfId="0" applyFont="1" applyBorder="1" applyAlignment="1" applyProtection="1">
      <alignment horizontal="center"/>
      <protection hidden="1"/>
    </xf>
    <xf numFmtId="0" fontId="0" fillId="0" borderId="55" xfId="0" applyBorder="1" applyAlignment="1">
      <alignment horizontal="center"/>
    </xf>
    <xf numFmtId="0" fontId="3" fillId="0" borderId="13" xfId="0" applyFont="1" applyBorder="1" applyAlignment="1" applyProtection="1">
      <alignment horizontal="center" textRotation="90" wrapText="1"/>
      <protection hidden="1"/>
    </xf>
    <xf numFmtId="0" fontId="3" fillId="0" borderId="13" xfId="0" applyFont="1" applyBorder="1" applyAlignment="1">
      <alignment horizontal="center" wrapText="1"/>
    </xf>
    <xf numFmtId="0" fontId="8" fillId="21" borderId="16" xfId="0" applyFont="1" applyFill="1" applyBorder="1" applyAlignment="1">
      <alignment horizontal="center" vertical="center" wrapText="1"/>
    </xf>
    <xf numFmtId="0" fontId="53" fillId="21" borderId="31" xfId="0" applyFont="1" applyFill="1" applyBorder="1" applyAlignment="1" applyProtection="1">
      <alignment horizontal="center" vertical="center" wrapText="1"/>
      <protection hidden="1"/>
    </xf>
    <xf numFmtId="0" fontId="8" fillId="21" borderId="16" xfId="0" applyFont="1" applyFill="1" applyBorder="1" applyAlignment="1" applyProtection="1">
      <alignment horizontal="center" vertical="center" wrapText="1"/>
      <protection hidden="1"/>
    </xf>
    <xf numFmtId="0" fontId="8" fillId="0" borderId="13" xfId="0" applyFont="1" applyBorder="1" applyAlignment="1" applyProtection="1">
      <alignment horizontal="center" vertical="center" wrapText="1"/>
      <protection hidden="1"/>
    </xf>
    <xf numFmtId="0" fontId="8" fillId="0" borderId="13" xfId="0" applyFont="1" applyBorder="1" applyAlignment="1">
      <alignment horizontal="center" vertical="center" wrapText="1"/>
    </xf>
    <xf numFmtId="0" fontId="17" fillId="0" borderId="13" xfId="0" applyFont="1" applyBorder="1" applyAlignment="1" applyProtection="1">
      <alignment horizontal="center" vertical="center" wrapText="1"/>
      <protection hidden="1"/>
    </xf>
    <xf numFmtId="0" fontId="17" fillId="0" borderId="13" xfId="0" applyFont="1" applyBorder="1" applyAlignment="1">
      <alignment horizontal="center" vertical="center" wrapText="1"/>
    </xf>
    <xf numFmtId="37" fontId="4" fillId="22" borderId="26" xfId="0" applyNumberFormat="1" applyFont="1" applyFill="1" applyBorder="1" applyAlignment="1" applyProtection="1">
      <alignment horizontal="right"/>
      <protection locked="0"/>
    </xf>
    <xf numFmtId="0" fontId="182" fillId="21" borderId="8" xfId="0" applyFont="1" applyFill="1" applyBorder="1" applyAlignment="1" applyProtection="1">
      <alignment horizontal="left" wrapText="1"/>
      <protection hidden="1"/>
    </xf>
    <xf numFmtId="0" fontId="182" fillId="21" borderId="8" xfId="0" applyFont="1" applyFill="1" applyBorder="1" applyAlignment="1">
      <alignment wrapText="1"/>
    </xf>
    <xf numFmtId="0" fontId="3" fillId="0" borderId="0" xfId="0" applyFont="1" applyAlignment="1">
      <alignment wrapText="1"/>
    </xf>
    <xf numFmtId="0" fontId="3" fillId="0" borderId="1" xfId="0" applyFont="1" applyBorder="1" applyAlignment="1">
      <alignment wrapText="1"/>
    </xf>
    <xf numFmtId="174" fontId="6" fillId="22" borderId="40" xfId="0" applyNumberFormat="1" applyFont="1" applyFill="1" applyBorder="1" applyAlignment="1" applyProtection="1">
      <alignment horizontal="center"/>
      <protection locked="0"/>
    </xf>
    <xf numFmtId="174" fontId="4" fillId="22" borderId="26" xfId="0" applyNumberFormat="1" applyFont="1" applyFill="1" applyBorder="1" applyAlignment="1" applyProtection="1">
      <alignment horizontal="center"/>
      <protection locked="0"/>
    </xf>
    <xf numFmtId="0" fontId="6" fillId="22" borderId="26" xfId="0" applyFont="1" applyFill="1" applyBorder="1" applyAlignment="1" applyProtection="1">
      <alignment horizontal="left" indent="1"/>
      <protection locked="0"/>
    </xf>
    <xf numFmtId="0" fontId="4" fillId="22" borderId="26" xfId="0" applyFont="1" applyFill="1" applyBorder="1" applyAlignment="1" applyProtection="1">
      <alignment horizontal="left" indent="1"/>
      <protection locked="0"/>
    </xf>
    <xf numFmtId="0" fontId="4" fillId="22" borderId="55" xfId="0" applyFont="1" applyFill="1" applyBorder="1" applyAlignment="1" applyProtection="1">
      <alignment horizontal="left" indent="1"/>
      <protection locked="0"/>
    </xf>
    <xf numFmtId="174" fontId="4" fillId="22" borderId="55" xfId="0" applyNumberFormat="1" applyFont="1" applyFill="1" applyBorder="1" applyAlignment="1" applyProtection="1">
      <alignment horizontal="center"/>
      <protection locked="0"/>
    </xf>
    <xf numFmtId="0" fontId="8" fillId="2" borderId="31" xfId="0" applyFont="1" applyFill="1" applyBorder="1" applyAlignment="1" applyProtection="1">
      <alignment horizontal="center" vertical="center" wrapText="1"/>
      <protection hidden="1"/>
    </xf>
    <xf numFmtId="0" fontId="8" fillId="0" borderId="9" xfId="0" applyFont="1" applyBorder="1" applyAlignment="1">
      <alignment horizontal="center" vertical="center"/>
    </xf>
    <xf numFmtId="0" fontId="8" fillId="0" borderId="15" xfId="0" applyFont="1" applyBorder="1" applyAlignment="1">
      <alignment horizontal="center" vertical="center"/>
    </xf>
    <xf numFmtId="0" fontId="8" fillId="2" borderId="3" xfId="0" applyFont="1" applyFill="1" applyBorder="1" applyAlignment="1" applyProtection="1">
      <alignment horizontal="center" vertical="center" wrapText="1"/>
      <protection hidden="1"/>
    </xf>
    <xf numFmtId="0" fontId="8" fillId="0" borderId="0" xfId="0" applyFont="1" applyBorder="1" applyAlignment="1">
      <alignment horizontal="center" vertical="center"/>
    </xf>
    <xf numFmtId="0" fontId="8" fillId="0" borderId="25" xfId="0" applyFont="1" applyBorder="1" applyAlignment="1">
      <alignment horizontal="center" vertical="center"/>
    </xf>
    <xf numFmtId="0" fontId="8" fillId="0" borderId="3" xfId="0" applyFont="1" applyBorder="1" applyAlignment="1">
      <alignment horizontal="center" vertical="center"/>
    </xf>
    <xf numFmtId="0" fontId="8" fillId="0" borderId="10" xfId="0" applyFont="1" applyBorder="1" applyAlignment="1">
      <alignment horizontal="center" vertical="center"/>
    </xf>
    <xf numFmtId="0" fontId="8" fillId="0" borderId="1" xfId="0" applyFont="1" applyBorder="1" applyAlignment="1">
      <alignment horizontal="center" vertical="center"/>
    </xf>
    <xf numFmtId="0" fontId="8" fillId="0" borderId="12" xfId="0" applyFont="1" applyBorder="1" applyAlignment="1">
      <alignment horizontal="center" vertical="center"/>
    </xf>
    <xf numFmtId="0" fontId="185" fillId="2" borderId="0" xfId="0" applyFont="1" applyFill="1" applyAlignment="1" applyProtection="1">
      <alignment horizontal="left"/>
      <protection hidden="1"/>
    </xf>
    <xf numFmtId="0" fontId="187" fillId="0" borderId="0" xfId="0" applyFont="1" applyAlignment="1" applyProtection="1">
      <alignment horizontal="left"/>
      <protection hidden="1"/>
    </xf>
    <xf numFmtId="0" fontId="170" fillId="5" borderId="0" xfId="0" applyFont="1" applyFill="1" applyAlignment="1" applyProtection="1">
      <alignment horizontal="right"/>
      <protection hidden="1"/>
    </xf>
    <xf numFmtId="0" fontId="170" fillId="0" borderId="0" xfId="0" applyFont="1" applyAlignment="1">
      <alignment horizontal="right"/>
    </xf>
    <xf numFmtId="0" fontId="11" fillId="2" borderId="113" xfId="0" applyFont="1" applyFill="1" applyBorder="1" applyAlignment="1" applyProtection="1">
      <alignment horizontal="center" vertical="top"/>
      <protection hidden="1"/>
    </xf>
    <xf numFmtId="0" fontId="11" fillId="0" borderId="0" xfId="0" applyFont="1" applyBorder="1" applyAlignment="1" applyProtection="1">
      <alignment horizontal="center" vertical="top"/>
      <protection hidden="1"/>
    </xf>
    <xf numFmtId="0" fontId="11" fillId="0" borderId="79" xfId="0" applyFont="1" applyBorder="1" applyAlignment="1" applyProtection="1">
      <alignment horizontal="center" vertical="top"/>
      <protection hidden="1"/>
    </xf>
    <xf numFmtId="0" fontId="3" fillId="2" borderId="0" xfId="0" applyFont="1" applyFill="1" applyBorder="1" applyAlignment="1" applyProtection="1">
      <protection hidden="1"/>
    </xf>
    <xf numFmtId="0" fontId="0" fillId="0" borderId="0" xfId="0" applyBorder="1" applyAlignment="1" applyProtection="1">
      <protection hidden="1"/>
    </xf>
    <xf numFmtId="0" fontId="8" fillId="2" borderId="114" xfId="0" applyFont="1" applyFill="1" applyBorder="1" applyAlignment="1" applyProtection="1">
      <alignment horizontal="center"/>
      <protection hidden="1"/>
    </xf>
    <xf numFmtId="0" fontId="86" fillId="2" borderId="0" xfId="0" applyFont="1" applyFill="1" applyBorder="1" applyAlignment="1" applyProtection="1">
      <alignment horizontal="center" vertical="center"/>
      <protection hidden="1"/>
    </xf>
    <xf numFmtId="0" fontId="0" fillId="0" borderId="0" xfId="0" applyAlignment="1" applyProtection="1">
      <protection hidden="1"/>
    </xf>
    <xf numFmtId="166" fontId="10" fillId="22" borderId="72" xfId="0" applyNumberFormat="1" applyFont="1" applyFill="1" applyBorder="1" applyAlignment="1" applyProtection="1">
      <alignment horizontal="center" vertical="center"/>
      <protection hidden="1"/>
    </xf>
    <xf numFmtId="0" fontId="0" fillId="22" borderId="5" xfId="0" applyFill="1" applyBorder="1" applyAlignment="1"/>
    <xf numFmtId="0" fontId="10" fillId="22" borderId="5" xfId="0" applyFont="1" applyFill="1" applyBorder="1" applyAlignment="1" applyProtection="1">
      <alignment horizontal="left" indent="1"/>
      <protection hidden="1"/>
    </xf>
    <xf numFmtId="0" fontId="0" fillId="22" borderId="5" xfId="0" applyFill="1" applyBorder="1" applyAlignment="1">
      <alignment horizontal="left" indent="1"/>
    </xf>
    <xf numFmtId="0" fontId="0" fillId="22" borderId="73" xfId="0" applyFill="1" applyBorder="1" applyAlignment="1">
      <alignment horizontal="left" indent="1"/>
    </xf>
    <xf numFmtId="0" fontId="51" fillId="2" borderId="113" xfId="0" applyFont="1" applyFill="1" applyBorder="1" applyAlignment="1" applyProtection="1">
      <alignment horizontal="center"/>
      <protection hidden="1"/>
    </xf>
    <xf numFmtId="0" fontId="51" fillId="0" borderId="0" xfId="0" applyFont="1" applyBorder="1" applyAlignment="1" applyProtection="1">
      <alignment horizontal="center"/>
      <protection hidden="1"/>
    </xf>
    <xf numFmtId="0" fontId="51" fillId="0" borderId="79" xfId="0" applyFont="1" applyBorder="1" applyAlignment="1" applyProtection="1">
      <alignment horizontal="center"/>
      <protection hidden="1"/>
    </xf>
    <xf numFmtId="0" fontId="51" fillId="0" borderId="113" xfId="0" applyFont="1" applyBorder="1" applyAlignment="1" applyProtection="1">
      <alignment horizontal="center"/>
      <protection hidden="1"/>
    </xf>
    <xf numFmtId="0" fontId="0" fillId="0" borderId="113" xfId="0" applyBorder="1" applyAlignment="1">
      <alignment horizontal="center"/>
    </xf>
    <xf numFmtId="0" fontId="33" fillId="11" borderId="9" xfId="0" applyFont="1" applyFill="1" applyBorder="1" applyAlignment="1" applyProtection="1">
      <alignment horizontal="center"/>
      <protection hidden="1"/>
    </xf>
    <xf numFmtId="0" fontId="16" fillId="2" borderId="9" xfId="0" applyFont="1" applyFill="1" applyBorder="1" applyAlignment="1" applyProtection="1">
      <protection hidden="1"/>
    </xf>
    <xf numFmtId="0" fontId="16" fillId="0" borderId="0" xfId="0" applyFont="1" applyAlignment="1"/>
    <xf numFmtId="0" fontId="16" fillId="0" borderId="1" xfId="0" applyFont="1" applyBorder="1" applyAlignment="1"/>
    <xf numFmtId="0" fontId="3" fillId="2" borderId="0" xfId="0" applyFont="1" applyFill="1" applyBorder="1" applyAlignment="1" applyProtection="1">
      <alignment horizontal="left" vertical="center" wrapText="1" indent="1"/>
      <protection hidden="1"/>
    </xf>
    <xf numFmtId="0" fontId="0" fillId="0" borderId="0" xfId="0" applyBorder="1" applyAlignment="1" applyProtection="1">
      <alignment horizontal="left" vertical="center" wrapText="1" indent="1"/>
      <protection hidden="1"/>
    </xf>
    <xf numFmtId="0" fontId="0" fillId="0" borderId="5" xfId="0" applyBorder="1" applyAlignment="1" applyProtection="1">
      <alignment horizontal="left" vertical="center" wrapText="1" indent="1"/>
      <protection hidden="1"/>
    </xf>
    <xf numFmtId="0" fontId="11" fillId="2" borderId="113" xfId="0" applyFont="1" applyFill="1" applyBorder="1" applyAlignment="1" applyProtection="1">
      <alignment horizontal="center" vertical="center"/>
      <protection hidden="1"/>
    </xf>
    <xf numFmtId="0" fontId="11" fillId="0" borderId="0" xfId="0" applyFont="1" applyBorder="1" applyAlignment="1" applyProtection="1">
      <alignment horizontal="center" vertical="center"/>
      <protection hidden="1"/>
    </xf>
    <xf numFmtId="0" fontId="11" fillId="0" borderId="79" xfId="0" applyFont="1" applyBorder="1" applyAlignment="1" applyProtection="1">
      <alignment horizontal="center" vertical="center"/>
      <protection hidden="1"/>
    </xf>
    <xf numFmtId="0" fontId="8" fillId="2" borderId="9" xfId="0" applyFont="1" applyFill="1" applyBorder="1" applyAlignment="1">
      <alignment horizontal="center" vertical="center" wrapText="1"/>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0" xfId="0" applyFont="1" applyFill="1" applyBorder="1" applyAlignment="1">
      <alignment horizontal="center" vertical="center" wrapText="1"/>
    </xf>
    <xf numFmtId="0" fontId="8" fillId="2" borderId="0" xfId="0" applyFont="1" applyFill="1" applyBorder="1" applyAlignment="1">
      <alignment horizontal="center" vertical="center"/>
    </xf>
    <xf numFmtId="0" fontId="8" fillId="2" borderId="25" xfId="0" applyFont="1" applyFill="1" applyBorder="1" applyAlignment="1">
      <alignment horizontal="center" vertical="center"/>
    </xf>
    <xf numFmtId="0" fontId="8" fillId="2" borderId="0" xfId="0" applyFont="1" applyFill="1" applyAlignment="1">
      <alignment horizontal="center" vertical="center"/>
    </xf>
    <xf numFmtId="0" fontId="8" fillId="2" borderId="1" xfId="0" applyFont="1" applyFill="1" applyBorder="1" applyAlignment="1">
      <alignment horizontal="center" vertical="center"/>
    </xf>
    <xf numFmtId="0" fontId="8" fillId="2" borderId="12" xfId="0" applyFont="1" applyFill="1" applyBorder="1" applyAlignment="1">
      <alignment horizontal="center" vertical="center"/>
    </xf>
    <xf numFmtId="0" fontId="53" fillId="21" borderId="9" xfId="0" applyFont="1" applyFill="1" applyBorder="1" applyAlignment="1" applyProtection="1">
      <alignment horizontal="center" vertical="center" wrapText="1"/>
      <protection hidden="1"/>
    </xf>
    <xf numFmtId="0" fontId="53" fillId="21" borderId="15" xfId="0" applyFont="1" applyFill="1" applyBorder="1" applyAlignment="1" applyProtection="1">
      <alignment horizontal="center" vertical="center" wrapText="1"/>
      <protection hidden="1"/>
    </xf>
    <xf numFmtId="0" fontId="53" fillId="21" borderId="10" xfId="0" applyFont="1" applyFill="1" applyBorder="1" applyAlignment="1" applyProtection="1">
      <alignment horizontal="center" vertical="center" wrapText="1"/>
      <protection hidden="1"/>
    </xf>
    <xf numFmtId="0" fontId="53" fillId="21" borderId="1" xfId="0" applyFont="1" applyFill="1" applyBorder="1" applyAlignment="1" applyProtection="1">
      <alignment horizontal="center" vertical="center" wrapText="1"/>
      <protection hidden="1"/>
    </xf>
    <xf numFmtId="0" fontId="53" fillId="21" borderId="12" xfId="0" applyFont="1" applyFill="1" applyBorder="1" applyAlignment="1" applyProtection="1">
      <alignment horizontal="center" vertical="center" wrapText="1"/>
      <protection hidden="1"/>
    </xf>
    <xf numFmtId="0" fontId="17" fillId="21" borderId="31" xfId="0" applyFont="1" applyFill="1" applyBorder="1" applyAlignment="1" applyProtection="1">
      <alignment horizontal="center" vertical="center" wrapText="1"/>
      <protection hidden="1"/>
    </xf>
    <xf numFmtId="0" fontId="17" fillId="0" borderId="15" xfId="0" applyFont="1" applyBorder="1" applyAlignment="1">
      <alignment horizontal="center" vertical="center"/>
    </xf>
    <xf numFmtId="0" fontId="17" fillId="0" borderId="12" xfId="0" applyFont="1" applyBorder="1" applyAlignment="1">
      <alignment horizontal="center" vertical="center"/>
    </xf>
    <xf numFmtId="0" fontId="8" fillId="21" borderId="31" xfId="0" applyFont="1" applyFill="1" applyBorder="1" applyAlignment="1" applyProtection="1">
      <alignment horizontal="center" vertical="center" wrapText="1"/>
      <protection hidden="1"/>
    </xf>
    <xf numFmtId="0" fontId="0" fillId="0" borderId="15" xfId="0" applyBorder="1" applyAlignment="1">
      <alignment horizontal="center" vertical="center"/>
    </xf>
    <xf numFmtId="0" fontId="16" fillId="0" borderId="9" xfId="0" applyFont="1" applyBorder="1" applyAlignment="1" applyProtection="1">
      <alignment horizontal="center" vertical="top"/>
      <protection hidden="1"/>
    </xf>
    <xf numFmtId="0" fontId="16" fillId="0" borderId="0" xfId="0" applyFont="1" applyBorder="1" applyAlignment="1">
      <alignment horizontal="center" vertical="top"/>
    </xf>
    <xf numFmtId="37" fontId="0" fillId="22" borderId="31" xfId="0" applyNumberFormat="1" applyFill="1" applyBorder="1" applyAlignment="1" applyProtection="1">
      <alignment horizontal="right"/>
      <protection hidden="1"/>
    </xf>
    <xf numFmtId="0" fontId="0" fillId="22" borderId="9" xfId="0" applyFill="1" applyBorder="1" applyAlignment="1" applyProtection="1">
      <alignment horizontal="right"/>
      <protection hidden="1"/>
    </xf>
    <xf numFmtId="0" fontId="0" fillId="22" borderId="15" xfId="0" applyFill="1" applyBorder="1" applyAlignment="1" applyProtection="1">
      <alignment horizontal="right"/>
      <protection hidden="1"/>
    </xf>
    <xf numFmtId="0" fontId="0" fillId="22" borderId="3" xfId="0" applyFill="1" applyBorder="1" applyAlignment="1" applyProtection="1">
      <alignment horizontal="right"/>
      <protection hidden="1"/>
    </xf>
    <xf numFmtId="0" fontId="0" fillId="22" borderId="0" xfId="0" applyFill="1" applyBorder="1" applyAlignment="1" applyProtection="1">
      <alignment horizontal="right"/>
      <protection hidden="1"/>
    </xf>
    <xf numFmtId="0" fontId="0" fillId="22" borderId="25" xfId="0" applyFill="1" applyBorder="1" applyAlignment="1" applyProtection="1">
      <alignment horizontal="right"/>
      <protection hidden="1"/>
    </xf>
    <xf numFmtId="0" fontId="0" fillId="22" borderId="72" xfId="0" applyFill="1" applyBorder="1" applyAlignment="1" applyProtection="1">
      <alignment horizontal="right"/>
      <protection hidden="1"/>
    </xf>
    <xf numFmtId="0" fontId="0" fillId="22" borderId="5" xfId="0" applyFill="1" applyBorder="1" applyAlignment="1" applyProtection="1">
      <alignment horizontal="right"/>
      <protection hidden="1"/>
    </xf>
    <xf numFmtId="0" fontId="0" fillId="22" borderId="73" xfId="0" applyFill="1" applyBorder="1" applyAlignment="1" applyProtection="1">
      <alignment horizontal="right"/>
      <protection hidden="1"/>
    </xf>
    <xf numFmtId="37" fontId="0" fillId="29" borderId="31" xfId="0" applyNumberFormat="1" applyFill="1" applyBorder="1" applyAlignment="1" applyProtection="1">
      <alignment horizontal="right"/>
      <protection hidden="1"/>
    </xf>
    <xf numFmtId="0" fontId="0" fillId="29" borderId="15" xfId="0" applyFill="1" applyBorder="1" applyAlignment="1" applyProtection="1">
      <alignment horizontal="right"/>
      <protection hidden="1"/>
    </xf>
    <xf numFmtId="0" fontId="0" fillId="29" borderId="3" xfId="0" applyFill="1" applyBorder="1" applyAlignment="1" applyProtection="1">
      <alignment horizontal="right"/>
      <protection hidden="1"/>
    </xf>
    <xf numFmtId="0" fontId="0" fillId="29" borderId="25" xfId="0" applyFill="1" applyBorder="1" applyAlignment="1" applyProtection="1">
      <alignment horizontal="right"/>
      <protection hidden="1"/>
    </xf>
    <xf numFmtId="0" fontId="0" fillId="29" borderId="10" xfId="0" applyFill="1" applyBorder="1" applyAlignment="1" applyProtection="1">
      <alignment horizontal="right"/>
      <protection hidden="1"/>
    </xf>
    <xf numFmtId="0" fontId="0" fillId="29" borderId="12" xfId="0" applyFill="1" applyBorder="1" applyAlignment="1" applyProtection="1">
      <alignment horizontal="right"/>
      <protection hidden="1"/>
    </xf>
    <xf numFmtId="0" fontId="0" fillId="22" borderId="15" xfId="0" applyFill="1" applyBorder="1" applyAlignment="1">
      <alignment horizontal="right"/>
    </xf>
    <xf numFmtId="0" fontId="0" fillId="22" borderId="3" xfId="0" applyFill="1" applyBorder="1" applyAlignment="1">
      <alignment horizontal="right"/>
    </xf>
    <xf numFmtId="0" fontId="0" fillId="22" borderId="25" xfId="0" applyFill="1" applyBorder="1" applyAlignment="1">
      <alignment horizontal="right"/>
    </xf>
    <xf numFmtId="0" fontId="0" fillId="22" borderId="10" xfId="0" applyFill="1" applyBorder="1" applyAlignment="1">
      <alignment horizontal="right"/>
    </xf>
    <xf numFmtId="0" fontId="17" fillId="0" borderId="25" xfId="0" applyFont="1" applyBorder="1" applyAlignment="1">
      <alignment horizontal="center" vertical="center"/>
    </xf>
    <xf numFmtId="0" fontId="10" fillId="0" borderId="9" xfId="0" applyFont="1" applyBorder="1" applyAlignment="1" applyProtection="1">
      <alignment horizontal="center" vertical="top"/>
      <protection hidden="1"/>
    </xf>
    <xf numFmtId="0" fontId="10" fillId="0" borderId="0" xfId="0" applyFont="1" applyBorder="1" applyAlignment="1">
      <alignment horizontal="center" vertical="top"/>
    </xf>
    <xf numFmtId="0" fontId="5" fillId="2" borderId="9" xfId="0" applyFont="1" applyFill="1" applyBorder="1" applyAlignment="1" applyProtection="1">
      <alignment vertical="top" wrapText="1"/>
      <protection hidden="1"/>
    </xf>
    <xf numFmtId="0" fontId="5" fillId="0" borderId="9" xfId="0" applyFont="1" applyBorder="1" applyAlignment="1">
      <alignment vertical="top" wrapText="1"/>
    </xf>
    <xf numFmtId="0" fontId="5" fillId="0" borderId="0" xfId="0" applyFont="1" applyAlignment="1">
      <alignment vertical="top" wrapText="1"/>
    </xf>
    <xf numFmtId="0" fontId="5" fillId="0" borderId="0" xfId="0" applyFont="1" applyBorder="1" applyAlignment="1">
      <alignment vertical="top" wrapText="1"/>
    </xf>
    <xf numFmtId="0" fontId="0" fillId="22" borderId="9" xfId="0" applyFill="1" applyBorder="1" applyAlignment="1">
      <alignment horizontal="right"/>
    </xf>
    <xf numFmtId="0" fontId="0" fillId="22" borderId="0" xfId="0" applyFill="1" applyBorder="1" applyAlignment="1">
      <alignment horizontal="right"/>
    </xf>
    <xf numFmtId="0" fontId="5" fillId="21" borderId="112" xfId="0" applyFont="1" applyFill="1" applyBorder="1" applyAlignment="1" applyProtection="1">
      <alignment horizontal="left" vertical="top" wrapText="1"/>
      <protection hidden="1"/>
    </xf>
    <xf numFmtId="0" fontId="5" fillId="0" borderId="112" xfId="0" applyFont="1" applyBorder="1" applyAlignment="1">
      <alignment wrapText="1"/>
    </xf>
    <xf numFmtId="0" fontId="5" fillId="0" borderId="14" xfId="0" applyFont="1" applyBorder="1" applyAlignment="1">
      <alignment wrapText="1"/>
    </xf>
    <xf numFmtId="0" fontId="10" fillId="3" borderId="26" xfId="0" applyFont="1" applyFill="1" applyBorder="1" applyAlignment="1" applyProtection="1">
      <alignment vertical="center"/>
      <protection hidden="1"/>
    </xf>
    <xf numFmtId="0" fontId="10" fillId="3" borderId="26" xfId="0" applyFont="1" applyFill="1" applyBorder="1" applyAlignment="1" applyProtection="1">
      <protection hidden="1"/>
    </xf>
    <xf numFmtId="0" fontId="6" fillId="3" borderId="6" xfId="0" applyFont="1" applyFill="1" applyBorder="1" applyAlignment="1" applyProtection="1">
      <alignment horizontal="center" vertical="top"/>
      <protection hidden="1"/>
    </xf>
    <xf numFmtId="0" fontId="5" fillId="0" borderId="0" xfId="0" applyFont="1" applyAlignment="1" applyProtection="1">
      <alignment horizontal="center" vertical="top"/>
      <protection hidden="1"/>
    </xf>
    <xf numFmtId="0" fontId="5" fillId="0" borderId="21" xfId="0" applyFont="1" applyBorder="1" applyAlignment="1" applyProtection="1">
      <alignment horizontal="center" vertical="top"/>
      <protection hidden="1"/>
    </xf>
    <xf numFmtId="0" fontId="48" fillId="3" borderId="0" xfId="0" applyFont="1" applyFill="1" applyBorder="1" applyAlignment="1" applyProtection="1">
      <alignment horizontal="center" vertical="top"/>
      <protection hidden="1"/>
    </xf>
    <xf numFmtId="0" fontId="11" fillId="3" borderId="22" xfId="0" applyFont="1" applyFill="1" applyBorder="1" applyAlignment="1" applyProtection="1">
      <alignment horizontal="center" vertical="center"/>
      <protection hidden="1"/>
    </xf>
    <xf numFmtId="0" fontId="11" fillId="3" borderId="5" xfId="0" applyFont="1" applyFill="1" applyBorder="1" applyAlignment="1" applyProtection="1">
      <alignment horizontal="center" vertical="center"/>
      <protection hidden="1"/>
    </xf>
    <xf numFmtId="0" fontId="8" fillId="0" borderId="5" xfId="0" applyFont="1" applyBorder="1" applyAlignment="1" applyProtection="1">
      <alignment horizontal="center" vertical="center"/>
      <protection hidden="1"/>
    </xf>
    <xf numFmtId="0" fontId="8" fillId="0" borderId="23" xfId="0" applyFont="1" applyBorder="1" applyAlignment="1" applyProtection="1">
      <alignment horizontal="center" vertical="center"/>
      <protection hidden="1"/>
    </xf>
    <xf numFmtId="0" fontId="10" fillId="3" borderId="9" xfId="0" applyFont="1" applyFill="1" applyBorder="1" applyAlignment="1" applyProtection="1">
      <alignment horizontal="left" vertical="top"/>
      <protection hidden="1"/>
    </xf>
    <xf numFmtId="0" fontId="0" fillId="0" borderId="9" xfId="0" applyBorder="1" applyAlignment="1">
      <alignment horizontal="left" vertical="top"/>
    </xf>
    <xf numFmtId="0" fontId="0" fillId="0" borderId="15" xfId="0" applyBorder="1" applyAlignment="1">
      <alignment horizontal="left" vertical="top"/>
    </xf>
    <xf numFmtId="0" fontId="0" fillId="0" borderId="0" xfId="0" applyBorder="1" applyAlignment="1">
      <alignment horizontal="left" vertical="top"/>
    </xf>
    <xf numFmtId="0" fontId="0" fillId="0" borderId="25" xfId="0" applyBorder="1" applyAlignment="1">
      <alignment horizontal="left" vertical="top"/>
    </xf>
    <xf numFmtId="0" fontId="3" fillId="21" borderId="31" xfId="0" applyFont="1" applyFill="1" applyBorder="1" applyAlignment="1" applyProtection="1">
      <alignment horizontal="left" vertical="center" wrapText="1"/>
      <protection hidden="1"/>
    </xf>
    <xf numFmtId="0" fontId="0" fillId="21" borderId="9" xfId="0" applyFill="1" applyBorder="1" applyAlignment="1">
      <alignment horizontal="left" vertical="center" wrapText="1"/>
    </xf>
    <xf numFmtId="0" fontId="0" fillId="21" borderId="15" xfId="0" applyFill="1" applyBorder="1" applyAlignment="1">
      <alignment horizontal="left" vertical="center" wrapText="1"/>
    </xf>
    <xf numFmtId="0" fontId="0" fillId="21" borderId="3" xfId="0" applyFill="1" applyBorder="1" applyAlignment="1">
      <alignment horizontal="left" vertical="center" wrapText="1"/>
    </xf>
    <xf numFmtId="0" fontId="0" fillId="21" borderId="0" xfId="0" applyFill="1" applyBorder="1" applyAlignment="1">
      <alignment horizontal="left" vertical="center" wrapText="1"/>
    </xf>
    <xf numFmtId="0" fontId="0" fillId="21" borderId="25" xfId="0" applyFill="1" applyBorder="1" applyAlignment="1">
      <alignment horizontal="left" vertical="center" wrapText="1"/>
    </xf>
    <xf numFmtId="0" fontId="0" fillId="21" borderId="10" xfId="0" applyFill="1" applyBorder="1" applyAlignment="1">
      <alignment horizontal="left" vertical="center" wrapText="1"/>
    </xf>
    <xf numFmtId="0" fontId="0" fillId="21" borderId="1" xfId="0" applyFill="1" applyBorder="1" applyAlignment="1">
      <alignment horizontal="left" vertical="center" wrapText="1"/>
    </xf>
    <xf numFmtId="0" fontId="0" fillId="21" borderId="12" xfId="0" applyFill="1" applyBorder="1" applyAlignment="1">
      <alignment horizontal="left" vertical="center" wrapText="1"/>
    </xf>
    <xf numFmtId="0" fontId="167" fillId="21" borderId="31" xfId="0" applyFont="1" applyFill="1" applyBorder="1" applyAlignment="1" applyProtection="1">
      <alignment vertical="top" wrapText="1"/>
      <protection hidden="1"/>
    </xf>
    <xf numFmtId="37" fontId="6" fillId="34" borderId="40" xfId="0" applyNumberFormat="1" applyFont="1" applyFill="1" applyBorder="1" applyAlignment="1" applyProtection="1">
      <alignment horizontal="right"/>
      <protection hidden="1"/>
    </xf>
    <xf numFmtId="0" fontId="1" fillId="0" borderId="26" xfId="0" applyFont="1" applyBorder="1" applyAlignment="1" applyProtection="1">
      <alignment horizontal="right"/>
      <protection hidden="1"/>
    </xf>
    <xf numFmtId="0" fontId="167" fillId="21" borderId="3" xfId="0" applyFont="1" applyFill="1" applyBorder="1" applyAlignment="1" applyProtection="1">
      <protection hidden="1"/>
    </xf>
    <xf numFmtId="0" fontId="167" fillId="0" borderId="0" xfId="0" applyFont="1" applyAlignment="1"/>
    <xf numFmtId="0" fontId="3" fillId="0" borderId="31" xfId="0" applyFont="1" applyBorder="1" applyAlignment="1" applyProtection="1">
      <alignment vertical="center" wrapText="1"/>
      <protection hidden="1"/>
    </xf>
    <xf numFmtId="0" fontId="0" fillId="0" borderId="10" xfId="0" applyBorder="1" applyAlignment="1">
      <alignment wrapText="1"/>
    </xf>
    <xf numFmtId="0" fontId="42" fillId="21" borderId="31" xfId="0" applyFont="1" applyFill="1" applyBorder="1" applyAlignment="1" applyProtection="1">
      <alignment horizontal="left" vertical="center" wrapText="1" indent="1"/>
      <protection hidden="1"/>
    </xf>
    <xf numFmtId="0" fontId="42" fillId="21" borderId="9" xfId="0" applyFont="1" applyFill="1" applyBorder="1" applyAlignment="1" applyProtection="1">
      <alignment horizontal="left" vertical="center" wrapText="1" indent="1"/>
      <protection hidden="1"/>
    </xf>
    <xf numFmtId="0" fontId="42" fillId="21" borderId="15" xfId="0" applyFont="1" applyFill="1" applyBorder="1" applyAlignment="1" applyProtection="1">
      <alignment horizontal="left" vertical="center" wrapText="1" indent="1"/>
      <protection hidden="1"/>
    </xf>
    <xf numFmtId="0" fontId="42" fillId="21" borderId="3" xfId="0" applyFont="1" applyFill="1" applyBorder="1" applyAlignment="1" applyProtection="1">
      <alignment horizontal="left" vertical="center" wrapText="1" indent="1"/>
      <protection hidden="1"/>
    </xf>
    <xf numFmtId="0" fontId="42" fillId="21" borderId="0" xfId="0" applyFont="1" applyFill="1" applyBorder="1" applyAlignment="1" applyProtection="1">
      <alignment horizontal="left" vertical="center" wrapText="1" indent="1"/>
      <protection hidden="1"/>
    </xf>
    <xf numFmtId="0" fontId="42" fillId="21" borderId="25" xfId="0" applyFont="1" applyFill="1" applyBorder="1" applyAlignment="1" applyProtection="1">
      <alignment horizontal="left" vertical="center" wrapText="1" indent="1"/>
      <protection hidden="1"/>
    </xf>
    <xf numFmtId="0" fontId="42" fillId="21" borderId="10" xfId="0" applyFont="1" applyFill="1" applyBorder="1" applyAlignment="1" applyProtection="1">
      <alignment horizontal="left" vertical="center" wrapText="1" indent="1"/>
      <protection hidden="1"/>
    </xf>
    <xf numFmtId="0" fontId="42" fillId="21" borderId="1" xfId="0" applyFont="1" applyFill="1" applyBorder="1" applyAlignment="1" applyProtection="1">
      <alignment horizontal="left" vertical="center" wrapText="1" indent="1"/>
      <protection hidden="1"/>
    </xf>
    <xf numFmtId="0" fontId="42" fillId="21" borderId="12" xfId="0" applyFont="1" applyFill="1" applyBorder="1" applyAlignment="1" applyProtection="1">
      <alignment horizontal="left" vertical="center" wrapText="1" indent="1"/>
      <protection hidden="1"/>
    </xf>
    <xf numFmtId="0" fontId="0" fillId="0" borderId="9" xfId="0" applyBorder="1" applyAlignment="1">
      <alignment horizontal="left" vertical="center" wrapText="1" indent="1"/>
    </xf>
    <xf numFmtId="0" fontId="0" fillId="0" borderId="15" xfId="0" applyBorder="1" applyAlignment="1">
      <alignment horizontal="left" vertical="center" wrapText="1" indent="1"/>
    </xf>
    <xf numFmtId="0" fontId="0" fillId="0" borderId="3" xfId="0" applyBorder="1" applyAlignment="1">
      <alignment horizontal="left" vertical="center" wrapText="1" indent="1"/>
    </xf>
    <xf numFmtId="0" fontId="0" fillId="0" borderId="0" xfId="0" applyAlignment="1">
      <alignment horizontal="left" vertical="center" wrapText="1" indent="1"/>
    </xf>
    <xf numFmtId="0" fontId="0" fillId="0" borderId="25" xfId="0" applyBorder="1" applyAlignment="1">
      <alignment horizontal="left" vertical="center" wrapText="1" indent="1"/>
    </xf>
    <xf numFmtId="0" fontId="0" fillId="0" borderId="10" xfId="0" applyBorder="1" applyAlignment="1">
      <alignment horizontal="left" vertical="center" wrapText="1" indent="1"/>
    </xf>
    <xf numFmtId="0" fontId="0" fillId="0" borderId="1" xfId="0" applyBorder="1" applyAlignment="1">
      <alignment horizontal="left" vertical="center" wrapText="1" indent="1"/>
    </xf>
    <xf numFmtId="0" fontId="0" fillId="0" borderId="12" xfId="0" applyBorder="1" applyAlignment="1">
      <alignment horizontal="left" vertical="center" wrapText="1" indent="1"/>
    </xf>
    <xf numFmtId="0" fontId="1" fillId="0" borderId="5" xfId="0" applyFont="1" applyBorder="1" applyAlignment="1" applyProtection="1">
      <alignment horizontal="right"/>
      <protection hidden="1"/>
    </xf>
    <xf numFmtId="37" fontId="6" fillId="34" borderId="5" xfId="0" applyNumberFormat="1" applyFont="1" applyFill="1" applyBorder="1" applyAlignment="1" applyProtection="1">
      <alignment horizontal="right"/>
      <protection hidden="1"/>
    </xf>
    <xf numFmtId="0" fontId="1" fillId="0" borderId="1" xfId="0" applyFont="1" applyBorder="1" applyAlignment="1" applyProtection="1">
      <alignment horizontal="right"/>
      <protection hidden="1"/>
    </xf>
    <xf numFmtId="1" fontId="6" fillId="34" borderId="1" xfId="0" applyNumberFormat="1" applyFont="1" applyFill="1" applyBorder="1" applyAlignment="1" applyProtection="1">
      <alignment horizontal="right"/>
      <protection hidden="1"/>
    </xf>
    <xf numFmtId="1" fontId="1" fillId="0" borderId="1" xfId="0" applyNumberFormat="1" applyFont="1" applyBorder="1" applyAlignment="1" applyProtection="1">
      <alignment horizontal="right"/>
      <protection hidden="1"/>
    </xf>
    <xf numFmtId="0" fontId="102" fillId="21" borderId="6" xfId="0" applyFont="1" applyFill="1" applyBorder="1" applyAlignment="1" applyProtection="1">
      <alignment horizontal="center"/>
      <protection hidden="1"/>
    </xf>
    <xf numFmtId="0" fontId="0" fillId="0" borderId="0" xfId="0" applyBorder="1" applyAlignment="1" applyProtection="1">
      <alignment horizontal="center"/>
      <protection hidden="1"/>
    </xf>
    <xf numFmtId="0" fontId="0" fillId="0" borderId="6" xfId="0" applyBorder="1" applyAlignment="1" applyProtection="1">
      <alignment horizontal="center"/>
      <protection hidden="1"/>
    </xf>
    <xf numFmtId="0" fontId="0" fillId="21" borderId="3" xfId="0" applyFill="1" applyBorder="1" applyAlignment="1" applyProtection="1">
      <protection hidden="1"/>
    </xf>
    <xf numFmtId="0" fontId="0" fillId="21" borderId="0" xfId="0" applyFill="1" applyBorder="1" applyAlignment="1" applyProtection="1">
      <protection hidden="1"/>
    </xf>
    <xf numFmtId="0" fontId="10" fillId="34" borderId="0" xfId="0" quotePrefix="1" applyFont="1" applyFill="1" applyBorder="1" applyAlignment="1" applyProtection="1">
      <alignment vertical="center"/>
      <protection hidden="1"/>
    </xf>
    <xf numFmtId="0" fontId="0" fillId="31" borderId="0" xfId="0" applyFill="1" applyBorder="1" applyAlignment="1" applyProtection="1">
      <alignment vertical="center"/>
      <protection hidden="1"/>
    </xf>
    <xf numFmtId="0" fontId="0" fillId="0" borderId="1" xfId="0" applyBorder="1" applyAlignment="1" applyProtection="1">
      <alignment vertical="center"/>
      <protection hidden="1"/>
    </xf>
    <xf numFmtId="0" fontId="0" fillId="0" borderId="12" xfId="0" applyBorder="1" applyAlignment="1" applyProtection="1">
      <alignment vertical="center"/>
      <protection hidden="1"/>
    </xf>
    <xf numFmtId="0" fontId="110" fillId="21" borderId="6" xfId="0" applyFont="1" applyFill="1" applyBorder="1" applyAlignment="1" applyProtection="1">
      <alignment horizontal="center"/>
      <protection hidden="1"/>
    </xf>
    <xf numFmtId="0" fontId="0" fillId="0" borderId="6" xfId="0" applyBorder="1" applyAlignment="1" applyProtection="1">
      <protection hidden="1"/>
    </xf>
    <xf numFmtId="0" fontId="0" fillId="21" borderId="27" xfId="0" applyFill="1" applyBorder="1" applyAlignment="1" applyProtection="1">
      <alignment horizontal="center"/>
      <protection hidden="1"/>
    </xf>
    <xf numFmtId="0" fontId="3" fillId="21" borderId="22" xfId="0" applyFont="1" applyFill="1" applyBorder="1" applyAlignment="1" applyProtection="1">
      <alignment horizontal="center"/>
      <protection hidden="1"/>
    </xf>
    <xf numFmtId="0" fontId="0" fillId="0" borderId="5" xfId="0" applyBorder="1" applyAlignment="1" applyProtection="1">
      <alignment horizontal="center"/>
      <protection hidden="1"/>
    </xf>
    <xf numFmtId="0" fontId="0" fillId="0" borderId="23" xfId="0" applyBorder="1" applyAlignment="1" applyProtection="1">
      <alignment horizontal="center"/>
      <protection hidden="1"/>
    </xf>
    <xf numFmtId="0" fontId="0" fillId="21" borderId="6" xfId="0" applyFill="1" applyBorder="1" applyAlignment="1" applyProtection="1">
      <alignment horizontal="center" vertical="top"/>
      <protection hidden="1"/>
    </xf>
    <xf numFmtId="0" fontId="0" fillId="0" borderId="0" xfId="0" applyBorder="1" applyAlignment="1" applyProtection="1">
      <alignment horizontal="center" vertical="top"/>
      <protection hidden="1"/>
    </xf>
    <xf numFmtId="0" fontId="0" fillId="0" borderId="21" xfId="0" applyBorder="1" applyAlignment="1" applyProtection="1">
      <alignment horizontal="center" vertical="top"/>
      <protection hidden="1"/>
    </xf>
    <xf numFmtId="182" fontId="6" fillId="34" borderId="1" xfId="0" applyNumberFormat="1" applyFont="1" applyFill="1" applyBorder="1" applyAlignment="1" applyProtection="1">
      <alignment horizontal="right"/>
      <protection hidden="1"/>
    </xf>
    <xf numFmtId="182" fontId="1" fillId="0" borderId="1" xfId="0" applyNumberFormat="1" applyFont="1" applyBorder="1" applyAlignment="1" applyProtection="1">
      <alignment horizontal="right"/>
      <protection hidden="1"/>
    </xf>
    <xf numFmtId="0" fontId="1" fillId="31" borderId="1" xfId="0" applyFont="1" applyFill="1" applyBorder="1" applyAlignment="1" applyProtection="1">
      <alignment horizontal="right"/>
      <protection hidden="1"/>
    </xf>
    <xf numFmtId="0" fontId="3" fillId="29" borderId="16" xfId="0" applyFont="1" applyFill="1" applyBorder="1" applyAlignment="1" applyProtection="1">
      <alignment horizontal="center" vertical="center" wrapText="1"/>
      <protection hidden="1"/>
    </xf>
    <xf numFmtId="0" fontId="0" fillId="29" borderId="16" xfId="0" applyFill="1" applyBorder="1" applyAlignment="1" applyProtection="1">
      <alignment horizontal="center" vertical="center"/>
      <protection hidden="1"/>
    </xf>
    <xf numFmtId="0" fontId="0" fillId="29" borderId="7" xfId="0" applyFill="1" applyBorder="1" applyAlignment="1" applyProtection="1">
      <alignment horizontal="center" vertical="center"/>
      <protection hidden="1"/>
    </xf>
    <xf numFmtId="0" fontId="0" fillId="29" borderId="31" xfId="0" applyFill="1" applyBorder="1" applyAlignment="1" applyProtection="1">
      <alignment horizontal="center" vertical="center"/>
      <protection hidden="1"/>
    </xf>
    <xf numFmtId="0" fontId="0" fillId="29" borderId="3" xfId="0" applyFill="1" applyBorder="1" applyAlignment="1" applyProtection="1">
      <alignment horizontal="center" vertical="center"/>
      <protection hidden="1"/>
    </xf>
    <xf numFmtId="3" fontId="1" fillId="22" borderId="13" xfId="0" applyNumberFormat="1" applyFont="1" applyFill="1" applyBorder="1" applyAlignment="1" applyProtection="1">
      <protection locked="0"/>
    </xf>
    <xf numFmtId="3" fontId="1" fillId="22" borderId="40" xfId="0" applyNumberFormat="1" applyFont="1" applyFill="1" applyBorder="1" applyAlignment="1" applyProtection="1">
      <alignment horizontal="right" indent="1"/>
      <protection locked="0" hidden="1"/>
    </xf>
    <xf numFmtId="3" fontId="1" fillId="22" borderId="26" xfId="0" applyNumberFormat="1" applyFont="1" applyFill="1" applyBorder="1" applyAlignment="1" applyProtection="1">
      <alignment horizontal="right" indent="1"/>
      <protection locked="0" hidden="1"/>
    </xf>
    <xf numFmtId="3" fontId="1" fillId="22" borderId="55" xfId="0" applyNumberFormat="1" applyFont="1" applyFill="1" applyBorder="1" applyAlignment="1" applyProtection="1">
      <alignment horizontal="right" indent="1"/>
      <protection locked="0" hidden="1"/>
    </xf>
    <xf numFmtId="3" fontId="1" fillId="31" borderId="13" xfId="0" applyNumberFormat="1" applyFont="1" applyFill="1" applyBorder="1" applyAlignment="1" applyProtection="1">
      <protection hidden="1"/>
    </xf>
    <xf numFmtId="3" fontId="1" fillId="22" borderId="40" xfId="0" applyNumberFormat="1" applyFont="1" applyFill="1" applyBorder="1" applyAlignment="1" applyProtection="1">
      <protection locked="0"/>
    </xf>
    <xf numFmtId="0" fontId="16" fillId="0" borderId="9" xfId="0" applyFont="1" applyBorder="1" applyAlignment="1" applyProtection="1">
      <alignment horizontal="center" vertical="center" wrapText="1"/>
      <protection hidden="1"/>
    </xf>
    <xf numFmtId="0" fontId="16" fillId="0" borderId="9" xfId="0" applyFont="1" applyBorder="1" applyAlignment="1" applyProtection="1">
      <alignment horizontal="center" vertical="center"/>
      <protection hidden="1"/>
    </xf>
    <xf numFmtId="0" fontId="16" fillId="0" borderId="0" xfId="0" applyFont="1" applyBorder="1" applyAlignment="1" applyProtection="1">
      <alignment horizontal="center" vertical="center"/>
      <protection hidden="1"/>
    </xf>
    <xf numFmtId="0" fontId="3" fillId="21" borderId="26" xfId="0" applyFont="1" applyFill="1" applyBorder="1" applyAlignment="1" applyProtection="1">
      <alignment horizontal="right"/>
      <protection hidden="1"/>
    </xf>
    <xf numFmtId="0" fontId="3" fillId="21" borderId="26" xfId="0" applyFont="1" applyFill="1" applyBorder="1" applyAlignment="1" applyProtection="1">
      <alignment horizontal="left"/>
      <protection hidden="1"/>
    </xf>
    <xf numFmtId="0" fontId="5" fillId="29" borderId="16" xfId="0" applyFont="1" applyFill="1" applyBorder="1" applyAlignment="1" applyProtection="1">
      <alignment horizontal="center" vertical="center" wrapText="1"/>
      <protection hidden="1"/>
    </xf>
    <xf numFmtId="0" fontId="5" fillId="29" borderId="16" xfId="0" applyFont="1" applyFill="1" applyBorder="1" applyAlignment="1" applyProtection="1">
      <alignment horizontal="center" vertical="center"/>
      <protection hidden="1"/>
    </xf>
    <xf numFmtId="0" fontId="5" fillId="29" borderId="7" xfId="0" applyFont="1" applyFill="1" applyBorder="1" applyAlignment="1" applyProtection="1">
      <alignment horizontal="center" vertical="center"/>
      <protection hidden="1"/>
    </xf>
    <xf numFmtId="3" fontId="1" fillId="22" borderId="13" xfId="0" applyNumberFormat="1" applyFont="1" applyFill="1" applyBorder="1" applyAlignment="1" applyProtection="1">
      <alignment horizontal="right"/>
      <protection locked="0"/>
    </xf>
    <xf numFmtId="3" fontId="1" fillId="22" borderId="40" xfId="0" applyNumberFormat="1" applyFont="1" applyFill="1" applyBorder="1" applyAlignment="1" applyProtection="1">
      <alignment horizontal="right"/>
      <protection locked="0"/>
    </xf>
    <xf numFmtId="0" fontId="110" fillId="21" borderId="0" xfId="0" quotePrefix="1" applyFont="1" applyFill="1" applyBorder="1" applyAlignment="1" applyProtection="1">
      <protection hidden="1"/>
    </xf>
    <xf numFmtId="0" fontId="0" fillId="21" borderId="0" xfId="0" applyFill="1" applyBorder="1" applyAlignment="1" applyProtection="1">
      <alignment horizontal="right"/>
      <protection hidden="1"/>
    </xf>
    <xf numFmtId="0" fontId="0" fillId="0" borderId="0" xfId="0" applyBorder="1" applyAlignment="1" applyProtection="1">
      <alignment horizontal="right"/>
      <protection hidden="1"/>
    </xf>
    <xf numFmtId="0" fontId="3" fillId="21" borderId="59" xfId="0" applyFont="1" applyFill="1" applyBorder="1" applyAlignment="1" applyProtection="1">
      <alignment horizontal="left" vertical="center" wrapText="1" indent="1"/>
      <protection hidden="1"/>
    </xf>
    <xf numFmtId="0" fontId="0" fillId="0" borderId="8" xfId="0" applyBorder="1" applyAlignment="1" applyProtection="1">
      <alignment horizontal="left" vertical="center" indent="1"/>
      <protection hidden="1"/>
    </xf>
    <xf numFmtId="0" fontId="0" fillId="0" borderId="3" xfId="0" applyBorder="1" applyAlignment="1" applyProtection="1">
      <alignment horizontal="left" vertical="center" indent="1"/>
      <protection hidden="1"/>
    </xf>
    <xf numFmtId="0" fontId="0" fillId="0" borderId="0" xfId="0" applyBorder="1" applyAlignment="1" applyProtection="1">
      <alignment horizontal="left" vertical="center" indent="1"/>
      <protection hidden="1"/>
    </xf>
    <xf numFmtId="0" fontId="0" fillId="0" borderId="10" xfId="0" applyBorder="1" applyAlignment="1" applyProtection="1">
      <alignment horizontal="left" vertical="center" indent="1"/>
      <protection hidden="1"/>
    </xf>
    <xf numFmtId="0" fontId="0" fillId="0" borderId="1" xfId="0" applyBorder="1" applyAlignment="1" applyProtection="1">
      <alignment horizontal="left" vertical="center" indent="1"/>
      <protection hidden="1"/>
    </xf>
    <xf numFmtId="166" fontId="10" fillId="34" borderId="3" xfId="0" quotePrefix="1" applyNumberFormat="1" applyFont="1" applyFill="1" applyBorder="1" applyAlignment="1" applyProtection="1">
      <alignment horizontal="center" vertical="center"/>
      <protection hidden="1"/>
    </xf>
    <xf numFmtId="0" fontId="0" fillId="0" borderId="0" xfId="0" applyBorder="1" applyAlignment="1" applyProtection="1">
      <alignment horizontal="center" vertical="center"/>
      <protection hidden="1"/>
    </xf>
    <xf numFmtId="0" fontId="0" fillId="0" borderId="25" xfId="0" applyBorder="1" applyAlignment="1" applyProtection="1">
      <alignment horizontal="center" vertical="center"/>
      <protection hidden="1"/>
    </xf>
    <xf numFmtId="0" fontId="0" fillId="0" borderId="10" xfId="0" applyBorder="1" applyAlignment="1" applyProtection="1">
      <alignment horizontal="center" vertical="center"/>
      <protection hidden="1"/>
    </xf>
    <xf numFmtId="0" fontId="0" fillId="0" borderId="1" xfId="0" applyBorder="1" applyAlignment="1" applyProtection="1">
      <alignment horizontal="center" vertical="center"/>
      <protection hidden="1"/>
    </xf>
    <xf numFmtId="0" fontId="0" fillId="0" borderId="12" xfId="0" applyBorder="1" applyAlignment="1" applyProtection="1">
      <alignment horizontal="center" vertical="center"/>
      <protection hidden="1"/>
    </xf>
    <xf numFmtId="0" fontId="10" fillId="21" borderId="0" xfId="0" applyFont="1" applyFill="1" applyBorder="1" applyAlignment="1" applyProtection="1">
      <alignment horizontal="left"/>
      <protection hidden="1"/>
    </xf>
    <xf numFmtId="0" fontId="14" fillId="0" borderId="5" xfId="0" applyFont="1" applyBorder="1" applyAlignment="1" applyProtection="1">
      <alignment horizontal="left"/>
      <protection hidden="1"/>
    </xf>
    <xf numFmtId="0" fontId="3" fillId="21" borderId="5" xfId="0" applyFont="1" applyFill="1" applyBorder="1" applyAlignment="1" applyProtection="1">
      <alignment horizontal="right"/>
      <protection hidden="1"/>
    </xf>
    <xf numFmtId="0" fontId="0" fillId="0" borderId="5" xfId="0" applyBorder="1" applyAlignment="1" applyProtection="1">
      <alignment horizontal="right"/>
      <protection hidden="1"/>
    </xf>
    <xf numFmtId="0" fontId="3" fillId="21" borderId="0" xfId="0" applyFont="1" applyFill="1" applyBorder="1" applyAlignment="1" applyProtection="1">
      <protection hidden="1"/>
    </xf>
    <xf numFmtId="0" fontId="1" fillId="0" borderId="28" xfId="0" applyFont="1" applyBorder="1" applyAlignment="1" applyProtection="1">
      <alignment horizontal="right"/>
      <protection hidden="1"/>
    </xf>
    <xf numFmtId="0" fontId="3" fillId="21" borderId="32" xfId="0" applyFont="1" applyFill="1" applyBorder="1" applyAlignment="1" applyProtection="1">
      <alignment horizontal="left"/>
      <protection hidden="1"/>
    </xf>
    <xf numFmtId="3" fontId="1" fillId="22" borderId="52" xfId="0" applyNumberFormat="1" applyFont="1" applyFill="1" applyBorder="1" applyAlignment="1" applyProtection="1">
      <protection locked="0"/>
    </xf>
    <xf numFmtId="3" fontId="1" fillId="22" borderId="53" xfId="0" applyNumberFormat="1" applyFont="1" applyFill="1" applyBorder="1" applyAlignment="1" applyProtection="1">
      <alignment horizontal="right" indent="1"/>
      <protection locked="0" hidden="1"/>
    </xf>
    <xf numFmtId="3" fontId="1" fillId="22" borderId="32" xfId="0" applyNumberFormat="1" applyFont="1" applyFill="1" applyBorder="1" applyAlignment="1" applyProtection="1">
      <alignment horizontal="right" indent="1"/>
      <protection locked="0" hidden="1"/>
    </xf>
    <xf numFmtId="3" fontId="1" fillId="22" borderId="77" xfId="0" applyNumberFormat="1" applyFont="1" applyFill="1" applyBorder="1" applyAlignment="1" applyProtection="1">
      <alignment horizontal="right" indent="1"/>
      <protection locked="0" hidden="1"/>
    </xf>
    <xf numFmtId="3" fontId="1" fillId="31" borderId="52" xfId="0" applyNumberFormat="1" applyFont="1" applyFill="1" applyBorder="1" applyAlignment="1" applyProtection="1">
      <protection hidden="1"/>
    </xf>
    <xf numFmtId="3" fontId="1" fillId="22" borderId="16" xfId="0" applyNumberFormat="1" applyFont="1" applyFill="1" applyBorder="1" applyAlignment="1" applyProtection="1">
      <alignment horizontal="right"/>
      <protection locked="0"/>
    </xf>
    <xf numFmtId="3" fontId="1" fillId="22" borderId="31" xfId="0" applyNumberFormat="1" applyFont="1" applyFill="1" applyBorder="1" applyAlignment="1" applyProtection="1">
      <alignment horizontal="right"/>
      <protection locked="0"/>
    </xf>
    <xf numFmtId="0" fontId="1" fillId="0" borderId="9" xfId="0" applyFont="1" applyBorder="1" applyAlignment="1" applyProtection="1">
      <alignment horizontal="left" vertical="center" wrapText="1"/>
      <protection hidden="1"/>
    </xf>
    <xf numFmtId="0" fontId="1" fillId="0" borderId="9" xfId="0" applyFont="1" applyBorder="1" applyAlignment="1" applyProtection="1">
      <alignment horizontal="left" vertical="center"/>
      <protection hidden="1"/>
    </xf>
    <xf numFmtId="0" fontId="1" fillId="0" borderId="15" xfId="0" applyFont="1" applyBorder="1" applyAlignment="1" applyProtection="1">
      <alignment horizontal="left" vertical="center"/>
      <protection hidden="1"/>
    </xf>
    <xf numFmtId="0" fontId="1" fillId="0" borderId="0" xfId="0" applyFont="1" applyBorder="1" applyAlignment="1" applyProtection="1">
      <alignment horizontal="left" vertical="center"/>
      <protection hidden="1"/>
    </xf>
    <xf numFmtId="0" fontId="1" fillId="0" borderId="25" xfId="0" applyFont="1" applyBorder="1" applyAlignment="1" applyProtection="1">
      <alignment horizontal="left" vertical="center"/>
      <protection hidden="1"/>
    </xf>
    <xf numFmtId="0" fontId="1" fillId="0" borderId="1" xfId="0" applyFont="1" applyBorder="1" applyAlignment="1" applyProtection="1">
      <alignment horizontal="left" vertical="center"/>
      <protection hidden="1"/>
    </xf>
    <xf numFmtId="0" fontId="1" fillId="0" borderId="12" xfId="0" applyFont="1" applyBorder="1" applyAlignment="1" applyProtection="1">
      <alignment horizontal="left" vertical="center"/>
      <protection hidden="1"/>
    </xf>
    <xf numFmtId="0" fontId="1" fillId="29" borderId="31" xfId="0" applyFont="1" applyFill="1" applyBorder="1" applyAlignment="1" applyProtection="1">
      <alignment horizontal="center" vertical="center"/>
      <protection hidden="1"/>
    </xf>
    <xf numFmtId="0" fontId="1" fillId="29" borderId="9" xfId="0" applyFont="1" applyFill="1" applyBorder="1" applyAlignment="1" applyProtection="1">
      <alignment horizontal="center" vertical="center"/>
      <protection hidden="1"/>
    </xf>
    <xf numFmtId="0" fontId="1" fillId="29" borderId="15" xfId="0" applyFont="1" applyFill="1" applyBorder="1" applyAlignment="1" applyProtection="1">
      <alignment horizontal="center" vertical="center"/>
      <protection hidden="1"/>
    </xf>
    <xf numFmtId="0" fontId="1" fillId="29" borderId="3" xfId="0" applyFont="1" applyFill="1" applyBorder="1" applyAlignment="1" applyProtection="1">
      <alignment horizontal="center" vertical="center"/>
      <protection hidden="1"/>
    </xf>
    <xf numFmtId="0" fontId="1" fillId="29" borderId="0" xfId="0" applyFont="1" applyFill="1" applyBorder="1" applyAlignment="1" applyProtection="1">
      <alignment horizontal="center" vertical="center"/>
      <protection hidden="1"/>
    </xf>
    <xf numFmtId="0" fontId="1" fillId="29" borderId="25" xfId="0" applyFont="1" applyFill="1" applyBorder="1" applyAlignment="1" applyProtection="1">
      <alignment horizontal="center" vertical="center"/>
      <protection hidden="1"/>
    </xf>
    <xf numFmtId="0" fontId="1" fillId="29" borderId="31" xfId="0" applyFont="1" applyFill="1" applyBorder="1" applyAlignment="1" applyProtection="1">
      <alignment horizontal="center" vertical="center" wrapText="1"/>
      <protection hidden="1"/>
    </xf>
    <xf numFmtId="4" fontId="0" fillId="22" borderId="10" xfId="0" applyNumberFormat="1" applyFill="1" applyBorder="1" applyAlignment="1" applyProtection="1">
      <protection locked="0"/>
    </xf>
    <xf numFmtId="4" fontId="0" fillId="22" borderId="1" xfId="0" applyNumberFormat="1" applyFill="1" applyBorder="1" applyAlignment="1" applyProtection="1">
      <protection locked="0"/>
    </xf>
    <xf numFmtId="0" fontId="0" fillId="0" borderId="1" xfId="0" applyBorder="1" applyAlignment="1" applyProtection="1">
      <protection locked="0"/>
    </xf>
    <xf numFmtId="0" fontId="0" fillId="0" borderId="12" xfId="0" applyBorder="1" applyAlignment="1" applyProtection="1">
      <protection locked="0"/>
    </xf>
    <xf numFmtId="166" fontId="16" fillId="22" borderId="10" xfId="0" applyNumberFormat="1" applyFont="1" applyFill="1" applyBorder="1" applyAlignment="1" applyProtection="1">
      <alignment horizontal="center"/>
      <protection locked="0"/>
    </xf>
    <xf numFmtId="166" fontId="16" fillId="22" borderId="1" xfId="0" applyNumberFormat="1" applyFont="1" applyFill="1" applyBorder="1" applyAlignment="1" applyProtection="1">
      <alignment horizontal="center"/>
      <protection locked="0"/>
    </xf>
    <xf numFmtId="166" fontId="16" fillId="0" borderId="1" xfId="0" applyNumberFormat="1" applyFont="1" applyBorder="1" applyAlignment="1" applyProtection="1">
      <alignment horizontal="center"/>
      <protection locked="0"/>
    </xf>
    <xf numFmtId="166" fontId="16" fillId="0" borderId="12" xfId="0" applyNumberFormat="1" applyFont="1" applyBorder="1" applyAlignment="1" applyProtection="1">
      <alignment horizontal="center"/>
      <protection locked="0"/>
    </xf>
    <xf numFmtId="4" fontId="0" fillId="22" borderId="10" xfId="0" applyNumberFormat="1" applyFill="1" applyBorder="1" applyAlignment="1" applyProtection="1">
      <protection hidden="1"/>
    </xf>
    <xf numFmtId="4" fontId="0" fillId="22" borderId="1" xfId="0" applyNumberFormat="1" applyFill="1" applyBorder="1" applyAlignment="1" applyProtection="1">
      <protection hidden="1"/>
    </xf>
    <xf numFmtId="0" fontId="0" fillId="0" borderId="1" xfId="0" applyBorder="1" applyAlignment="1" applyProtection="1">
      <protection hidden="1"/>
    </xf>
    <xf numFmtId="0" fontId="0" fillId="0" borderId="12" xfId="0" applyBorder="1" applyAlignment="1" applyProtection="1">
      <protection hidden="1"/>
    </xf>
    <xf numFmtId="0" fontId="1" fillId="21" borderId="9" xfId="0" applyFont="1" applyFill="1" applyBorder="1" applyAlignment="1" applyProtection="1">
      <alignment horizontal="center" vertical="center" wrapText="1"/>
      <protection hidden="1"/>
    </xf>
    <xf numFmtId="0" fontId="0" fillId="21" borderId="9" xfId="0" applyFill="1" applyBorder="1" applyAlignment="1" applyProtection="1">
      <alignment horizontal="center" vertical="center"/>
      <protection hidden="1"/>
    </xf>
    <xf numFmtId="0" fontId="0" fillId="21" borderId="15" xfId="0" applyFill="1" applyBorder="1" applyAlignment="1" applyProtection="1">
      <alignment horizontal="center" vertical="center"/>
      <protection hidden="1"/>
    </xf>
    <xf numFmtId="0" fontId="0" fillId="21" borderId="1" xfId="0" applyFill="1" applyBorder="1" applyAlignment="1" applyProtection="1">
      <alignment horizontal="center" vertical="center"/>
      <protection hidden="1"/>
    </xf>
    <xf numFmtId="0" fontId="0" fillId="21" borderId="12" xfId="0" applyFill="1" applyBorder="1" applyAlignment="1" applyProtection="1">
      <alignment horizontal="center" vertical="center"/>
      <protection hidden="1"/>
    </xf>
    <xf numFmtId="0" fontId="0" fillId="21" borderId="9" xfId="0" applyFill="1" applyBorder="1" applyAlignment="1" applyProtection="1">
      <protection hidden="1"/>
    </xf>
    <xf numFmtId="0" fontId="0" fillId="21" borderId="15" xfId="0" applyFill="1" applyBorder="1" applyAlignment="1" applyProtection="1">
      <protection hidden="1"/>
    </xf>
    <xf numFmtId="38" fontId="6" fillId="2" borderId="0" xfId="0" applyNumberFormat="1" applyFont="1" applyFill="1" applyBorder="1" applyAlignment="1" applyProtection="1">
      <alignment horizontal="right"/>
      <protection hidden="1"/>
    </xf>
    <xf numFmtId="0" fontId="0" fillId="2" borderId="0" xfId="0" applyFill="1" applyBorder="1" applyAlignment="1" applyProtection="1">
      <alignment horizontal="right"/>
      <protection hidden="1"/>
    </xf>
    <xf numFmtId="14" fontId="11" fillId="2" borderId="62" xfId="0" applyNumberFormat="1" applyFont="1" applyFill="1" applyBorder="1" applyAlignment="1" applyProtection="1">
      <alignment horizontal="center"/>
      <protection locked="0"/>
    </xf>
    <xf numFmtId="14" fontId="1" fillId="0" borderId="63" xfId="0" applyNumberFormat="1" applyFont="1" applyBorder="1" applyAlignment="1" applyProtection="1">
      <alignment horizontal="center"/>
      <protection locked="0"/>
    </xf>
    <xf numFmtId="1" fontId="8" fillId="2" borderId="62" xfId="0" applyNumberFormat="1" applyFont="1" applyFill="1" applyBorder="1" applyAlignment="1" applyProtection="1">
      <alignment horizontal="center"/>
      <protection locked="0"/>
    </xf>
    <xf numFmtId="1" fontId="0" fillId="0" borderId="63" xfId="0" applyNumberFormat="1" applyBorder="1" applyAlignment="1" applyProtection="1">
      <alignment horizontal="center"/>
      <protection locked="0"/>
    </xf>
    <xf numFmtId="0" fontId="8" fillId="5" borderId="6" xfId="0" applyFont="1" applyFill="1" applyBorder="1" applyAlignment="1" applyProtection="1">
      <alignment horizontal="center"/>
      <protection hidden="1"/>
    </xf>
    <xf numFmtId="0" fontId="0" fillId="0" borderId="21" xfId="0" applyBorder="1" applyAlignment="1" applyProtection="1">
      <protection hidden="1"/>
    </xf>
    <xf numFmtId="169" fontId="19" fillId="2" borderId="0" xfId="0" applyNumberFormat="1" applyFont="1" applyFill="1" applyBorder="1" applyAlignment="1" applyProtection="1">
      <alignment horizontal="left"/>
      <protection hidden="1"/>
    </xf>
    <xf numFmtId="0" fontId="19" fillId="0" borderId="0" xfId="0" applyFont="1" applyAlignment="1" applyProtection="1">
      <alignment horizontal="left"/>
      <protection hidden="1"/>
    </xf>
    <xf numFmtId="0" fontId="187" fillId="2" borderId="8" xfId="0" applyFont="1" applyFill="1" applyBorder="1" applyAlignment="1" applyProtection="1">
      <protection hidden="1"/>
    </xf>
    <xf numFmtId="0" fontId="187" fillId="0" borderId="8" xfId="0" applyFont="1" applyBorder="1" applyAlignment="1"/>
    <xf numFmtId="0" fontId="8" fillId="2" borderId="6" xfId="0" applyFont="1" applyFill="1" applyBorder="1" applyAlignment="1" applyProtection="1">
      <alignment horizontal="center"/>
      <protection hidden="1"/>
    </xf>
    <xf numFmtId="38" fontId="19" fillId="33" borderId="1" xfId="0" applyNumberFormat="1" applyFont="1" applyFill="1" applyBorder="1" applyAlignment="1" applyProtection="1">
      <protection hidden="1"/>
    </xf>
    <xf numFmtId="0" fontId="0" fillId="33" borderId="1" xfId="0" applyFill="1" applyBorder="1" applyAlignment="1" applyProtection="1">
      <protection hidden="1"/>
    </xf>
    <xf numFmtId="38" fontId="0" fillId="33" borderId="1" xfId="0" applyNumberFormat="1" applyFill="1" applyBorder="1" applyAlignment="1" applyProtection="1">
      <protection hidden="1"/>
    </xf>
    <xf numFmtId="38" fontId="0" fillId="22" borderId="1" xfId="0" applyNumberFormat="1" applyFill="1" applyBorder="1" applyAlignment="1" applyProtection="1">
      <protection locked="0"/>
    </xf>
    <xf numFmtId="0" fontId="4" fillId="2" borderId="0" xfId="0" applyFont="1" applyFill="1" applyAlignment="1" applyProtection="1">
      <alignment horizontal="left"/>
      <protection hidden="1"/>
    </xf>
    <xf numFmtId="0" fontId="0" fillId="0" borderId="0" xfId="0" applyAlignment="1" applyProtection="1">
      <alignment horizontal="left"/>
      <protection hidden="1"/>
    </xf>
    <xf numFmtId="38" fontId="0" fillId="33" borderId="40" xfId="0" applyNumberFormat="1" applyFill="1" applyBorder="1" applyAlignment="1" applyProtection="1">
      <protection hidden="1"/>
    </xf>
    <xf numFmtId="0" fontId="0" fillId="33" borderId="26" xfId="0" applyFill="1" applyBorder="1" applyAlignment="1" applyProtection="1">
      <protection hidden="1"/>
    </xf>
    <xf numFmtId="0" fontId="0" fillId="33" borderId="55" xfId="0" applyFill="1" applyBorder="1" applyAlignment="1" applyProtection="1">
      <protection hidden="1"/>
    </xf>
    <xf numFmtId="38" fontId="0" fillId="33" borderId="1" xfId="0" applyNumberFormat="1" applyFill="1" applyBorder="1" applyAlignment="1" applyProtection="1">
      <alignment horizontal="right"/>
      <protection hidden="1"/>
    </xf>
    <xf numFmtId="0" fontId="0" fillId="33" borderId="1" xfId="0" applyFill="1" applyBorder="1" applyAlignment="1">
      <alignment horizontal="right"/>
    </xf>
    <xf numFmtId="0" fontId="23" fillId="2" borderId="0" xfId="0" applyFont="1" applyFill="1" applyBorder="1" applyAlignment="1" applyProtection="1">
      <protection hidden="1"/>
    </xf>
    <xf numFmtId="3" fontId="63" fillId="2" borderId="0" xfId="0" applyNumberFormat="1" applyFont="1" applyFill="1" applyBorder="1" applyAlignment="1" applyProtection="1">
      <protection hidden="1"/>
    </xf>
    <xf numFmtId="3" fontId="23" fillId="0" borderId="0" xfId="0" applyNumberFormat="1" applyFont="1" applyAlignment="1"/>
    <xf numFmtId="0" fontId="0" fillId="33" borderId="1" xfId="0" applyFill="1" applyBorder="1" applyAlignment="1"/>
    <xf numFmtId="0" fontId="155" fillId="2" borderId="0" xfId="4" applyFont="1" applyFill="1" applyBorder="1" applyAlignment="1" applyProtection="1">
      <alignment horizontal="center" vertical="center"/>
      <protection hidden="1"/>
    </xf>
    <xf numFmtId="49" fontId="89" fillId="17" borderId="0" xfId="4" applyNumberFormat="1" applyFont="1" applyFill="1" applyBorder="1" applyAlignment="1" applyProtection="1">
      <alignment horizontal="center" vertical="center"/>
      <protection hidden="1"/>
    </xf>
    <xf numFmtId="0" fontId="3" fillId="2" borderId="0" xfId="4" applyFill="1" applyBorder="1" applyAlignment="1" applyProtection="1">
      <alignment horizontal="left" vertical="center"/>
      <protection hidden="1"/>
    </xf>
    <xf numFmtId="0" fontId="3" fillId="2" borderId="25" xfId="4" applyFill="1" applyBorder="1" applyAlignment="1" applyProtection="1">
      <alignment horizontal="left" vertical="center"/>
      <protection hidden="1"/>
    </xf>
    <xf numFmtId="0" fontId="104" fillId="17" borderId="0" xfId="4" applyFont="1" applyFill="1" applyAlignment="1">
      <alignment horizontal="center" vertical="center"/>
    </xf>
    <xf numFmtId="0" fontId="154" fillId="0" borderId="0" xfId="0" applyFont="1" applyAlignment="1">
      <alignment horizontal="center" vertical="center"/>
    </xf>
  </cellXfs>
  <cellStyles count="6">
    <cellStyle name="Currency" xfId="1" builtinId="4"/>
    <cellStyle name="Hyperlink" xfId="2" builtinId="8"/>
    <cellStyle name="Hyperlink 2" xfId="3"/>
    <cellStyle name="Hyperlink 3" xfId="5"/>
    <cellStyle name="Normal" xfId="0" builtinId="0"/>
    <cellStyle name="Normal 2" xfId="4"/>
  </cellStyles>
  <dxfs count="1083">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rgb="FFFF0000"/>
      </font>
    </dxf>
    <dxf>
      <font>
        <color rgb="FFFF0000"/>
      </font>
    </dxf>
    <dxf>
      <border>
        <bottom style="thin">
          <color indexed="64"/>
        </bottom>
      </border>
    </dxf>
    <dxf>
      <border>
        <bottom style="thin">
          <color indexed="64"/>
        </bottom>
      </border>
    </dxf>
    <dxf>
      <border>
        <bottom style="thin">
          <color indexed="64"/>
        </bottom>
      </border>
    </dxf>
    <dxf>
      <font>
        <color rgb="FFFF0000"/>
      </font>
    </dxf>
    <dxf>
      <font>
        <color rgb="FFFF0000"/>
      </font>
    </dxf>
    <dxf>
      <font>
        <color rgb="FFFF0000"/>
      </font>
    </dxf>
    <dxf>
      <font>
        <color rgb="FFFF0000"/>
      </font>
    </dxf>
    <dxf>
      <font>
        <b/>
        <i val="0"/>
        <condense val="0"/>
        <extend val="0"/>
        <color indexed="50"/>
      </font>
    </dxf>
    <dxf>
      <border>
        <bottom style="dotted">
          <color indexed="64"/>
        </bottom>
      </border>
    </dxf>
    <dxf>
      <font>
        <b/>
        <i val="0"/>
        <condense val="0"/>
        <extend val="0"/>
        <color indexed="1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10"/>
      </font>
    </dxf>
    <dxf>
      <font>
        <condense val="0"/>
        <extend val="0"/>
        <color indexed="10"/>
      </font>
    </dxf>
    <dxf>
      <font>
        <condense val="0"/>
        <extend val="0"/>
        <color indexed="10"/>
      </font>
    </dxf>
    <dxf>
      <border>
        <left style="thin">
          <color indexed="64"/>
        </left>
        <right style="thin">
          <color indexed="64"/>
        </right>
        <top style="thin">
          <color indexed="64"/>
        </top>
        <bottom style="thin">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color rgb="FFFF000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font>
        <condense val="0"/>
        <extend val="0"/>
        <color indexed="9"/>
      </font>
      <border>
        <left/>
        <right/>
        <top/>
        <bottom/>
      </border>
    </dxf>
    <dxf>
      <font>
        <condense val="0"/>
        <extend val="0"/>
        <color indexed="9"/>
      </font>
    </dxf>
    <dxf>
      <border>
        <top/>
      </border>
    </dxf>
    <dxf>
      <font>
        <condense val="0"/>
        <extend val="0"/>
        <color indexed="9"/>
      </font>
    </dxf>
    <dxf>
      <font>
        <condense val="0"/>
        <extend val="0"/>
        <color indexed="9"/>
      </font>
      <border>
        <right/>
      </border>
    </dxf>
    <dxf>
      <border>
        <left/>
        <right/>
        <bottom/>
      </border>
    </dxf>
    <dxf>
      <border>
        <left/>
        <bottom/>
      </border>
    </dxf>
    <dxf>
      <border>
        <left/>
        <right/>
        <top/>
        <bottom/>
      </border>
    </dxf>
    <dxf>
      <font>
        <condense val="0"/>
        <extend val="0"/>
        <color indexed="9"/>
      </font>
    </dxf>
    <dxf>
      <font>
        <b/>
        <i val="0"/>
        <condense val="0"/>
        <extend val="0"/>
        <color indexed="10"/>
      </font>
    </dxf>
    <dxf>
      <font>
        <condense val="0"/>
        <extend val="0"/>
        <color indexed="9"/>
      </font>
    </dxf>
    <dxf>
      <font>
        <b/>
        <i val="0"/>
        <condense val="0"/>
        <extend val="0"/>
        <color indexed="10"/>
      </font>
    </dxf>
    <dxf>
      <font>
        <condense val="0"/>
        <extend val="0"/>
        <color indexed="9"/>
      </font>
    </dxf>
    <dxf>
      <border>
        <left style="thin">
          <color indexed="64"/>
        </left>
        <right style="thin">
          <color indexed="64"/>
        </right>
        <top style="thin">
          <color indexed="64"/>
        </top>
        <bottom style="thin">
          <color indexed="64"/>
        </bottom>
      </border>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10"/>
      </font>
    </dxf>
    <dxf>
      <font>
        <b/>
        <i val="0"/>
        <color rgb="FFFF0000"/>
      </font>
    </dxf>
    <dxf>
      <font>
        <condense val="0"/>
        <extend val="0"/>
        <color indexed="9"/>
      </font>
    </dxf>
    <dxf>
      <border>
        <left/>
        <right/>
        <top/>
        <bottom/>
      </border>
    </dxf>
    <dxf>
      <font>
        <color theme="0"/>
      </font>
    </dxf>
    <dxf>
      <font>
        <color theme="0"/>
      </font>
    </dxf>
    <dxf>
      <font>
        <color theme="0"/>
      </font>
    </dxf>
    <dxf>
      <font>
        <condense val="0"/>
        <extend val="0"/>
        <color indexed="10"/>
      </font>
    </dxf>
    <dxf>
      <font>
        <condense val="0"/>
        <extend val="0"/>
        <color indexed="9"/>
      </font>
    </dxf>
    <dxf>
      <font>
        <b/>
        <i val="0"/>
        <condense val="0"/>
        <extend val="0"/>
        <color indexed="10"/>
      </font>
    </dxf>
    <dxf>
      <border>
        <bottom style="thin">
          <color indexed="64"/>
        </bottom>
      </border>
    </dxf>
    <dxf>
      <font>
        <color theme="4" tint="0.79998168889431442"/>
      </font>
    </dxf>
    <dxf>
      <fill>
        <patternFill>
          <bgColor theme="0"/>
        </patternFill>
      </fill>
    </dxf>
    <dxf>
      <font>
        <color theme="4" tint="0.7999816888943144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4" tint="0.7999816888943144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val="0"/>
        <i val="0"/>
        <color rgb="FFFF0000"/>
      </font>
    </dxf>
    <dxf>
      <font>
        <b val="0"/>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ill>
        <patternFill>
          <bgColor theme="0"/>
        </patternFill>
      </fill>
    </dxf>
    <dxf>
      <font>
        <b/>
        <i val="0"/>
        <color rgb="FFFF0000"/>
      </font>
    </dxf>
    <dxf>
      <font>
        <b/>
        <i val="0"/>
        <color rgb="FFFF0000"/>
      </font>
    </dxf>
    <dxf>
      <fill>
        <patternFill>
          <bgColor theme="0"/>
        </patternFill>
      </fill>
    </dxf>
    <dxf>
      <fill>
        <patternFill>
          <bgColor theme="0"/>
        </patternFill>
      </fill>
    </dxf>
    <dxf>
      <font>
        <b/>
        <i val="0"/>
        <color rgb="FFFF0000"/>
      </font>
      <fill>
        <patternFill>
          <bgColor theme="0"/>
        </patternFill>
      </fill>
    </dxf>
    <dxf>
      <font>
        <b/>
        <i val="0"/>
        <color theme="1"/>
      </font>
      <fill>
        <patternFill>
          <bgColor theme="0"/>
        </patternFill>
      </fill>
      <border>
        <left style="thin">
          <color indexed="64"/>
        </left>
        <right style="thin">
          <color indexed="64"/>
        </right>
        <top style="thin">
          <color indexed="64"/>
        </top>
        <bottom style="thin">
          <color indexed="64"/>
        </bottom>
      </border>
    </dxf>
    <dxf>
      <font>
        <b val="0"/>
        <i val="0"/>
        <color rgb="FFFF0000"/>
      </font>
    </dxf>
    <dxf>
      <font>
        <b val="0"/>
        <i val="0"/>
        <color rgb="FFFF0000"/>
      </font>
    </dxf>
    <dxf>
      <font>
        <b/>
        <i val="0"/>
        <color rgb="FFFF0000"/>
      </font>
    </dxf>
    <dxf>
      <font>
        <b val="0"/>
        <i val="0"/>
        <color rgb="FFFF0000"/>
      </font>
    </dxf>
    <dxf>
      <font>
        <b val="0"/>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ill>
        <patternFill>
          <bgColor theme="0"/>
        </patternFill>
      </fill>
    </dxf>
    <dxf>
      <fill>
        <patternFill>
          <bgColor theme="0"/>
        </patternFill>
      </fill>
    </dxf>
    <dxf>
      <fill>
        <patternFill>
          <bgColor theme="0"/>
        </patternFill>
      </fill>
    </dxf>
    <dxf>
      <font>
        <b/>
        <i val="0"/>
        <color rgb="FFFF0000"/>
      </font>
    </dxf>
    <dxf>
      <font>
        <b/>
        <i val="0"/>
        <color rgb="FFFF0000"/>
      </font>
    </dxf>
    <dxf>
      <fill>
        <patternFill>
          <bgColor theme="0"/>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patternFill>
      </fill>
    </dxf>
    <dxf>
      <fill>
        <patternFill>
          <bgColor theme="0"/>
        </patternFill>
      </fill>
    </dxf>
    <dxf>
      <font>
        <b/>
        <i val="0"/>
        <color rgb="FFFF0000"/>
      </font>
      <fill>
        <patternFill>
          <bgColor theme="0"/>
        </patternFill>
      </fill>
    </dxf>
    <dxf>
      <font>
        <b/>
        <i val="0"/>
        <color theme="1"/>
      </font>
      <fill>
        <patternFill>
          <bgColor theme="0"/>
        </patternFill>
      </fill>
      <border>
        <left style="thin">
          <color indexed="64"/>
        </left>
        <right style="thin">
          <color indexed="64"/>
        </right>
        <top style="thin">
          <color indexed="64"/>
        </top>
        <bottom style="thin">
          <color indexed="64"/>
        </bottom>
      </border>
    </dxf>
    <dxf>
      <font>
        <b val="0"/>
        <i val="0"/>
        <color rgb="FFFF0000"/>
      </font>
    </dxf>
    <dxf>
      <font>
        <b val="0"/>
        <i val="0"/>
        <color rgb="FFFF0000"/>
      </font>
    </dxf>
    <dxf>
      <font>
        <b/>
        <i val="0"/>
        <color rgb="FFFF0000"/>
      </font>
    </dxf>
    <dxf>
      <font>
        <b val="0"/>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fill>
        <patternFill>
          <bgColor theme="0"/>
        </patternFill>
      </fill>
    </dxf>
    <dxf>
      <font>
        <b/>
        <i val="0"/>
        <color theme="1"/>
      </font>
      <fill>
        <patternFill>
          <bgColor theme="0"/>
        </patternFill>
      </fill>
      <border>
        <left style="thin">
          <color indexed="64"/>
        </left>
        <right style="thin">
          <color indexed="64"/>
        </right>
        <top style="thin">
          <color indexed="64"/>
        </top>
        <bottom style="thin">
          <color indexed="64"/>
        </bottom>
      </border>
    </dxf>
    <dxf>
      <font>
        <b val="0"/>
        <i val="0"/>
        <color rgb="FFFF0000"/>
      </font>
    </dxf>
    <dxf>
      <font>
        <b val="0"/>
        <i val="0"/>
        <color rgb="FFFF0000"/>
      </font>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C00000"/>
      </font>
    </dxf>
    <dxf>
      <font>
        <color rgb="FF00B050"/>
      </font>
    </dxf>
    <dxf>
      <font>
        <color rgb="FFFF0000"/>
      </font>
    </dxf>
    <dxf>
      <font>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1"/>
      </font>
    </dxf>
    <dxf>
      <fill>
        <patternFill>
          <bgColor theme="0"/>
        </patternFill>
      </fill>
    </dxf>
    <dxf>
      <fill>
        <patternFill>
          <bgColor theme="0"/>
        </patternFill>
      </fill>
    </dxf>
    <dxf>
      <fill>
        <patternFill>
          <bgColor theme="0"/>
        </patternFill>
      </fill>
    </dxf>
    <dxf>
      <fill>
        <patternFill>
          <bgColor theme="0"/>
        </patternFill>
      </fill>
    </dxf>
    <dxf>
      <font>
        <color theme="1"/>
      </font>
    </dxf>
    <dxf>
      <font>
        <color theme="1"/>
      </font>
    </dxf>
    <dxf>
      <font>
        <color theme="1"/>
      </font>
    </dxf>
    <dxf>
      <font>
        <color theme="1"/>
      </font>
    </dxf>
    <dxf>
      <border>
        <left style="thin">
          <color auto="1"/>
        </left>
        <right style="thin">
          <color auto="1"/>
        </right>
        <top style="thin">
          <color auto="1"/>
        </top>
        <bottom style="thin">
          <color auto="1"/>
        </bottom>
        <vertical/>
        <horizontal/>
      </border>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rgb="FFFF0000"/>
      </font>
    </dxf>
    <dxf>
      <font>
        <color theme="0" tint="-4.9989318521683403E-2"/>
      </font>
      <fill>
        <patternFill patternType="solid">
          <bgColor theme="0" tint="-4.9989318521683403E-2"/>
        </patternFill>
      </fill>
      <border>
        <left/>
        <right/>
        <top/>
        <bottom/>
        <vertical/>
        <horizontal/>
      </border>
    </dxf>
    <dxf>
      <font>
        <condense val="0"/>
        <extend val="0"/>
        <color indexed="10"/>
      </font>
    </dxf>
    <dxf>
      <font>
        <b/>
        <i val="0"/>
        <condense val="0"/>
        <extend val="0"/>
        <color indexed="10"/>
      </font>
    </dxf>
    <dxf>
      <font>
        <condense val="0"/>
        <extend val="0"/>
        <color indexed="9"/>
      </font>
    </dxf>
    <dxf>
      <font>
        <b val="0"/>
        <i val="0"/>
        <condense val="0"/>
        <extend val="0"/>
        <color indexed="10"/>
      </font>
    </dxf>
    <dxf>
      <font>
        <b/>
        <i/>
        <condense val="0"/>
        <extend val="0"/>
        <color indexed="10"/>
      </font>
    </dxf>
    <dxf>
      <font>
        <condense val="0"/>
        <extend val="0"/>
        <color indexed="10"/>
      </font>
    </dxf>
    <dxf>
      <font>
        <b/>
        <i val="0"/>
        <condense val="0"/>
        <extend val="0"/>
        <color indexed="10"/>
      </font>
    </dxf>
    <dxf>
      <font>
        <b/>
        <i val="0"/>
        <color rgb="FFFF0000"/>
      </font>
    </dxf>
    <dxf>
      <font>
        <condense val="0"/>
        <extend val="0"/>
        <color indexed="9"/>
      </font>
    </dxf>
    <dxf>
      <font>
        <b val="0"/>
        <i val="0"/>
        <condense val="0"/>
        <extend val="0"/>
        <color indexed="10"/>
      </font>
    </dxf>
    <dxf>
      <font>
        <b/>
        <i val="0"/>
        <condense val="0"/>
        <extend val="0"/>
        <color indexed="10"/>
      </font>
    </dxf>
    <dxf>
      <font>
        <b/>
        <i val="0"/>
        <condense val="0"/>
        <extend val="0"/>
        <color indexed="17"/>
      </font>
    </dxf>
    <dxf>
      <font>
        <condense val="0"/>
        <extend val="0"/>
        <color indexed="22"/>
      </font>
    </dxf>
    <dxf>
      <font>
        <b/>
        <i val="0"/>
        <condense val="0"/>
        <extend val="0"/>
      </font>
    </dxf>
    <dxf>
      <font>
        <b/>
        <i val="0"/>
        <condense val="0"/>
        <extend val="0"/>
      </font>
    </dxf>
    <dxf>
      <font>
        <condense val="0"/>
        <extend val="0"/>
        <color indexed="10"/>
      </font>
    </dxf>
    <dxf>
      <fill>
        <patternFill>
          <bgColor theme="0"/>
        </patternFill>
      </fill>
    </dxf>
    <dxf>
      <fill>
        <patternFill>
          <bgColor theme="0"/>
        </patternFill>
      </fill>
    </dxf>
    <dxf>
      <fill>
        <patternFill>
          <bgColor theme="0"/>
        </patternFill>
      </fill>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color auto="1"/>
      </font>
    </dxf>
    <dxf>
      <font>
        <strike val="0"/>
        <color auto="1"/>
      </font>
    </dxf>
    <dxf>
      <font>
        <strike val="0"/>
        <color auto="1"/>
      </font>
      <border>
        <left style="thin">
          <color auto="1"/>
        </left>
        <right style="thin">
          <color auto="1"/>
        </right>
        <top style="thin">
          <color auto="1"/>
        </top>
        <bottom style="thin">
          <color auto="1"/>
        </bottom>
        <vertical/>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strike val="0"/>
        <color auto="1"/>
      </font>
    </dxf>
    <dxf>
      <border>
        <left style="thin">
          <color auto="1"/>
        </left>
        <right style="thin">
          <color auto="1"/>
        </right>
        <top style="thin">
          <color auto="1"/>
        </top>
        <bottom style="thin">
          <color auto="1"/>
        </bottom>
        <vertical/>
        <horizontal/>
      </border>
    </dxf>
    <dxf>
      <font>
        <color auto="1"/>
      </font>
      <border>
        <left style="thin">
          <color auto="1"/>
        </left>
        <right style="thin">
          <color auto="1"/>
        </right>
        <top style="thin">
          <color auto="1"/>
        </top>
        <bottom style="thin">
          <color auto="1"/>
        </bottom>
        <vertical/>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9"/>
      </font>
    </dxf>
    <dxf>
      <fill>
        <patternFill>
          <bgColor theme="0"/>
        </patternFill>
      </fill>
    </dxf>
    <dxf>
      <font>
        <condense val="0"/>
        <extend val="0"/>
        <color indexed="9"/>
      </font>
    </dxf>
    <dxf>
      <fill>
        <patternFill>
          <bgColor theme="0"/>
        </patternFill>
      </fill>
    </dxf>
    <dxf>
      <font>
        <condense val="0"/>
        <extend val="0"/>
        <color indexed="9"/>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9"/>
      </font>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9"/>
      </font>
    </dxf>
    <dxf>
      <fill>
        <patternFill>
          <bgColor theme="0"/>
        </patternFill>
      </fill>
    </dxf>
    <dxf>
      <font>
        <condense val="0"/>
        <extend val="0"/>
        <color indexed="9"/>
      </font>
    </dxf>
    <dxf>
      <fill>
        <patternFill>
          <bgColor theme="0"/>
        </patternFill>
      </fill>
    </dxf>
    <dxf>
      <font>
        <condense val="0"/>
        <extend val="0"/>
        <color indexed="9"/>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rgb="FFFF0000"/>
      </font>
    </dxf>
    <dxf>
      <font>
        <color rgb="FFFF0000"/>
      </font>
    </dxf>
    <dxf>
      <font>
        <b/>
        <i val="0"/>
        <condense val="0"/>
        <extend val="0"/>
        <color indexed="10"/>
      </font>
    </dxf>
    <dxf>
      <fill>
        <patternFill>
          <bgColor indexed="22"/>
        </patternFill>
      </fill>
      <border>
        <left/>
        <right/>
        <top/>
        <bottom/>
      </border>
    </dxf>
    <dxf>
      <fill>
        <patternFill patternType="solid">
          <bgColor indexed="9"/>
        </patternFill>
      </fill>
    </dxf>
    <dxf>
      <font>
        <condense val="0"/>
        <extend val="0"/>
        <color indexed="9"/>
      </font>
    </dxf>
    <dxf>
      <font>
        <condense val="0"/>
        <extend val="0"/>
        <color indexed="9"/>
      </font>
    </dxf>
    <dxf>
      <font>
        <b/>
        <i val="0"/>
        <condense val="0"/>
        <extend val="0"/>
        <color indexed="10"/>
      </font>
    </dxf>
    <dxf>
      <font>
        <condense val="0"/>
        <extend val="0"/>
        <color indexed="9"/>
      </font>
    </dxf>
    <dxf>
      <font>
        <b/>
        <i val="0"/>
        <condense val="0"/>
        <extend val="0"/>
        <color indexed="10"/>
      </font>
    </dxf>
    <dxf>
      <font>
        <condense val="0"/>
        <extend val="0"/>
      </font>
      <fill>
        <patternFill>
          <bgColor indexed="9"/>
        </patternFill>
      </fill>
    </dxf>
    <dxf>
      <fill>
        <patternFill patternType="lightUp"/>
      </fill>
    </dxf>
    <dxf>
      <fill>
        <patternFill patternType="lightUp"/>
      </fill>
    </dxf>
    <dxf>
      <fill>
        <patternFill patternType="lightUp"/>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indexed="47"/>
        </patternFill>
      </fill>
    </dxf>
    <dxf>
      <font>
        <b/>
        <i val="0"/>
        <color rgb="FFFF0000"/>
      </font>
    </dxf>
    <dxf>
      <font>
        <b/>
        <i val="0"/>
        <color rgb="FFFF0000"/>
      </font>
    </dxf>
    <dxf>
      <font>
        <color rgb="FFFF0000"/>
      </font>
    </dxf>
    <dxf>
      <font>
        <color rgb="FFFF0000"/>
      </font>
    </dxf>
    <dxf>
      <font>
        <color rgb="FFFF0000"/>
      </font>
    </dxf>
    <dxf>
      <fill>
        <patternFill>
          <bgColor indexed="47"/>
        </patternFill>
      </fill>
    </dxf>
    <dxf>
      <font>
        <color rgb="FFFF0000"/>
      </font>
    </dxf>
    <dxf>
      <font>
        <b/>
        <i val="0"/>
        <color rgb="FFFF0000"/>
      </font>
    </dxf>
    <dxf>
      <font>
        <b/>
        <i val="0"/>
        <condense val="0"/>
        <extend val="0"/>
        <color indexed="17"/>
      </font>
    </dxf>
    <dxf>
      <fill>
        <patternFill>
          <bgColor indexed="47"/>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ndense val="0"/>
        <extend val="0"/>
        <color indexed="10"/>
      </font>
    </dxf>
    <dxf>
      <font>
        <b/>
        <i val="0"/>
        <condense val="0"/>
        <extend val="0"/>
        <color indexed="10"/>
      </font>
    </dxf>
    <dxf>
      <font>
        <b/>
        <i val="0"/>
        <condense val="0"/>
        <extend val="0"/>
        <color indexed="1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ont>
        <b/>
        <i val="0"/>
        <color rgb="FFFF0000"/>
      </font>
    </dxf>
    <dxf>
      <font>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rgb="FFFF0000"/>
      </font>
    </dxf>
    <dxf>
      <font>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color auto="1"/>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color auto="1"/>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color theme="0"/>
      </font>
    </dxf>
    <dxf>
      <font>
        <strike val="0"/>
        <color theme="0"/>
      </font>
    </dxf>
    <dxf>
      <font>
        <strike val="0"/>
        <color auto="1"/>
      </font>
      <border>
        <left/>
        <right/>
        <top/>
        <bottom/>
        <vertical/>
        <horizontal/>
      </border>
    </dxf>
    <dxf>
      <font>
        <b/>
        <i val="0"/>
        <condense val="0"/>
        <extend val="0"/>
        <color indexed="10"/>
      </font>
    </dxf>
    <dxf>
      <font>
        <b/>
        <i val="0"/>
        <condense val="0"/>
        <extend val="0"/>
        <color indexed="10"/>
      </font>
    </dxf>
    <dxf>
      <font>
        <b/>
        <i val="0"/>
        <condense val="0"/>
        <extend val="0"/>
        <color indexed="10"/>
      </font>
    </dxf>
    <dxf>
      <fill>
        <patternFill>
          <fgColor indexed="64"/>
          <bgColor theme="0"/>
        </patternFill>
      </fill>
    </dxf>
    <dxf>
      <font>
        <color theme="0"/>
      </font>
    </dxf>
    <dxf>
      <fill>
        <patternFill>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ont>
        <color rgb="FFFF0000"/>
      </font>
    </dxf>
    <dxf>
      <fill>
        <patternFill>
          <fgColor indexed="64"/>
          <bgColor theme="0"/>
        </patternFill>
      </fill>
    </dxf>
    <dxf>
      <fill>
        <patternFill>
          <fgColor indexed="64"/>
          <bgColor theme="0"/>
        </patternFill>
      </fill>
    </dxf>
    <dxf>
      <font>
        <color rgb="FFFF0000"/>
      </font>
    </dxf>
    <dxf>
      <font>
        <color rgb="FFFF0000"/>
      </font>
    </dxf>
    <dxf>
      <fill>
        <patternFill>
          <bgColor theme="0"/>
        </patternFill>
      </fill>
    </dxf>
    <dxf>
      <fill>
        <patternFill>
          <bgColor theme="0"/>
        </patternFill>
      </fill>
    </dxf>
    <dxf>
      <fill>
        <patternFill>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0"/>
        </patternFill>
      </fill>
    </dxf>
    <dxf>
      <font>
        <color theme="0"/>
      </font>
    </dxf>
    <dxf>
      <fill>
        <patternFill>
          <fgColor indexed="64"/>
          <bgColor theme="0"/>
        </patternFill>
      </fill>
    </dxf>
    <dxf>
      <fill>
        <patternFill>
          <fgColor indexed="64"/>
          <bgColor theme="0"/>
        </patternFill>
      </fill>
    </dxf>
    <dxf>
      <fill>
        <patternFill>
          <bgColor theme="0"/>
        </patternFill>
      </fill>
    </dxf>
    <dxf>
      <font>
        <color theme="0"/>
      </font>
      <fill>
        <patternFill>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ont>
        <strike val="0"/>
        <color auto="1"/>
      </font>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ont>
        <b/>
        <i val="0"/>
        <condense val="0"/>
        <extend val="0"/>
        <color auto="1"/>
      </font>
      <border>
        <left style="thin">
          <color indexed="64"/>
        </left>
        <right style="thin">
          <color indexed="64"/>
        </right>
        <top style="thin">
          <color indexed="64"/>
        </top>
        <bottom style="thin">
          <color indexed="64"/>
        </bottom>
      </border>
    </dxf>
    <dxf>
      <font>
        <condense val="0"/>
        <extend val="0"/>
        <color indexed="9"/>
      </font>
    </dxf>
    <dxf>
      <font>
        <condense val="0"/>
        <extend val="0"/>
        <color indexed="10"/>
      </font>
    </dxf>
    <dxf>
      <border>
        <left style="thin">
          <color indexed="64"/>
        </left>
        <right style="thin">
          <color indexed="64"/>
        </right>
        <top style="thin">
          <color indexed="64"/>
        </top>
        <bottom style="thin">
          <color indexed="64"/>
        </bottom>
      </border>
    </dxf>
    <dxf>
      <font>
        <b/>
        <i val="0"/>
        <condense val="0"/>
        <extend val="0"/>
        <color indexed="10"/>
      </font>
    </dxf>
    <dxf>
      <font>
        <condense val="0"/>
        <extend val="0"/>
        <color indexed="10"/>
      </font>
      <fill>
        <patternFill patternType="solid">
          <bgColor indexed="9"/>
        </patternFill>
      </fill>
    </dxf>
    <dxf>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10"/>
      </font>
    </dxf>
    <dxf>
      <font>
        <b/>
        <i val="0"/>
        <condense val="0"/>
        <extend val="0"/>
        <color indexed="10"/>
      </font>
    </dxf>
    <dxf>
      <font>
        <b/>
        <i val="0"/>
        <color rgb="FF00B050"/>
      </font>
    </dxf>
    <dxf>
      <font>
        <b/>
        <i val="0"/>
        <color rgb="FF00B050"/>
      </font>
    </dxf>
    <dxf>
      <font>
        <b/>
        <i val="0"/>
        <color rgb="FF00B050"/>
      </font>
    </dxf>
    <dxf>
      <font>
        <b/>
        <i val="0"/>
        <color rgb="FF00B05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D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7.jpg"/></Relationships>
</file>

<file path=xl/drawings/_rels/drawing11.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2.emf"/></Relationships>
</file>

<file path=xl/drawings/_rels/drawing12.xml.rels><?xml version="1.0" encoding="UTF-8" standalone="yes"?>
<Relationships xmlns="http://schemas.openxmlformats.org/package/2006/relationships"><Relationship Id="rId1" Type="http://schemas.openxmlformats.org/officeDocument/2006/relationships/image" Target="../media/image2.emf"/></Relationships>
</file>

<file path=xl/drawings/_rels/drawing13.xml.rels><?xml version="1.0" encoding="UTF-8" standalone="yes"?>
<Relationships xmlns="http://schemas.openxmlformats.org/package/2006/relationships"><Relationship Id="rId1" Type="http://schemas.openxmlformats.org/officeDocument/2006/relationships/image" Target="../media/image2.emf"/></Relationships>
</file>

<file path=xl/drawings/_rels/drawing14.xml.rels><?xml version="1.0" encoding="UTF-8" standalone="yes"?>
<Relationships xmlns="http://schemas.openxmlformats.org/package/2006/relationships"><Relationship Id="rId1" Type="http://schemas.openxmlformats.org/officeDocument/2006/relationships/image" Target="../media/image2.emf"/></Relationships>
</file>

<file path=xl/drawings/_rels/drawing15.xml.rels><?xml version="1.0" encoding="UTF-8" standalone="yes"?>
<Relationships xmlns="http://schemas.openxmlformats.org/package/2006/relationships"><Relationship Id="rId1" Type="http://schemas.openxmlformats.org/officeDocument/2006/relationships/image" Target="../media/image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emf"/></Relationships>
</file>

<file path=xl/drawings/_rels/drawing1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9.png"/></Relationships>
</file>

<file path=xl/drawings/_rels/drawing19.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emf"/></Relationships>
</file>

<file path=xl/drawings/_rels/drawing20.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1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5.png"/></Relationships>
</file>

<file path=xl/drawings/_rels/drawing2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5.png"/><Relationship Id="rId1" Type="http://schemas.openxmlformats.org/officeDocument/2006/relationships/image" Target="../media/image13.jpeg"/><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emf"/></Relationships>
</file>

<file path=xl/drawings/_rels/drawing9.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5</xdr:col>
      <xdr:colOff>38100</xdr:colOff>
      <xdr:row>14</xdr:row>
      <xdr:rowOff>28575</xdr:rowOff>
    </xdr:from>
    <xdr:to>
      <xdr:col>5</xdr:col>
      <xdr:colOff>485775</xdr:colOff>
      <xdr:row>15</xdr:row>
      <xdr:rowOff>152400</xdr:rowOff>
    </xdr:to>
    <xdr:pic>
      <xdr:nvPicPr>
        <xdr:cNvPr id="3232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0" y="3505200"/>
          <a:ext cx="4476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18</xdr:row>
      <xdr:rowOff>57150</xdr:rowOff>
    </xdr:from>
    <xdr:to>
      <xdr:col>9</xdr:col>
      <xdr:colOff>615950</xdr:colOff>
      <xdr:row>18</xdr:row>
      <xdr:rowOff>57150</xdr:rowOff>
    </xdr:to>
    <xdr:sp macro="" textlink="">
      <xdr:nvSpPr>
        <xdr:cNvPr id="2" name="Line 1"/>
        <xdr:cNvSpPr>
          <a:spLocks noChangeShapeType="1"/>
        </xdr:cNvSpPr>
      </xdr:nvSpPr>
      <xdr:spPr bwMode="auto">
        <a:xfrm>
          <a:off x="3841750" y="3352800"/>
          <a:ext cx="615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12700</xdr:colOff>
      <xdr:row>20</xdr:row>
      <xdr:rowOff>88900</xdr:rowOff>
    </xdr:from>
    <xdr:to>
      <xdr:col>9</xdr:col>
      <xdr:colOff>628650</xdr:colOff>
      <xdr:row>20</xdr:row>
      <xdr:rowOff>88900</xdr:rowOff>
    </xdr:to>
    <xdr:sp macro="" textlink="">
      <xdr:nvSpPr>
        <xdr:cNvPr id="3" name="Line 2"/>
        <xdr:cNvSpPr>
          <a:spLocks noChangeShapeType="1"/>
        </xdr:cNvSpPr>
      </xdr:nvSpPr>
      <xdr:spPr bwMode="auto">
        <a:xfrm>
          <a:off x="3854450" y="3708400"/>
          <a:ext cx="615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247650</xdr:colOff>
      <xdr:row>18</xdr:row>
      <xdr:rowOff>57150</xdr:rowOff>
    </xdr:from>
    <xdr:to>
      <xdr:col>10</xdr:col>
      <xdr:colOff>806450</xdr:colOff>
      <xdr:row>18</xdr:row>
      <xdr:rowOff>57150</xdr:rowOff>
    </xdr:to>
    <xdr:sp macro="" textlink="">
      <xdr:nvSpPr>
        <xdr:cNvPr id="4" name="Line 3"/>
        <xdr:cNvSpPr>
          <a:spLocks noChangeShapeType="1"/>
        </xdr:cNvSpPr>
      </xdr:nvSpPr>
      <xdr:spPr bwMode="auto">
        <a:xfrm>
          <a:off x="4756150" y="3352800"/>
          <a:ext cx="558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292100</xdr:colOff>
      <xdr:row>20</xdr:row>
      <xdr:rowOff>88900</xdr:rowOff>
    </xdr:from>
    <xdr:to>
      <xdr:col>11</xdr:col>
      <xdr:colOff>0</xdr:colOff>
      <xdr:row>20</xdr:row>
      <xdr:rowOff>88900</xdr:rowOff>
    </xdr:to>
    <xdr:sp macro="" textlink="">
      <xdr:nvSpPr>
        <xdr:cNvPr id="5" name="Line 4"/>
        <xdr:cNvSpPr>
          <a:spLocks noChangeShapeType="1"/>
        </xdr:cNvSpPr>
      </xdr:nvSpPr>
      <xdr:spPr bwMode="auto">
        <a:xfrm>
          <a:off x="4800600" y="3708400"/>
          <a:ext cx="514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0</xdr:colOff>
      <xdr:row>77</xdr:row>
      <xdr:rowOff>44450</xdr:rowOff>
    </xdr:from>
    <xdr:to>
      <xdr:col>9</xdr:col>
      <xdr:colOff>101600</xdr:colOff>
      <xdr:row>84</xdr:row>
      <xdr:rowOff>0</xdr:rowOff>
    </xdr:to>
    <xdr:sp macro="" textlink="">
      <xdr:nvSpPr>
        <xdr:cNvPr id="6" name="AutoShape 6"/>
        <xdr:cNvSpPr>
          <a:spLocks/>
        </xdr:cNvSpPr>
      </xdr:nvSpPr>
      <xdr:spPr bwMode="auto">
        <a:xfrm>
          <a:off x="3841750" y="12928600"/>
          <a:ext cx="101600" cy="1123950"/>
        </a:xfrm>
        <a:prstGeom prst="rightBrace">
          <a:avLst>
            <a:gd name="adj1" fmla="val 9218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12</xdr:col>
      <xdr:colOff>28575</xdr:colOff>
      <xdr:row>1</xdr:row>
      <xdr:rowOff>76200</xdr:rowOff>
    </xdr:from>
    <xdr:to>
      <xdr:col>13</xdr:col>
      <xdr:colOff>295275</xdr:colOff>
      <xdr:row>5</xdr:row>
      <xdr:rowOff>153237</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91150" y="190500"/>
          <a:ext cx="1152525" cy="84856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484414</xdr:colOff>
      <xdr:row>52</xdr:row>
      <xdr:rowOff>88446</xdr:rowOff>
    </xdr:from>
    <xdr:to>
      <xdr:col>10</xdr:col>
      <xdr:colOff>570139</xdr:colOff>
      <xdr:row>56</xdr:row>
      <xdr:rowOff>155121</xdr:rowOff>
    </xdr:to>
    <xdr:sp macro="" textlink="">
      <xdr:nvSpPr>
        <xdr:cNvPr id="107241" name="AutoShape 7"/>
        <xdr:cNvSpPr>
          <a:spLocks/>
        </xdr:cNvSpPr>
      </xdr:nvSpPr>
      <xdr:spPr bwMode="auto">
        <a:xfrm>
          <a:off x="6370864" y="9575346"/>
          <a:ext cx="85725" cy="704850"/>
        </a:xfrm>
        <a:prstGeom prst="rightBrace">
          <a:avLst>
            <a:gd name="adj1" fmla="val 7060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27</xdr:col>
      <xdr:colOff>48986</xdr:colOff>
      <xdr:row>101</xdr:row>
      <xdr:rowOff>42182</xdr:rowOff>
    </xdr:from>
    <xdr:to>
      <xdr:col>27</xdr:col>
      <xdr:colOff>115661</xdr:colOff>
      <xdr:row>102</xdr:row>
      <xdr:rowOff>16159</xdr:rowOff>
    </xdr:to>
    <xdr:pic>
      <xdr:nvPicPr>
        <xdr:cNvPr id="107242" name="Picture 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660586" y="11140168"/>
          <a:ext cx="66675" cy="1537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9525</xdr:colOff>
      <xdr:row>105</xdr:row>
      <xdr:rowOff>0</xdr:rowOff>
    </xdr:from>
    <xdr:to>
      <xdr:col>27</xdr:col>
      <xdr:colOff>104775</xdr:colOff>
      <xdr:row>105</xdr:row>
      <xdr:rowOff>161925</xdr:rowOff>
    </xdr:to>
    <xdr:pic>
      <xdr:nvPicPr>
        <xdr:cNvPr id="107243" name="Picture 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602075" y="11458575"/>
          <a:ext cx="952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161925</xdr:colOff>
      <xdr:row>86</xdr:row>
      <xdr:rowOff>85725</xdr:rowOff>
    </xdr:from>
    <xdr:to>
      <xdr:col>7</xdr:col>
      <xdr:colOff>228600</xdr:colOff>
      <xdr:row>89</xdr:row>
      <xdr:rowOff>19050</xdr:rowOff>
    </xdr:to>
    <xdr:sp macro="" textlink="">
      <xdr:nvSpPr>
        <xdr:cNvPr id="107244" name="AutoShape 318"/>
        <xdr:cNvSpPr>
          <a:spLocks/>
        </xdr:cNvSpPr>
      </xdr:nvSpPr>
      <xdr:spPr bwMode="auto">
        <a:xfrm>
          <a:off x="4524375" y="15814675"/>
          <a:ext cx="66675" cy="447675"/>
        </a:xfrm>
        <a:prstGeom prst="rightBrace">
          <a:avLst>
            <a:gd name="adj1" fmla="val 34529"/>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790575</xdr:colOff>
      <xdr:row>84</xdr:row>
      <xdr:rowOff>84535</xdr:rowOff>
    </xdr:from>
    <xdr:to>
      <xdr:col>10</xdr:col>
      <xdr:colOff>847725</xdr:colOff>
      <xdr:row>85</xdr:row>
      <xdr:rowOff>1</xdr:rowOff>
    </xdr:to>
    <xdr:sp macro="" textlink="">
      <xdr:nvSpPr>
        <xdr:cNvPr id="107245" name="AutoShape 85"/>
        <xdr:cNvSpPr>
          <a:spLocks noChangeArrowheads="1"/>
        </xdr:cNvSpPr>
      </xdr:nvSpPr>
      <xdr:spPr bwMode="auto">
        <a:xfrm rot="5400000">
          <a:off x="6668691" y="15953185"/>
          <a:ext cx="76200" cy="5715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28</xdr:col>
      <xdr:colOff>575128</xdr:colOff>
      <xdr:row>75</xdr:row>
      <xdr:rowOff>144236</xdr:rowOff>
    </xdr:from>
    <xdr:to>
      <xdr:col>29</xdr:col>
      <xdr:colOff>99786</xdr:colOff>
      <xdr:row>77</xdr:row>
      <xdr:rowOff>103508</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688378" y="7878536"/>
          <a:ext cx="343808" cy="340272"/>
        </a:xfrm>
        <a:prstGeom prst="rect">
          <a:avLst/>
        </a:prstGeom>
      </xdr:spPr>
    </xdr:pic>
    <xdr:clientData/>
  </xdr:twoCellAnchor>
  <xdr:twoCellAnchor>
    <xdr:from>
      <xdr:col>10</xdr:col>
      <xdr:colOff>783772</xdr:colOff>
      <xdr:row>116</xdr:row>
      <xdr:rowOff>80282</xdr:rowOff>
    </xdr:from>
    <xdr:to>
      <xdr:col>10</xdr:col>
      <xdr:colOff>842283</xdr:colOff>
      <xdr:row>116</xdr:row>
      <xdr:rowOff>168728</xdr:rowOff>
    </xdr:to>
    <xdr:sp macro="" textlink="">
      <xdr:nvSpPr>
        <xdr:cNvPr id="11" name="AutoShape 85"/>
        <xdr:cNvSpPr>
          <a:spLocks noChangeArrowheads="1"/>
        </xdr:cNvSpPr>
      </xdr:nvSpPr>
      <xdr:spPr bwMode="auto">
        <a:xfrm rot="5400000">
          <a:off x="6663419" y="18883992"/>
          <a:ext cx="88446" cy="58511"/>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778328</xdr:colOff>
      <xdr:row>108</xdr:row>
      <xdr:rowOff>92530</xdr:rowOff>
    </xdr:from>
    <xdr:to>
      <xdr:col>10</xdr:col>
      <xdr:colOff>836839</xdr:colOff>
      <xdr:row>108</xdr:row>
      <xdr:rowOff>180976</xdr:rowOff>
    </xdr:to>
    <xdr:sp macro="" textlink="">
      <xdr:nvSpPr>
        <xdr:cNvPr id="12" name="AutoShape 85"/>
        <xdr:cNvSpPr>
          <a:spLocks noChangeArrowheads="1"/>
        </xdr:cNvSpPr>
      </xdr:nvSpPr>
      <xdr:spPr bwMode="auto">
        <a:xfrm rot="5400000">
          <a:off x="6657975" y="18221326"/>
          <a:ext cx="88446" cy="58511"/>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783772</xdr:colOff>
      <xdr:row>120</xdr:row>
      <xdr:rowOff>80282</xdr:rowOff>
    </xdr:from>
    <xdr:to>
      <xdr:col>10</xdr:col>
      <xdr:colOff>842283</xdr:colOff>
      <xdr:row>120</xdr:row>
      <xdr:rowOff>168728</xdr:rowOff>
    </xdr:to>
    <xdr:sp macro="" textlink="">
      <xdr:nvSpPr>
        <xdr:cNvPr id="14" name="AutoShape 85"/>
        <xdr:cNvSpPr>
          <a:spLocks noChangeArrowheads="1"/>
        </xdr:cNvSpPr>
      </xdr:nvSpPr>
      <xdr:spPr bwMode="auto">
        <a:xfrm rot="5400000">
          <a:off x="6667955" y="20510499"/>
          <a:ext cx="88446" cy="58511"/>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785586</xdr:colOff>
      <xdr:row>112</xdr:row>
      <xdr:rowOff>60326</xdr:rowOff>
    </xdr:from>
    <xdr:to>
      <xdr:col>10</xdr:col>
      <xdr:colOff>844097</xdr:colOff>
      <xdr:row>112</xdr:row>
      <xdr:rowOff>148772</xdr:rowOff>
    </xdr:to>
    <xdr:sp macro="" textlink="">
      <xdr:nvSpPr>
        <xdr:cNvPr id="15" name="AutoShape 85"/>
        <xdr:cNvSpPr>
          <a:spLocks noChangeArrowheads="1"/>
        </xdr:cNvSpPr>
      </xdr:nvSpPr>
      <xdr:spPr bwMode="auto">
        <a:xfrm rot="5400000">
          <a:off x="6669769" y="19804743"/>
          <a:ext cx="88446" cy="58511"/>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161925</xdr:colOff>
      <xdr:row>99</xdr:row>
      <xdr:rowOff>152400</xdr:rowOff>
    </xdr:from>
    <xdr:to>
      <xdr:col>7</xdr:col>
      <xdr:colOff>228600</xdr:colOff>
      <xdr:row>103</xdr:row>
      <xdr:rowOff>85725</xdr:rowOff>
    </xdr:to>
    <xdr:sp macro="" textlink="">
      <xdr:nvSpPr>
        <xdr:cNvPr id="13" name="AutoShape 318"/>
        <xdr:cNvSpPr>
          <a:spLocks/>
        </xdr:cNvSpPr>
      </xdr:nvSpPr>
      <xdr:spPr bwMode="auto">
        <a:xfrm>
          <a:off x="4514850" y="18126075"/>
          <a:ext cx="66675" cy="657225"/>
        </a:xfrm>
        <a:prstGeom prst="rightBrace">
          <a:avLst>
            <a:gd name="adj1" fmla="val 34529"/>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14</xdr:col>
      <xdr:colOff>219076</xdr:colOff>
      <xdr:row>57</xdr:row>
      <xdr:rowOff>42862</xdr:rowOff>
    </xdr:from>
    <xdr:to>
      <xdr:col>15</xdr:col>
      <xdr:colOff>47626</xdr:colOff>
      <xdr:row>58</xdr:row>
      <xdr:rowOff>33337</xdr:rowOff>
    </xdr:to>
    <xdr:pic>
      <xdr:nvPicPr>
        <xdr:cNvPr id="115081"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1" y="11206162"/>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11508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95687" y="22702838"/>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142876</xdr:colOff>
      <xdr:row>7</xdr:row>
      <xdr:rowOff>28574</xdr:rowOff>
    </xdr:from>
    <xdr:to>
      <xdr:col>7</xdr:col>
      <xdr:colOff>239316</xdr:colOff>
      <xdr:row>8</xdr:row>
      <xdr:rowOff>1587</xdr:rowOff>
    </xdr:to>
    <xdr:pic>
      <xdr:nvPicPr>
        <xdr:cNvPr id="7"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6426" y="1162049"/>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38101</xdr:colOff>
      <xdr:row>6</xdr:row>
      <xdr:rowOff>42862</xdr:rowOff>
    </xdr:from>
    <xdr:to>
      <xdr:col>8</xdr:col>
      <xdr:colOff>134541</xdr:colOff>
      <xdr:row>7</xdr:row>
      <xdr:rowOff>0</xdr:rowOff>
    </xdr:to>
    <xdr:pic>
      <xdr:nvPicPr>
        <xdr:cNvPr id="8"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9301" y="852487"/>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6"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14</xdr:col>
      <xdr:colOff>219076</xdr:colOff>
      <xdr:row>57</xdr:row>
      <xdr:rowOff>42862</xdr:rowOff>
    </xdr:from>
    <xdr:to>
      <xdr:col>15</xdr:col>
      <xdr:colOff>47626</xdr:colOff>
      <xdr:row>58</xdr:row>
      <xdr:rowOff>33337</xdr:rowOff>
    </xdr:to>
    <xdr:pic>
      <xdr:nvPicPr>
        <xdr:cNvPr id="2"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1" y="10044112"/>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95687" y="2170271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142876</xdr:colOff>
      <xdr:row>7</xdr:row>
      <xdr:rowOff>28574</xdr:rowOff>
    </xdr:from>
    <xdr:to>
      <xdr:col>7</xdr:col>
      <xdr:colOff>239316</xdr:colOff>
      <xdr:row>8</xdr:row>
      <xdr:rowOff>1587</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1" y="1085849"/>
          <a:ext cx="96440" cy="106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38101</xdr:colOff>
      <xdr:row>6</xdr:row>
      <xdr:rowOff>42862</xdr:rowOff>
    </xdr:from>
    <xdr:to>
      <xdr:col>8</xdr:col>
      <xdr:colOff>134541</xdr:colOff>
      <xdr:row>7</xdr:row>
      <xdr:rowOff>0</xdr:rowOff>
    </xdr:to>
    <xdr:pic>
      <xdr:nvPicPr>
        <xdr:cNvPr id="5"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2626" y="957262"/>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6"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7" name="Picture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14</xdr:col>
      <xdr:colOff>219076</xdr:colOff>
      <xdr:row>57</xdr:row>
      <xdr:rowOff>42862</xdr:rowOff>
    </xdr:from>
    <xdr:to>
      <xdr:col>15</xdr:col>
      <xdr:colOff>47626</xdr:colOff>
      <xdr:row>58</xdr:row>
      <xdr:rowOff>33337</xdr:rowOff>
    </xdr:to>
    <xdr:pic>
      <xdr:nvPicPr>
        <xdr:cNvPr id="2"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1" y="10044112"/>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142876</xdr:colOff>
      <xdr:row>7</xdr:row>
      <xdr:rowOff>28574</xdr:rowOff>
    </xdr:from>
    <xdr:to>
      <xdr:col>7</xdr:col>
      <xdr:colOff>239316</xdr:colOff>
      <xdr:row>8</xdr:row>
      <xdr:rowOff>1587</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1" y="1085849"/>
          <a:ext cx="96440" cy="106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38101</xdr:colOff>
      <xdr:row>6</xdr:row>
      <xdr:rowOff>42862</xdr:rowOff>
    </xdr:from>
    <xdr:to>
      <xdr:col>8</xdr:col>
      <xdr:colOff>134541</xdr:colOff>
      <xdr:row>7</xdr:row>
      <xdr:rowOff>0</xdr:rowOff>
    </xdr:to>
    <xdr:pic>
      <xdr:nvPicPr>
        <xdr:cNvPr id="5"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2626" y="957262"/>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6"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7" name="Picture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8" name="Picture 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26</xdr:col>
      <xdr:colOff>733425</xdr:colOff>
      <xdr:row>35</xdr:row>
      <xdr:rowOff>47625</xdr:rowOff>
    </xdr:from>
    <xdr:to>
      <xdr:col>27</xdr:col>
      <xdr:colOff>180975</xdr:colOff>
      <xdr:row>37</xdr:row>
      <xdr:rowOff>133350</xdr:rowOff>
    </xdr:to>
    <xdr:pic>
      <xdr:nvPicPr>
        <xdr:cNvPr id="2" name="Picture 2" descr="penci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44925" y="6038850"/>
          <a:ext cx="4667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12</xdr:col>
      <xdr:colOff>219075</xdr:colOff>
      <xdr:row>6</xdr:row>
      <xdr:rowOff>38100</xdr:rowOff>
    </xdr:from>
    <xdr:to>
      <xdr:col>13</xdr:col>
      <xdr:colOff>67865</xdr:colOff>
      <xdr:row>6</xdr:row>
      <xdr:rowOff>138113</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90875" y="1104900"/>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xdr:colOff>
      <xdr:row>7</xdr:row>
      <xdr:rowOff>19050</xdr:rowOff>
    </xdr:from>
    <xdr:to>
      <xdr:col>8</xdr:col>
      <xdr:colOff>115490</xdr:colOff>
      <xdr:row>7</xdr:row>
      <xdr:rowOff>119063</xdr:rowOff>
    </xdr:to>
    <xdr:pic>
      <xdr:nvPicPr>
        <xdr:cNvPr id="3"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0" y="1028700"/>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6</xdr:col>
      <xdr:colOff>2533650</xdr:colOff>
      <xdr:row>33</xdr:row>
      <xdr:rowOff>66675</xdr:rowOff>
    </xdr:from>
    <xdr:to>
      <xdr:col>6</xdr:col>
      <xdr:colOff>2638425</xdr:colOff>
      <xdr:row>36</xdr:row>
      <xdr:rowOff>9525</xdr:rowOff>
    </xdr:to>
    <xdr:sp macro="" textlink="">
      <xdr:nvSpPr>
        <xdr:cNvPr id="107799" name="AutoShape 7"/>
        <xdr:cNvSpPr>
          <a:spLocks/>
        </xdr:cNvSpPr>
      </xdr:nvSpPr>
      <xdr:spPr bwMode="auto">
        <a:xfrm>
          <a:off x="4276725" y="5229225"/>
          <a:ext cx="104775" cy="476250"/>
        </a:xfrm>
        <a:prstGeom prst="rightBrace">
          <a:avLst>
            <a:gd name="adj1" fmla="val 37879"/>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2352675</xdr:colOff>
      <xdr:row>37</xdr:row>
      <xdr:rowOff>161925</xdr:rowOff>
    </xdr:from>
    <xdr:to>
      <xdr:col>6</xdr:col>
      <xdr:colOff>2447925</xdr:colOff>
      <xdr:row>42</xdr:row>
      <xdr:rowOff>114300</xdr:rowOff>
    </xdr:to>
    <xdr:sp macro="" textlink="">
      <xdr:nvSpPr>
        <xdr:cNvPr id="107800" name="AutoShape 8"/>
        <xdr:cNvSpPr>
          <a:spLocks/>
        </xdr:cNvSpPr>
      </xdr:nvSpPr>
      <xdr:spPr bwMode="auto">
        <a:xfrm>
          <a:off x="4095750" y="6048375"/>
          <a:ext cx="95250" cy="828675"/>
        </a:xfrm>
        <a:prstGeom prst="rightBrace">
          <a:avLst>
            <a:gd name="adj1" fmla="val 39069"/>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11</xdr:col>
      <xdr:colOff>695325</xdr:colOff>
      <xdr:row>21</xdr:row>
      <xdr:rowOff>9525</xdr:rowOff>
    </xdr:from>
    <xdr:to>
      <xdr:col>12</xdr:col>
      <xdr:colOff>142875</xdr:colOff>
      <xdr:row>21</xdr:row>
      <xdr:rowOff>371475</xdr:rowOff>
    </xdr:to>
    <xdr:pic>
      <xdr:nvPicPr>
        <xdr:cNvPr id="107801" name="Picture 10" descr="E:\My Documents\Excel\03_1040\Pencil - Black.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5175" y="2562225"/>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485775</xdr:colOff>
      <xdr:row>18</xdr:row>
      <xdr:rowOff>28575</xdr:rowOff>
    </xdr:from>
    <xdr:to>
      <xdr:col>12</xdr:col>
      <xdr:colOff>104775</xdr:colOff>
      <xdr:row>19</xdr:row>
      <xdr:rowOff>28575</xdr:rowOff>
    </xdr:to>
    <xdr:pic>
      <xdr:nvPicPr>
        <xdr:cNvPr id="108736" name="Picture 2" descr="penci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62775" y="2952750"/>
          <a:ext cx="4667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800100</xdr:colOff>
      <xdr:row>48</xdr:row>
      <xdr:rowOff>19050</xdr:rowOff>
    </xdr:from>
    <xdr:to>
      <xdr:col>3</xdr:col>
      <xdr:colOff>1209675</xdr:colOff>
      <xdr:row>50</xdr:row>
      <xdr:rowOff>85725</xdr:rowOff>
    </xdr:to>
    <xdr:sp macro="" textlink="">
      <xdr:nvSpPr>
        <xdr:cNvPr id="108737" name="AutoShape 87"/>
        <xdr:cNvSpPr>
          <a:spLocks noChangeArrowheads="1"/>
        </xdr:cNvSpPr>
      </xdr:nvSpPr>
      <xdr:spPr bwMode="auto">
        <a:xfrm>
          <a:off x="1400175" y="8162925"/>
          <a:ext cx="409575" cy="333375"/>
        </a:xfrm>
        <a:prstGeom prst="octagon">
          <a:avLst>
            <a:gd name="adj" fmla="val 29287"/>
          </a:avLst>
        </a:prstGeom>
        <a:noFill/>
        <a:ln w="1587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19050</xdr:colOff>
      <xdr:row>53</xdr:row>
      <xdr:rowOff>38100</xdr:rowOff>
    </xdr:from>
    <xdr:to>
      <xdr:col>4</xdr:col>
      <xdr:colOff>85725</xdr:colOff>
      <xdr:row>56</xdr:row>
      <xdr:rowOff>66675</xdr:rowOff>
    </xdr:to>
    <xdr:pic>
      <xdr:nvPicPr>
        <xdr:cNvPr id="110033" name="Picture 9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9124950"/>
          <a:ext cx="457200" cy="4476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228600</xdr:colOff>
      <xdr:row>28</xdr:row>
      <xdr:rowOff>133350</xdr:rowOff>
    </xdr:from>
    <xdr:to>
      <xdr:col>6</xdr:col>
      <xdr:colOff>400050</xdr:colOff>
      <xdr:row>36</xdr:row>
      <xdr:rowOff>133350</xdr:rowOff>
    </xdr:to>
    <xdr:sp macro="" textlink="">
      <xdr:nvSpPr>
        <xdr:cNvPr id="110034" name="AutoShape 99"/>
        <xdr:cNvSpPr>
          <a:spLocks/>
        </xdr:cNvSpPr>
      </xdr:nvSpPr>
      <xdr:spPr bwMode="auto">
        <a:xfrm>
          <a:off x="4876800" y="5143500"/>
          <a:ext cx="171450" cy="1295400"/>
        </a:xfrm>
        <a:prstGeom prst="rightBrace">
          <a:avLst>
            <a:gd name="adj1" fmla="val 62963"/>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9</xdr:col>
      <xdr:colOff>647700</xdr:colOff>
      <xdr:row>1</xdr:row>
      <xdr:rowOff>38100</xdr:rowOff>
    </xdr:from>
    <xdr:to>
      <xdr:col>9</xdr:col>
      <xdr:colOff>990600</xdr:colOff>
      <xdr:row>1</xdr:row>
      <xdr:rowOff>400050</xdr:rowOff>
    </xdr:to>
    <xdr:pic>
      <xdr:nvPicPr>
        <xdr:cNvPr id="110035" name="Picture 100" descr="E:\My Documents\Excel\03_1040\Pencil - Black.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91350" y="200025"/>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352425</xdr:colOff>
      <xdr:row>23</xdr:row>
      <xdr:rowOff>47625</xdr:rowOff>
    </xdr:from>
    <xdr:to>
      <xdr:col>4</xdr:col>
      <xdr:colOff>752475</xdr:colOff>
      <xdr:row>25</xdr:row>
      <xdr:rowOff>76200</xdr:rowOff>
    </xdr:to>
    <xdr:sp macro="" textlink="">
      <xdr:nvSpPr>
        <xdr:cNvPr id="110036" name="AutoShape 205"/>
        <xdr:cNvSpPr>
          <a:spLocks noChangeArrowheads="1"/>
        </xdr:cNvSpPr>
      </xdr:nvSpPr>
      <xdr:spPr bwMode="auto">
        <a:xfrm>
          <a:off x="1009650" y="4152900"/>
          <a:ext cx="400050" cy="371475"/>
        </a:xfrm>
        <a:prstGeom prst="octagon">
          <a:avLst>
            <a:gd name="adj" fmla="val 29287"/>
          </a:avLst>
        </a:prstGeom>
        <a:noFill/>
        <a:ln w="1587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314325</xdr:colOff>
      <xdr:row>37</xdr:row>
      <xdr:rowOff>0</xdr:rowOff>
    </xdr:from>
    <xdr:to>
      <xdr:col>4</xdr:col>
      <xdr:colOff>714375</xdr:colOff>
      <xdr:row>39</xdr:row>
      <xdr:rowOff>57150</xdr:rowOff>
    </xdr:to>
    <xdr:sp macro="" textlink="">
      <xdr:nvSpPr>
        <xdr:cNvPr id="110037" name="AutoShape 205"/>
        <xdr:cNvSpPr>
          <a:spLocks noChangeArrowheads="1"/>
        </xdr:cNvSpPr>
      </xdr:nvSpPr>
      <xdr:spPr bwMode="auto">
        <a:xfrm>
          <a:off x="971550" y="6467475"/>
          <a:ext cx="400050" cy="333375"/>
        </a:xfrm>
        <a:prstGeom prst="octagon">
          <a:avLst>
            <a:gd name="adj" fmla="val 29287"/>
          </a:avLst>
        </a:prstGeom>
        <a:noFill/>
        <a:ln w="1587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695325</xdr:colOff>
      <xdr:row>124</xdr:row>
      <xdr:rowOff>152400</xdr:rowOff>
    </xdr:from>
    <xdr:to>
      <xdr:col>3</xdr:col>
      <xdr:colOff>9525</xdr:colOff>
      <xdr:row>127</xdr:row>
      <xdr:rowOff>53975</xdr:rowOff>
    </xdr:to>
    <xdr:pic>
      <xdr:nvPicPr>
        <xdr:cNvPr id="122506" name="Picture 2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 y="20621625"/>
          <a:ext cx="1809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819150</xdr:colOff>
      <xdr:row>115</xdr:row>
      <xdr:rowOff>57150</xdr:rowOff>
    </xdr:from>
    <xdr:to>
      <xdr:col>3</xdr:col>
      <xdr:colOff>47625</xdr:colOff>
      <xdr:row>116</xdr:row>
      <xdr:rowOff>38100</xdr:rowOff>
    </xdr:to>
    <xdr:pic>
      <xdr:nvPicPr>
        <xdr:cNvPr id="122507" name="Picture 3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4425" y="187071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819150</xdr:colOff>
      <xdr:row>116</xdr:row>
      <xdr:rowOff>38100</xdr:rowOff>
    </xdr:from>
    <xdr:to>
      <xdr:col>3</xdr:col>
      <xdr:colOff>47625</xdr:colOff>
      <xdr:row>117</xdr:row>
      <xdr:rowOff>19050</xdr:rowOff>
    </xdr:to>
    <xdr:pic>
      <xdr:nvPicPr>
        <xdr:cNvPr id="122508" name="Picture 30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4425" y="188595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25</xdr:col>
      <xdr:colOff>161925</xdr:colOff>
      <xdr:row>9</xdr:row>
      <xdr:rowOff>76200</xdr:rowOff>
    </xdr:from>
    <xdr:to>
      <xdr:col>26</xdr:col>
      <xdr:colOff>104775</xdr:colOff>
      <xdr:row>10</xdr:row>
      <xdr:rowOff>9525</xdr:rowOff>
    </xdr:to>
    <xdr:sp macro="" textlink="">
      <xdr:nvSpPr>
        <xdr:cNvPr id="122509" name="AutoShape 344"/>
        <xdr:cNvSpPr>
          <a:spLocks noChangeArrowheads="1"/>
        </xdr:cNvSpPr>
      </xdr:nvSpPr>
      <xdr:spPr bwMode="auto">
        <a:xfrm>
          <a:off x="6724650" y="1743075"/>
          <a:ext cx="190500" cy="11430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47625</xdr:colOff>
      <xdr:row>21</xdr:row>
      <xdr:rowOff>38100</xdr:rowOff>
    </xdr:from>
    <xdr:to>
      <xdr:col>25</xdr:col>
      <xdr:colOff>114300</xdr:colOff>
      <xdr:row>21</xdr:row>
      <xdr:rowOff>133350</xdr:rowOff>
    </xdr:to>
    <xdr:sp macro="" textlink="">
      <xdr:nvSpPr>
        <xdr:cNvPr id="122510" name="AutoShape 513"/>
        <xdr:cNvSpPr>
          <a:spLocks noChangeArrowheads="1"/>
        </xdr:cNvSpPr>
      </xdr:nvSpPr>
      <xdr:spPr bwMode="auto">
        <a:xfrm rot="5400000">
          <a:off x="6596063" y="33861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26</xdr:col>
      <xdr:colOff>95250</xdr:colOff>
      <xdr:row>121</xdr:row>
      <xdr:rowOff>66675</xdr:rowOff>
    </xdr:from>
    <xdr:to>
      <xdr:col>26</xdr:col>
      <xdr:colOff>161925</xdr:colOff>
      <xdr:row>121</xdr:row>
      <xdr:rowOff>161925</xdr:rowOff>
    </xdr:to>
    <xdr:sp macro="" textlink="">
      <xdr:nvSpPr>
        <xdr:cNvPr id="122511" name="AutoShape 515"/>
        <xdr:cNvSpPr>
          <a:spLocks noChangeArrowheads="1"/>
        </xdr:cNvSpPr>
      </xdr:nvSpPr>
      <xdr:spPr bwMode="auto">
        <a:xfrm rot="5400000">
          <a:off x="6891338" y="19835812"/>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104775</xdr:colOff>
      <xdr:row>118</xdr:row>
      <xdr:rowOff>104775</xdr:rowOff>
    </xdr:from>
    <xdr:to>
      <xdr:col>25</xdr:col>
      <xdr:colOff>171450</xdr:colOff>
      <xdr:row>118</xdr:row>
      <xdr:rowOff>200025</xdr:rowOff>
    </xdr:to>
    <xdr:sp macro="" textlink="">
      <xdr:nvSpPr>
        <xdr:cNvPr id="122512" name="AutoShape 516"/>
        <xdr:cNvSpPr>
          <a:spLocks noChangeArrowheads="1"/>
        </xdr:cNvSpPr>
      </xdr:nvSpPr>
      <xdr:spPr bwMode="auto">
        <a:xfrm rot="5400000">
          <a:off x="6667500" y="19269075"/>
          <a:ext cx="66675"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142875</xdr:colOff>
      <xdr:row>114</xdr:row>
      <xdr:rowOff>38100</xdr:rowOff>
    </xdr:from>
    <xdr:to>
      <xdr:col>23</xdr:col>
      <xdr:colOff>209550</xdr:colOff>
      <xdr:row>114</xdr:row>
      <xdr:rowOff>133350</xdr:rowOff>
    </xdr:to>
    <xdr:sp macro="" textlink="">
      <xdr:nvSpPr>
        <xdr:cNvPr id="122513" name="AutoShape 517"/>
        <xdr:cNvSpPr>
          <a:spLocks noChangeArrowheads="1"/>
        </xdr:cNvSpPr>
      </xdr:nvSpPr>
      <xdr:spPr bwMode="auto">
        <a:xfrm rot="5400000">
          <a:off x="6129338" y="1853088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0</xdr:colOff>
      <xdr:row>112</xdr:row>
      <xdr:rowOff>38100</xdr:rowOff>
    </xdr:from>
    <xdr:to>
      <xdr:col>25</xdr:col>
      <xdr:colOff>66675</xdr:colOff>
      <xdr:row>112</xdr:row>
      <xdr:rowOff>133350</xdr:rowOff>
    </xdr:to>
    <xdr:sp macro="" textlink="">
      <xdr:nvSpPr>
        <xdr:cNvPr id="122514" name="AutoShape 518"/>
        <xdr:cNvSpPr>
          <a:spLocks noChangeArrowheads="1"/>
        </xdr:cNvSpPr>
      </xdr:nvSpPr>
      <xdr:spPr bwMode="auto">
        <a:xfrm rot="5400000">
          <a:off x="6548438" y="1818798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47625</xdr:colOff>
      <xdr:row>100</xdr:row>
      <xdr:rowOff>38101</xdr:rowOff>
    </xdr:from>
    <xdr:to>
      <xdr:col>25</xdr:col>
      <xdr:colOff>114300</xdr:colOff>
      <xdr:row>100</xdr:row>
      <xdr:rowOff>133351</xdr:rowOff>
    </xdr:to>
    <xdr:sp macro="" textlink="">
      <xdr:nvSpPr>
        <xdr:cNvPr id="122515" name="AutoShape 519"/>
        <xdr:cNvSpPr>
          <a:spLocks noChangeArrowheads="1"/>
        </xdr:cNvSpPr>
      </xdr:nvSpPr>
      <xdr:spPr bwMode="auto">
        <a:xfrm rot="5400000">
          <a:off x="6643688" y="16314738"/>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139700</xdr:colOff>
      <xdr:row>83</xdr:row>
      <xdr:rowOff>44453</xdr:rowOff>
    </xdr:from>
    <xdr:to>
      <xdr:col>25</xdr:col>
      <xdr:colOff>206375</xdr:colOff>
      <xdr:row>83</xdr:row>
      <xdr:rowOff>139703</xdr:rowOff>
    </xdr:to>
    <xdr:sp macro="" textlink="">
      <xdr:nvSpPr>
        <xdr:cNvPr id="122516" name="AutoShape 521"/>
        <xdr:cNvSpPr>
          <a:spLocks noChangeArrowheads="1"/>
        </xdr:cNvSpPr>
      </xdr:nvSpPr>
      <xdr:spPr bwMode="auto">
        <a:xfrm rot="5400000">
          <a:off x="6811963" y="14282740"/>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47625</xdr:colOff>
      <xdr:row>54</xdr:row>
      <xdr:rowOff>38100</xdr:rowOff>
    </xdr:from>
    <xdr:to>
      <xdr:col>25</xdr:col>
      <xdr:colOff>114300</xdr:colOff>
      <xdr:row>54</xdr:row>
      <xdr:rowOff>133350</xdr:rowOff>
    </xdr:to>
    <xdr:sp macro="" textlink="">
      <xdr:nvSpPr>
        <xdr:cNvPr id="122517" name="AutoShape 523"/>
        <xdr:cNvSpPr>
          <a:spLocks noChangeArrowheads="1"/>
        </xdr:cNvSpPr>
      </xdr:nvSpPr>
      <xdr:spPr bwMode="auto">
        <a:xfrm rot="5400000">
          <a:off x="6596063" y="8539162"/>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66675</xdr:colOff>
      <xdr:row>69</xdr:row>
      <xdr:rowOff>38100</xdr:rowOff>
    </xdr:from>
    <xdr:to>
      <xdr:col>25</xdr:col>
      <xdr:colOff>133350</xdr:colOff>
      <xdr:row>69</xdr:row>
      <xdr:rowOff>133350</xdr:rowOff>
    </xdr:to>
    <xdr:sp macro="" textlink="">
      <xdr:nvSpPr>
        <xdr:cNvPr id="122518" name="AutoShape 655"/>
        <xdr:cNvSpPr>
          <a:spLocks noChangeArrowheads="1"/>
        </xdr:cNvSpPr>
      </xdr:nvSpPr>
      <xdr:spPr bwMode="auto">
        <a:xfrm rot="5400000">
          <a:off x="6615113" y="11129962"/>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47625</xdr:colOff>
      <xdr:row>92</xdr:row>
      <xdr:rowOff>38100</xdr:rowOff>
    </xdr:from>
    <xdr:to>
      <xdr:col>25</xdr:col>
      <xdr:colOff>114300</xdr:colOff>
      <xdr:row>92</xdr:row>
      <xdr:rowOff>133350</xdr:rowOff>
    </xdr:to>
    <xdr:sp macro="" textlink="">
      <xdr:nvSpPr>
        <xdr:cNvPr id="122519" name="AutoShape 966"/>
        <xdr:cNvSpPr>
          <a:spLocks noChangeArrowheads="1"/>
        </xdr:cNvSpPr>
      </xdr:nvSpPr>
      <xdr:spPr bwMode="auto">
        <a:xfrm rot="5400000">
          <a:off x="6596063" y="149685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20</xdr:col>
      <xdr:colOff>28575</xdr:colOff>
      <xdr:row>72</xdr:row>
      <xdr:rowOff>152400</xdr:rowOff>
    </xdr:from>
    <xdr:to>
      <xdr:col>20</xdr:col>
      <xdr:colOff>76200</xdr:colOff>
      <xdr:row>75</xdr:row>
      <xdr:rowOff>0</xdr:rowOff>
    </xdr:to>
    <xdr:sp macro="" textlink="">
      <xdr:nvSpPr>
        <xdr:cNvPr id="122520" name="AutoShape 973"/>
        <xdr:cNvSpPr>
          <a:spLocks/>
        </xdr:cNvSpPr>
      </xdr:nvSpPr>
      <xdr:spPr bwMode="auto">
        <a:xfrm>
          <a:off x="5429250" y="11811000"/>
          <a:ext cx="47625" cy="361950"/>
        </a:xfrm>
        <a:prstGeom prst="rightBrace">
          <a:avLst>
            <a:gd name="adj1" fmla="val 61187"/>
            <a:gd name="adj2" fmla="val 50000"/>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xdr:col>
      <xdr:colOff>619125</xdr:colOff>
      <xdr:row>33</xdr:row>
      <xdr:rowOff>19050</xdr:rowOff>
    </xdr:from>
    <xdr:to>
      <xdr:col>2</xdr:col>
      <xdr:colOff>733425</xdr:colOff>
      <xdr:row>33</xdr:row>
      <xdr:rowOff>152400</xdr:rowOff>
    </xdr:to>
    <xdr:sp macro="" textlink="">
      <xdr:nvSpPr>
        <xdr:cNvPr id="122521" name="AutoShape 1105"/>
        <xdr:cNvSpPr>
          <a:spLocks noChangeArrowheads="1"/>
        </xdr:cNvSpPr>
      </xdr:nvSpPr>
      <xdr:spPr bwMode="auto">
        <a:xfrm rot="5400000">
          <a:off x="904875" y="5105400"/>
          <a:ext cx="133350" cy="11430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228600</xdr:colOff>
      <xdr:row>75</xdr:row>
      <xdr:rowOff>38100</xdr:rowOff>
    </xdr:from>
    <xdr:to>
      <xdr:col>23</xdr:col>
      <xdr:colOff>295275</xdr:colOff>
      <xdr:row>75</xdr:row>
      <xdr:rowOff>133350</xdr:rowOff>
    </xdr:to>
    <xdr:sp macro="" textlink="">
      <xdr:nvSpPr>
        <xdr:cNvPr id="122522" name="AutoShape 1108"/>
        <xdr:cNvSpPr>
          <a:spLocks noChangeArrowheads="1"/>
        </xdr:cNvSpPr>
      </xdr:nvSpPr>
      <xdr:spPr bwMode="auto">
        <a:xfrm rot="5400000">
          <a:off x="6215063" y="122253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295275</xdr:colOff>
      <xdr:row>72</xdr:row>
      <xdr:rowOff>171450</xdr:rowOff>
    </xdr:from>
    <xdr:to>
      <xdr:col>6</xdr:col>
      <xdr:colOff>371475</xdr:colOff>
      <xdr:row>75</xdr:row>
      <xdr:rowOff>19050</xdr:rowOff>
    </xdr:to>
    <xdr:sp macro="" textlink="">
      <xdr:nvSpPr>
        <xdr:cNvPr id="122523" name="AutoShape 973"/>
        <xdr:cNvSpPr>
          <a:spLocks/>
        </xdr:cNvSpPr>
      </xdr:nvSpPr>
      <xdr:spPr bwMode="auto">
        <a:xfrm flipH="1">
          <a:off x="1990725" y="11830050"/>
          <a:ext cx="76200" cy="361950"/>
        </a:xfrm>
        <a:prstGeom prst="rightBrace">
          <a:avLst>
            <a:gd name="adj1" fmla="val 42134"/>
            <a:gd name="adj2" fmla="val 50000"/>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13</xdr:col>
      <xdr:colOff>228600</xdr:colOff>
      <xdr:row>121</xdr:row>
      <xdr:rowOff>152400</xdr:rowOff>
    </xdr:from>
    <xdr:to>
      <xdr:col>14</xdr:col>
      <xdr:colOff>38100</xdr:colOff>
      <xdr:row>121</xdr:row>
      <xdr:rowOff>247650</xdr:rowOff>
    </xdr:to>
    <xdr:sp macro="" textlink="">
      <xdr:nvSpPr>
        <xdr:cNvPr id="122524" name="AutoShape 515"/>
        <xdr:cNvSpPr>
          <a:spLocks noChangeArrowheads="1"/>
        </xdr:cNvSpPr>
      </xdr:nvSpPr>
      <xdr:spPr bwMode="auto">
        <a:xfrm rot="5400000">
          <a:off x="3948113" y="199215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76200</xdr:colOff>
      <xdr:row>121</xdr:row>
      <xdr:rowOff>152400</xdr:rowOff>
    </xdr:from>
    <xdr:to>
      <xdr:col>5</xdr:col>
      <xdr:colOff>142875</xdr:colOff>
      <xdr:row>121</xdr:row>
      <xdr:rowOff>247650</xdr:rowOff>
    </xdr:to>
    <xdr:sp macro="" textlink="">
      <xdr:nvSpPr>
        <xdr:cNvPr id="122525" name="AutoShape 515"/>
        <xdr:cNvSpPr>
          <a:spLocks noChangeArrowheads="1"/>
        </xdr:cNvSpPr>
      </xdr:nvSpPr>
      <xdr:spPr bwMode="auto">
        <a:xfrm rot="5400000">
          <a:off x="1585913" y="199215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24</xdr:col>
      <xdr:colOff>85725</xdr:colOff>
      <xdr:row>130</xdr:row>
      <xdr:rowOff>38100</xdr:rowOff>
    </xdr:from>
    <xdr:to>
      <xdr:col>24</xdr:col>
      <xdr:colOff>152400</xdr:colOff>
      <xdr:row>130</xdr:row>
      <xdr:rowOff>133350</xdr:rowOff>
    </xdr:to>
    <xdr:sp macro="" textlink="">
      <xdr:nvSpPr>
        <xdr:cNvPr id="122526" name="AutoShape 515"/>
        <xdr:cNvSpPr>
          <a:spLocks noChangeArrowheads="1"/>
        </xdr:cNvSpPr>
      </xdr:nvSpPr>
      <xdr:spPr bwMode="auto">
        <a:xfrm rot="5400000">
          <a:off x="6434138" y="217122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476250</xdr:colOff>
      <xdr:row>130</xdr:row>
      <xdr:rowOff>47625</xdr:rowOff>
    </xdr:from>
    <xdr:to>
      <xdr:col>6</xdr:col>
      <xdr:colOff>542925</xdr:colOff>
      <xdr:row>130</xdr:row>
      <xdr:rowOff>142875</xdr:rowOff>
    </xdr:to>
    <xdr:sp macro="" textlink="">
      <xdr:nvSpPr>
        <xdr:cNvPr id="122527" name="AutoShape 515"/>
        <xdr:cNvSpPr>
          <a:spLocks noChangeArrowheads="1"/>
        </xdr:cNvSpPr>
      </xdr:nvSpPr>
      <xdr:spPr bwMode="auto">
        <a:xfrm rot="5400000">
          <a:off x="2157413" y="21721762"/>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476250</xdr:colOff>
      <xdr:row>131</xdr:row>
      <xdr:rowOff>47625</xdr:rowOff>
    </xdr:from>
    <xdr:to>
      <xdr:col>6</xdr:col>
      <xdr:colOff>542925</xdr:colOff>
      <xdr:row>131</xdr:row>
      <xdr:rowOff>142875</xdr:rowOff>
    </xdr:to>
    <xdr:sp macro="" textlink="">
      <xdr:nvSpPr>
        <xdr:cNvPr id="122528" name="AutoShape 515"/>
        <xdr:cNvSpPr>
          <a:spLocks noChangeArrowheads="1"/>
        </xdr:cNvSpPr>
      </xdr:nvSpPr>
      <xdr:spPr bwMode="auto">
        <a:xfrm rot="5400000">
          <a:off x="2157413" y="21893212"/>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0</xdr:colOff>
      <xdr:row>22</xdr:row>
      <xdr:rowOff>19050</xdr:rowOff>
    </xdr:from>
    <xdr:to>
      <xdr:col>8</xdr:col>
      <xdr:colOff>114300</xdr:colOff>
      <xdr:row>22</xdr:row>
      <xdr:rowOff>114300</xdr:rowOff>
    </xdr:to>
    <xdr:sp macro="" textlink="">
      <xdr:nvSpPr>
        <xdr:cNvPr id="122529" name="AutoShape 513"/>
        <xdr:cNvSpPr>
          <a:spLocks noChangeArrowheads="1"/>
        </xdr:cNvSpPr>
      </xdr:nvSpPr>
      <xdr:spPr bwMode="auto">
        <a:xfrm rot="5400000">
          <a:off x="2562225" y="3476625"/>
          <a:ext cx="95250" cy="11430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30</xdr:col>
      <xdr:colOff>295275</xdr:colOff>
      <xdr:row>36</xdr:row>
      <xdr:rowOff>76200</xdr:rowOff>
    </xdr:from>
    <xdr:to>
      <xdr:col>31</xdr:col>
      <xdr:colOff>47625</xdr:colOff>
      <xdr:row>36</xdr:row>
      <xdr:rowOff>171450</xdr:rowOff>
    </xdr:to>
    <xdr:sp macro="" textlink="">
      <xdr:nvSpPr>
        <xdr:cNvPr id="122530" name="AutoShape 523"/>
        <xdr:cNvSpPr>
          <a:spLocks noChangeArrowheads="1"/>
        </xdr:cNvSpPr>
      </xdr:nvSpPr>
      <xdr:spPr bwMode="auto">
        <a:xfrm rot="5400000">
          <a:off x="8010525" y="5553075"/>
          <a:ext cx="95250" cy="5715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38100</xdr:colOff>
      <xdr:row>74</xdr:row>
      <xdr:rowOff>9525</xdr:rowOff>
    </xdr:from>
    <xdr:to>
      <xdr:col>23</xdr:col>
      <xdr:colOff>104775</xdr:colOff>
      <xdr:row>74</xdr:row>
      <xdr:rowOff>104775</xdr:rowOff>
    </xdr:to>
    <xdr:sp macro="" textlink="">
      <xdr:nvSpPr>
        <xdr:cNvPr id="122531" name="AutoShape 1108"/>
        <xdr:cNvSpPr>
          <a:spLocks noChangeArrowheads="1"/>
        </xdr:cNvSpPr>
      </xdr:nvSpPr>
      <xdr:spPr bwMode="auto">
        <a:xfrm rot="5400000">
          <a:off x="6024563" y="120348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219075</xdr:colOff>
      <xdr:row>45</xdr:row>
      <xdr:rowOff>47625</xdr:rowOff>
    </xdr:from>
    <xdr:to>
      <xdr:col>23</xdr:col>
      <xdr:colOff>304800</xdr:colOff>
      <xdr:row>45</xdr:row>
      <xdr:rowOff>161925</xdr:rowOff>
    </xdr:to>
    <xdr:sp macro="" textlink="">
      <xdr:nvSpPr>
        <xdr:cNvPr id="122532" name="AutoShape 523"/>
        <xdr:cNvSpPr>
          <a:spLocks noChangeArrowheads="1"/>
        </xdr:cNvSpPr>
      </xdr:nvSpPr>
      <xdr:spPr bwMode="auto">
        <a:xfrm rot="5400000" flipH="1">
          <a:off x="6281738" y="7148512"/>
          <a:ext cx="114300" cy="8572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56</xdr:col>
      <xdr:colOff>333375</xdr:colOff>
      <xdr:row>78</xdr:row>
      <xdr:rowOff>47625</xdr:rowOff>
    </xdr:from>
    <xdr:to>
      <xdr:col>56</xdr:col>
      <xdr:colOff>400050</xdr:colOff>
      <xdr:row>80</xdr:row>
      <xdr:rowOff>142875</xdr:rowOff>
    </xdr:to>
    <xdr:sp macro="" textlink="">
      <xdr:nvSpPr>
        <xdr:cNvPr id="122533" name="AutoShape 973"/>
        <xdr:cNvSpPr>
          <a:spLocks/>
        </xdr:cNvSpPr>
      </xdr:nvSpPr>
      <xdr:spPr bwMode="auto">
        <a:xfrm>
          <a:off x="16916400" y="12734925"/>
          <a:ext cx="66675" cy="438150"/>
        </a:xfrm>
        <a:prstGeom prst="rightBrace">
          <a:avLst>
            <a:gd name="adj1" fmla="val 61181"/>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56</xdr:col>
      <xdr:colOff>342900</xdr:colOff>
      <xdr:row>82</xdr:row>
      <xdr:rowOff>47625</xdr:rowOff>
    </xdr:from>
    <xdr:to>
      <xdr:col>56</xdr:col>
      <xdr:colOff>428625</xdr:colOff>
      <xdr:row>85</xdr:row>
      <xdr:rowOff>47625</xdr:rowOff>
    </xdr:to>
    <xdr:sp macro="" textlink="">
      <xdr:nvSpPr>
        <xdr:cNvPr id="122534" name="AutoShape 973"/>
        <xdr:cNvSpPr>
          <a:spLocks/>
        </xdr:cNvSpPr>
      </xdr:nvSpPr>
      <xdr:spPr bwMode="auto">
        <a:xfrm>
          <a:off x="16925925" y="13420725"/>
          <a:ext cx="85725" cy="514350"/>
        </a:xfrm>
        <a:prstGeom prst="rightBrace">
          <a:avLst>
            <a:gd name="adj1" fmla="val 61194"/>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26</xdr:col>
      <xdr:colOff>196850</xdr:colOff>
      <xdr:row>24</xdr:row>
      <xdr:rowOff>31750</xdr:rowOff>
    </xdr:from>
    <xdr:to>
      <xdr:col>26</xdr:col>
      <xdr:colOff>274320</xdr:colOff>
      <xdr:row>27</xdr:row>
      <xdr:rowOff>126999</xdr:rowOff>
    </xdr:to>
    <xdr:sp macro="" textlink="">
      <xdr:nvSpPr>
        <xdr:cNvPr id="31" name="AutoShape 973"/>
        <xdr:cNvSpPr>
          <a:spLocks/>
        </xdr:cNvSpPr>
      </xdr:nvSpPr>
      <xdr:spPr bwMode="auto">
        <a:xfrm>
          <a:off x="7131050" y="3771900"/>
          <a:ext cx="77470" cy="482599"/>
        </a:xfrm>
        <a:prstGeom prst="rightBrace">
          <a:avLst>
            <a:gd name="adj1" fmla="val 61187"/>
            <a:gd name="adj2" fmla="val 50000"/>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56</xdr:col>
      <xdr:colOff>514350</xdr:colOff>
      <xdr:row>112</xdr:row>
      <xdr:rowOff>142875</xdr:rowOff>
    </xdr:from>
    <xdr:to>
      <xdr:col>56</xdr:col>
      <xdr:colOff>600075</xdr:colOff>
      <xdr:row>116</xdr:row>
      <xdr:rowOff>142875</xdr:rowOff>
    </xdr:to>
    <xdr:sp macro="" textlink="">
      <xdr:nvSpPr>
        <xdr:cNvPr id="33" name="AutoShape 973"/>
        <xdr:cNvSpPr>
          <a:spLocks/>
        </xdr:cNvSpPr>
      </xdr:nvSpPr>
      <xdr:spPr bwMode="auto">
        <a:xfrm>
          <a:off x="24145875" y="18478500"/>
          <a:ext cx="85725" cy="685800"/>
        </a:xfrm>
        <a:prstGeom prst="rightBrace">
          <a:avLst>
            <a:gd name="adj1" fmla="val 61194"/>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56</xdr:col>
      <xdr:colOff>273050</xdr:colOff>
      <xdr:row>118</xdr:row>
      <xdr:rowOff>177801</xdr:rowOff>
    </xdr:from>
    <xdr:to>
      <xdr:col>56</xdr:col>
      <xdr:colOff>733425</xdr:colOff>
      <xdr:row>120</xdr:row>
      <xdr:rowOff>57151</xdr:rowOff>
    </xdr:to>
    <xdr:sp macro="" textlink="">
      <xdr:nvSpPr>
        <xdr:cNvPr id="35" name="AutoShape 4"/>
        <xdr:cNvSpPr>
          <a:spLocks noChangeArrowheads="1"/>
        </xdr:cNvSpPr>
      </xdr:nvSpPr>
      <xdr:spPr bwMode="auto">
        <a:xfrm>
          <a:off x="17322800" y="20434301"/>
          <a:ext cx="460375" cy="298450"/>
        </a:xfrm>
        <a:prstGeom prst="octagon">
          <a:avLst>
            <a:gd name="adj" fmla="val 29287"/>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23</xdr:col>
      <xdr:colOff>66675</xdr:colOff>
      <xdr:row>28</xdr:row>
      <xdr:rowOff>19050</xdr:rowOff>
    </xdr:from>
    <xdr:to>
      <xdr:col>23</xdr:col>
      <xdr:colOff>208026</xdr:colOff>
      <xdr:row>29</xdr:row>
      <xdr:rowOff>9525</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3625" y="4267200"/>
          <a:ext cx="141351" cy="1333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28575</xdr:colOff>
      <xdr:row>20</xdr:row>
      <xdr:rowOff>238125</xdr:rowOff>
    </xdr:from>
    <xdr:to>
      <xdr:col>9</xdr:col>
      <xdr:colOff>200025</xdr:colOff>
      <xdr:row>28</xdr:row>
      <xdr:rowOff>19050</xdr:rowOff>
    </xdr:to>
    <xdr:sp macro="" textlink="">
      <xdr:nvSpPr>
        <xdr:cNvPr id="111150" name="AutoShape 24"/>
        <xdr:cNvSpPr>
          <a:spLocks/>
        </xdr:cNvSpPr>
      </xdr:nvSpPr>
      <xdr:spPr bwMode="auto">
        <a:xfrm>
          <a:off x="5610225" y="4352925"/>
          <a:ext cx="171450" cy="1171575"/>
        </a:xfrm>
        <a:prstGeom prst="rightBrace">
          <a:avLst>
            <a:gd name="adj1" fmla="val 5574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xdr:col>
      <xdr:colOff>104775</xdr:colOff>
      <xdr:row>91</xdr:row>
      <xdr:rowOff>57150</xdr:rowOff>
    </xdr:from>
    <xdr:to>
      <xdr:col>4</xdr:col>
      <xdr:colOff>238125</xdr:colOff>
      <xdr:row>95</xdr:row>
      <xdr:rowOff>38100</xdr:rowOff>
    </xdr:to>
    <xdr:pic>
      <xdr:nvPicPr>
        <xdr:cNvPr id="111151" name="Picture 105" descr="cautio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15706725"/>
          <a:ext cx="6667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352425</xdr:colOff>
      <xdr:row>74</xdr:row>
      <xdr:rowOff>38100</xdr:rowOff>
    </xdr:from>
    <xdr:to>
      <xdr:col>7</xdr:col>
      <xdr:colOff>447675</xdr:colOff>
      <xdr:row>81</xdr:row>
      <xdr:rowOff>152400</xdr:rowOff>
    </xdr:to>
    <xdr:sp macro="" textlink="">
      <xdr:nvSpPr>
        <xdr:cNvPr id="111152" name="AutoShape 517"/>
        <xdr:cNvSpPr>
          <a:spLocks/>
        </xdr:cNvSpPr>
      </xdr:nvSpPr>
      <xdr:spPr bwMode="auto">
        <a:xfrm>
          <a:off x="4810125" y="12877800"/>
          <a:ext cx="95250" cy="1247775"/>
        </a:xfrm>
        <a:prstGeom prst="rightBrace">
          <a:avLst>
            <a:gd name="adj1" fmla="val 10916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1</xdr:col>
      <xdr:colOff>57150</xdr:colOff>
      <xdr:row>2</xdr:row>
      <xdr:rowOff>47625</xdr:rowOff>
    </xdr:from>
    <xdr:to>
      <xdr:col>3</xdr:col>
      <xdr:colOff>304800</xdr:colOff>
      <xdr:row>5</xdr:row>
      <xdr:rowOff>104775</xdr:rowOff>
    </xdr:to>
    <xdr:pic>
      <xdr:nvPicPr>
        <xdr:cNvPr id="111153" name="Picture 578" descr="cautio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619125"/>
          <a:ext cx="6667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342900</xdr:colOff>
      <xdr:row>1</xdr:row>
      <xdr:rowOff>66675</xdr:rowOff>
    </xdr:from>
    <xdr:to>
      <xdr:col>18</xdr:col>
      <xdr:colOff>66675</xdr:colOff>
      <xdr:row>1</xdr:row>
      <xdr:rowOff>428625</xdr:rowOff>
    </xdr:to>
    <xdr:pic>
      <xdr:nvPicPr>
        <xdr:cNvPr id="111154" name="Picture 579" descr="Pencil - Black"/>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43875" y="190500"/>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371475</xdr:colOff>
      <xdr:row>41</xdr:row>
      <xdr:rowOff>38100</xdr:rowOff>
    </xdr:from>
    <xdr:to>
      <xdr:col>9</xdr:col>
      <xdr:colOff>552450</xdr:colOff>
      <xdr:row>53</xdr:row>
      <xdr:rowOff>133350</xdr:rowOff>
    </xdr:to>
    <xdr:sp macro="" textlink="">
      <xdr:nvSpPr>
        <xdr:cNvPr id="111155" name="AutoShape 645"/>
        <xdr:cNvSpPr>
          <a:spLocks/>
        </xdr:cNvSpPr>
      </xdr:nvSpPr>
      <xdr:spPr bwMode="auto">
        <a:xfrm>
          <a:off x="5953125" y="7610475"/>
          <a:ext cx="180975" cy="1924050"/>
        </a:xfrm>
        <a:prstGeom prst="rightBrace">
          <a:avLst>
            <a:gd name="adj1" fmla="val 88596"/>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13</xdr:col>
      <xdr:colOff>628650</xdr:colOff>
      <xdr:row>1</xdr:row>
      <xdr:rowOff>47625</xdr:rowOff>
    </xdr:from>
    <xdr:to>
      <xdr:col>14</xdr:col>
      <xdr:colOff>9525</xdr:colOff>
      <xdr:row>2</xdr:row>
      <xdr:rowOff>114300</xdr:rowOff>
    </xdr:to>
    <xdr:pic>
      <xdr:nvPicPr>
        <xdr:cNvPr id="111895" name="Picture 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7100" y="219075"/>
          <a:ext cx="428625" cy="4191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24</xdr:row>
      <xdr:rowOff>47625</xdr:rowOff>
    </xdr:from>
    <xdr:to>
      <xdr:col>8</xdr:col>
      <xdr:colOff>95250</xdr:colOff>
      <xdr:row>27</xdr:row>
      <xdr:rowOff>0</xdr:rowOff>
    </xdr:to>
    <xdr:sp macro="" textlink="">
      <xdr:nvSpPr>
        <xdr:cNvPr id="111896" name="AutoShape 21"/>
        <xdr:cNvSpPr>
          <a:spLocks/>
        </xdr:cNvSpPr>
      </xdr:nvSpPr>
      <xdr:spPr bwMode="auto">
        <a:xfrm>
          <a:off x="3752850" y="4238625"/>
          <a:ext cx="95250" cy="438150"/>
        </a:xfrm>
        <a:prstGeom prst="rightBrace">
          <a:avLst>
            <a:gd name="adj1" fmla="val 30326"/>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7</xdr:col>
      <xdr:colOff>1504950</xdr:colOff>
      <xdr:row>12</xdr:row>
      <xdr:rowOff>133350</xdr:rowOff>
    </xdr:from>
    <xdr:to>
      <xdr:col>7</xdr:col>
      <xdr:colOff>1676400</xdr:colOff>
      <xdr:row>17</xdr:row>
      <xdr:rowOff>0</xdr:rowOff>
    </xdr:to>
    <xdr:sp macro="" textlink="">
      <xdr:nvSpPr>
        <xdr:cNvPr id="111897" name="AutoShape 43"/>
        <xdr:cNvSpPr>
          <a:spLocks/>
        </xdr:cNvSpPr>
      </xdr:nvSpPr>
      <xdr:spPr bwMode="auto">
        <a:xfrm>
          <a:off x="3400425" y="2466975"/>
          <a:ext cx="171450" cy="552450"/>
        </a:xfrm>
        <a:prstGeom prst="rightBrace">
          <a:avLst>
            <a:gd name="adj1" fmla="val 2685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7</xdr:col>
      <xdr:colOff>1835150</xdr:colOff>
      <xdr:row>34</xdr:row>
      <xdr:rowOff>158750</xdr:rowOff>
    </xdr:from>
    <xdr:to>
      <xdr:col>8</xdr:col>
      <xdr:colOff>76200</xdr:colOff>
      <xdr:row>38</xdr:row>
      <xdr:rowOff>31750</xdr:rowOff>
    </xdr:to>
    <xdr:sp macro="" textlink="">
      <xdr:nvSpPr>
        <xdr:cNvPr id="5" name="AutoShape 21"/>
        <xdr:cNvSpPr>
          <a:spLocks/>
        </xdr:cNvSpPr>
      </xdr:nvSpPr>
      <xdr:spPr bwMode="auto">
        <a:xfrm>
          <a:off x="3733800" y="6007100"/>
          <a:ext cx="101600" cy="527050"/>
        </a:xfrm>
        <a:prstGeom prst="rightBrace">
          <a:avLst>
            <a:gd name="adj1" fmla="val 30326"/>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95250</xdr:colOff>
      <xdr:row>70</xdr:row>
      <xdr:rowOff>38100</xdr:rowOff>
    </xdr:from>
    <xdr:to>
      <xdr:col>7</xdr:col>
      <xdr:colOff>495300</xdr:colOff>
      <xdr:row>72</xdr:row>
      <xdr:rowOff>19050</xdr:rowOff>
    </xdr:to>
    <xdr:sp macro="" textlink="">
      <xdr:nvSpPr>
        <xdr:cNvPr id="121854" name="AutoShape 4"/>
        <xdr:cNvSpPr>
          <a:spLocks noChangeArrowheads="1"/>
        </xdr:cNvSpPr>
      </xdr:nvSpPr>
      <xdr:spPr bwMode="auto">
        <a:xfrm>
          <a:off x="2476500" y="12353925"/>
          <a:ext cx="400050" cy="323850"/>
        </a:xfrm>
        <a:prstGeom prst="octagon">
          <a:avLst>
            <a:gd name="adj" fmla="val 29287"/>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13</xdr:col>
      <xdr:colOff>819150</xdr:colOff>
      <xdr:row>106</xdr:row>
      <xdr:rowOff>171450</xdr:rowOff>
    </xdr:from>
    <xdr:to>
      <xdr:col>13</xdr:col>
      <xdr:colOff>914400</xdr:colOff>
      <xdr:row>110</xdr:row>
      <xdr:rowOff>0</xdr:rowOff>
    </xdr:to>
    <xdr:sp macro="" textlink="">
      <xdr:nvSpPr>
        <xdr:cNvPr id="121855" name="AutoShape 5"/>
        <xdr:cNvSpPr>
          <a:spLocks/>
        </xdr:cNvSpPr>
      </xdr:nvSpPr>
      <xdr:spPr bwMode="auto">
        <a:xfrm>
          <a:off x="6200775" y="19002375"/>
          <a:ext cx="95250" cy="666750"/>
        </a:xfrm>
        <a:prstGeom prst="rightBrace">
          <a:avLst>
            <a:gd name="adj1" fmla="val 58333"/>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16</xdr:col>
      <xdr:colOff>19050</xdr:colOff>
      <xdr:row>123</xdr:row>
      <xdr:rowOff>104775</xdr:rowOff>
    </xdr:from>
    <xdr:to>
      <xdr:col>17</xdr:col>
      <xdr:colOff>104775</xdr:colOff>
      <xdr:row>123</xdr:row>
      <xdr:rowOff>104775</xdr:rowOff>
    </xdr:to>
    <xdr:sp macro="" textlink="">
      <xdr:nvSpPr>
        <xdr:cNvPr id="124928" name="Line 7"/>
        <xdr:cNvSpPr>
          <a:spLocks noChangeShapeType="1"/>
        </xdr:cNvSpPr>
      </xdr:nvSpPr>
      <xdr:spPr bwMode="auto">
        <a:xfrm flipH="1">
          <a:off x="7496175" y="22307550"/>
          <a:ext cx="361950" cy="0"/>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114300</xdr:colOff>
      <xdr:row>118</xdr:row>
      <xdr:rowOff>209550</xdr:rowOff>
    </xdr:from>
    <xdr:to>
      <xdr:col>17</xdr:col>
      <xdr:colOff>114300</xdr:colOff>
      <xdr:row>123</xdr:row>
      <xdr:rowOff>95250</xdr:rowOff>
    </xdr:to>
    <xdr:sp macro="" textlink="">
      <xdr:nvSpPr>
        <xdr:cNvPr id="124929" name="Line 8"/>
        <xdr:cNvSpPr>
          <a:spLocks noChangeShapeType="1"/>
        </xdr:cNvSpPr>
      </xdr:nvSpPr>
      <xdr:spPr bwMode="auto">
        <a:xfrm flipH="1" flipV="1">
          <a:off x="7867650" y="21374100"/>
          <a:ext cx="0" cy="923925"/>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118</xdr:row>
      <xdr:rowOff>219075</xdr:rowOff>
    </xdr:from>
    <xdr:to>
      <xdr:col>17</xdr:col>
      <xdr:colOff>114300</xdr:colOff>
      <xdr:row>118</xdr:row>
      <xdr:rowOff>219075</xdr:rowOff>
    </xdr:to>
    <xdr:sp macro="" textlink="">
      <xdr:nvSpPr>
        <xdr:cNvPr id="124930" name="Line 9"/>
        <xdr:cNvSpPr>
          <a:spLocks noChangeShapeType="1"/>
        </xdr:cNvSpPr>
      </xdr:nvSpPr>
      <xdr:spPr bwMode="auto">
        <a:xfrm flipH="1">
          <a:off x="7486650" y="21383625"/>
          <a:ext cx="381000" cy="0"/>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3175</xdr:colOff>
      <xdr:row>186</xdr:row>
      <xdr:rowOff>9525</xdr:rowOff>
    </xdr:from>
    <xdr:to>
      <xdr:col>4</xdr:col>
      <xdr:colOff>187325</xdr:colOff>
      <xdr:row>186</xdr:row>
      <xdr:rowOff>9525</xdr:rowOff>
    </xdr:to>
    <xdr:sp macro="" textlink="">
      <xdr:nvSpPr>
        <xdr:cNvPr id="124931" name="Line 14"/>
        <xdr:cNvSpPr>
          <a:spLocks noChangeShapeType="1"/>
        </xdr:cNvSpPr>
      </xdr:nvSpPr>
      <xdr:spPr bwMode="auto">
        <a:xfrm>
          <a:off x="622300" y="33337500"/>
          <a:ext cx="1127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0</xdr:colOff>
      <xdr:row>177</xdr:row>
      <xdr:rowOff>0</xdr:rowOff>
    </xdr:from>
    <xdr:to>
      <xdr:col>4</xdr:col>
      <xdr:colOff>209550</xdr:colOff>
      <xdr:row>177</xdr:row>
      <xdr:rowOff>0</xdr:rowOff>
    </xdr:to>
    <xdr:sp macro="" textlink="">
      <xdr:nvSpPr>
        <xdr:cNvPr id="124932" name="Line 15"/>
        <xdr:cNvSpPr>
          <a:spLocks noChangeShapeType="1"/>
        </xdr:cNvSpPr>
      </xdr:nvSpPr>
      <xdr:spPr bwMode="auto">
        <a:xfrm>
          <a:off x="619125" y="31689675"/>
          <a:ext cx="1152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866775</xdr:colOff>
      <xdr:row>207</xdr:row>
      <xdr:rowOff>66675</xdr:rowOff>
    </xdr:from>
    <xdr:to>
      <xdr:col>13</xdr:col>
      <xdr:colOff>952500</xdr:colOff>
      <xdr:row>211</xdr:row>
      <xdr:rowOff>9525</xdr:rowOff>
    </xdr:to>
    <xdr:sp macro="" textlink="">
      <xdr:nvSpPr>
        <xdr:cNvPr id="124933" name="AutoShape 24"/>
        <xdr:cNvSpPr>
          <a:spLocks/>
        </xdr:cNvSpPr>
      </xdr:nvSpPr>
      <xdr:spPr bwMode="auto">
        <a:xfrm>
          <a:off x="6248400" y="36423600"/>
          <a:ext cx="85725" cy="638175"/>
        </a:xfrm>
        <a:prstGeom prst="rightBrace">
          <a:avLst>
            <a:gd name="adj1" fmla="val 6203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13</xdr:col>
      <xdr:colOff>862012</xdr:colOff>
      <xdr:row>227</xdr:row>
      <xdr:rowOff>61912</xdr:rowOff>
    </xdr:from>
    <xdr:to>
      <xdr:col>13</xdr:col>
      <xdr:colOff>971551</xdr:colOff>
      <xdr:row>230</xdr:row>
      <xdr:rowOff>157162</xdr:rowOff>
    </xdr:to>
    <xdr:sp macro="" textlink="">
      <xdr:nvSpPr>
        <xdr:cNvPr id="124934" name="AutoShape 25"/>
        <xdr:cNvSpPr>
          <a:spLocks/>
        </xdr:cNvSpPr>
      </xdr:nvSpPr>
      <xdr:spPr bwMode="auto">
        <a:xfrm>
          <a:off x="6243637" y="39790687"/>
          <a:ext cx="109539" cy="695325"/>
        </a:xfrm>
        <a:prstGeom prst="rightBrace">
          <a:avLst>
            <a:gd name="adj1" fmla="val 60000"/>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4</xdr:col>
      <xdr:colOff>190500</xdr:colOff>
      <xdr:row>126</xdr:row>
      <xdr:rowOff>57150</xdr:rowOff>
    </xdr:from>
    <xdr:to>
      <xdr:col>6</xdr:col>
      <xdr:colOff>219075</xdr:colOff>
      <xdr:row>129</xdr:row>
      <xdr:rowOff>47625</xdr:rowOff>
    </xdr:to>
    <xdr:pic>
      <xdr:nvPicPr>
        <xdr:cNvPr id="124935" name="Picture 26" descr="0ti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4975" y="22831425"/>
          <a:ext cx="5619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304800</xdr:colOff>
      <xdr:row>19</xdr:row>
      <xdr:rowOff>38100</xdr:rowOff>
    </xdr:from>
    <xdr:to>
      <xdr:col>15</xdr:col>
      <xdr:colOff>733425</xdr:colOff>
      <xdr:row>19</xdr:row>
      <xdr:rowOff>514350</xdr:rowOff>
    </xdr:to>
    <xdr:pic>
      <xdr:nvPicPr>
        <xdr:cNvPr id="124936" name="Picture 2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72300" y="3248025"/>
          <a:ext cx="428625" cy="4762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0</xdr:colOff>
      <xdr:row>36</xdr:row>
      <xdr:rowOff>66675</xdr:rowOff>
    </xdr:from>
    <xdr:to>
      <xdr:col>11</xdr:col>
      <xdr:colOff>19050</xdr:colOff>
      <xdr:row>43</xdr:row>
      <xdr:rowOff>76200</xdr:rowOff>
    </xdr:to>
    <xdr:sp macro="" textlink="">
      <xdr:nvSpPr>
        <xdr:cNvPr id="124937" name="AutoShape 31"/>
        <xdr:cNvSpPr>
          <a:spLocks/>
        </xdr:cNvSpPr>
      </xdr:nvSpPr>
      <xdr:spPr bwMode="auto">
        <a:xfrm>
          <a:off x="4724400" y="6562725"/>
          <a:ext cx="123825" cy="1276350"/>
        </a:xfrm>
        <a:prstGeom prst="rightBrace">
          <a:avLst>
            <a:gd name="adj1" fmla="val 8589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1228725</xdr:colOff>
      <xdr:row>49</xdr:row>
      <xdr:rowOff>161925</xdr:rowOff>
    </xdr:from>
    <xdr:to>
      <xdr:col>10</xdr:col>
      <xdr:colOff>95250</xdr:colOff>
      <xdr:row>53</xdr:row>
      <xdr:rowOff>123825</xdr:rowOff>
    </xdr:to>
    <xdr:sp macro="" textlink="">
      <xdr:nvSpPr>
        <xdr:cNvPr id="124938" name="AutoShape 34"/>
        <xdr:cNvSpPr>
          <a:spLocks/>
        </xdr:cNvSpPr>
      </xdr:nvSpPr>
      <xdr:spPr bwMode="auto">
        <a:xfrm>
          <a:off x="4724400" y="8896350"/>
          <a:ext cx="95250" cy="733425"/>
        </a:xfrm>
        <a:prstGeom prst="rightBrace">
          <a:avLst>
            <a:gd name="adj1" fmla="val 6416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13</xdr:col>
      <xdr:colOff>819150</xdr:colOff>
      <xdr:row>106</xdr:row>
      <xdr:rowOff>171450</xdr:rowOff>
    </xdr:from>
    <xdr:to>
      <xdr:col>13</xdr:col>
      <xdr:colOff>914400</xdr:colOff>
      <xdr:row>110</xdr:row>
      <xdr:rowOff>0</xdr:rowOff>
    </xdr:to>
    <xdr:sp macro="" textlink="">
      <xdr:nvSpPr>
        <xdr:cNvPr id="124939" name="AutoShape 69"/>
        <xdr:cNvSpPr>
          <a:spLocks/>
        </xdr:cNvSpPr>
      </xdr:nvSpPr>
      <xdr:spPr bwMode="auto">
        <a:xfrm>
          <a:off x="6200775" y="19002375"/>
          <a:ext cx="95250" cy="666750"/>
        </a:xfrm>
        <a:prstGeom prst="rightBrace">
          <a:avLst>
            <a:gd name="adj1" fmla="val 58333"/>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1009650</xdr:colOff>
      <xdr:row>117</xdr:row>
      <xdr:rowOff>66675</xdr:rowOff>
    </xdr:from>
    <xdr:to>
      <xdr:col>10</xdr:col>
      <xdr:colOff>66675</xdr:colOff>
      <xdr:row>119</xdr:row>
      <xdr:rowOff>209550</xdr:rowOff>
    </xdr:to>
    <xdr:sp macro="" textlink="">
      <xdr:nvSpPr>
        <xdr:cNvPr id="124940" name="AutoShape 70"/>
        <xdr:cNvSpPr>
          <a:spLocks/>
        </xdr:cNvSpPr>
      </xdr:nvSpPr>
      <xdr:spPr bwMode="auto">
        <a:xfrm>
          <a:off x="4724400" y="20964525"/>
          <a:ext cx="66675" cy="695325"/>
        </a:xfrm>
        <a:prstGeom prst="rightBrace">
          <a:avLst>
            <a:gd name="adj1" fmla="val 86905"/>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16</xdr:col>
      <xdr:colOff>19050</xdr:colOff>
      <xdr:row>123</xdr:row>
      <xdr:rowOff>104775</xdr:rowOff>
    </xdr:from>
    <xdr:to>
      <xdr:col>17</xdr:col>
      <xdr:colOff>104775</xdr:colOff>
      <xdr:row>123</xdr:row>
      <xdr:rowOff>104775</xdr:rowOff>
    </xdr:to>
    <xdr:sp macro="" textlink="">
      <xdr:nvSpPr>
        <xdr:cNvPr id="124941" name="Line 71"/>
        <xdr:cNvSpPr>
          <a:spLocks noChangeShapeType="1"/>
        </xdr:cNvSpPr>
      </xdr:nvSpPr>
      <xdr:spPr bwMode="auto">
        <a:xfrm flipH="1">
          <a:off x="7496175" y="22307550"/>
          <a:ext cx="361950" cy="0"/>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114300</xdr:colOff>
      <xdr:row>118</xdr:row>
      <xdr:rowOff>209550</xdr:rowOff>
    </xdr:from>
    <xdr:to>
      <xdr:col>17</xdr:col>
      <xdr:colOff>114300</xdr:colOff>
      <xdr:row>123</xdr:row>
      <xdr:rowOff>95250</xdr:rowOff>
    </xdr:to>
    <xdr:sp macro="" textlink="">
      <xdr:nvSpPr>
        <xdr:cNvPr id="124942" name="Line 72"/>
        <xdr:cNvSpPr>
          <a:spLocks noChangeShapeType="1"/>
        </xdr:cNvSpPr>
      </xdr:nvSpPr>
      <xdr:spPr bwMode="auto">
        <a:xfrm flipH="1" flipV="1">
          <a:off x="7867650" y="21374100"/>
          <a:ext cx="0" cy="923925"/>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118</xdr:row>
      <xdr:rowOff>219075</xdr:rowOff>
    </xdr:from>
    <xdr:to>
      <xdr:col>17</xdr:col>
      <xdr:colOff>114300</xdr:colOff>
      <xdr:row>118</xdr:row>
      <xdr:rowOff>219075</xdr:rowOff>
    </xdr:to>
    <xdr:sp macro="" textlink="">
      <xdr:nvSpPr>
        <xdr:cNvPr id="124943" name="Line 73"/>
        <xdr:cNvSpPr>
          <a:spLocks noChangeShapeType="1"/>
        </xdr:cNvSpPr>
      </xdr:nvSpPr>
      <xdr:spPr bwMode="auto">
        <a:xfrm flipH="1">
          <a:off x="7486650" y="21383625"/>
          <a:ext cx="381000" cy="0"/>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editAs="oneCell">
    <xdr:from>
      <xdr:col>4</xdr:col>
      <xdr:colOff>190500</xdr:colOff>
      <xdr:row>126</xdr:row>
      <xdr:rowOff>57150</xdr:rowOff>
    </xdr:from>
    <xdr:to>
      <xdr:col>6</xdr:col>
      <xdr:colOff>219075</xdr:colOff>
      <xdr:row>129</xdr:row>
      <xdr:rowOff>47625</xdr:rowOff>
    </xdr:to>
    <xdr:pic>
      <xdr:nvPicPr>
        <xdr:cNvPr id="124944" name="Picture 74" descr="0ti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4975" y="22831425"/>
          <a:ext cx="5619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22</xdr:row>
      <xdr:rowOff>152400</xdr:rowOff>
    </xdr:from>
    <xdr:to>
      <xdr:col>2</xdr:col>
      <xdr:colOff>323850</xdr:colOff>
      <xdr:row>26</xdr:row>
      <xdr:rowOff>114300</xdr:rowOff>
    </xdr:to>
    <xdr:pic>
      <xdr:nvPicPr>
        <xdr:cNvPr id="124945" name="Picture 113" descr="E:\My Documents\Excel\04_1040\IRS Forms\CAUTION_Black.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5800" y="4333875"/>
          <a:ext cx="5334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150060</xdr:colOff>
      <xdr:row>139</xdr:row>
      <xdr:rowOff>0</xdr:rowOff>
    </xdr:from>
    <xdr:to>
      <xdr:col>3</xdr:col>
      <xdr:colOff>190499</xdr:colOff>
      <xdr:row>141</xdr:row>
      <xdr:rowOff>114300</xdr:rowOff>
    </xdr:to>
    <xdr:pic>
      <xdr:nvPicPr>
        <xdr:cNvPr id="124946" name="Picture 117" descr="E:\My Documents\Excel\04_1040\IRS Forms\CAUTION_Black.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5410" y="25231725"/>
          <a:ext cx="459539"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142875</xdr:colOff>
      <xdr:row>123</xdr:row>
      <xdr:rowOff>9525</xdr:rowOff>
    </xdr:from>
    <xdr:to>
      <xdr:col>16</xdr:col>
      <xdr:colOff>0</xdr:colOff>
      <xdr:row>126</xdr:row>
      <xdr:rowOff>114300</xdr:rowOff>
    </xdr:to>
    <xdr:pic>
      <xdr:nvPicPr>
        <xdr:cNvPr id="124947" name="Picture 16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10375" y="22212300"/>
          <a:ext cx="666750" cy="6762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255815</xdr:colOff>
      <xdr:row>13</xdr:row>
      <xdr:rowOff>192541</xdr:rowOff>
    </xdr:from>
    <xdr:to>
      <xdr:col>7</xdr:col>
      <xdr:colOff>346982</xdr:colOff>
      <xdr:row>17</xdr:row>
      <xdr:rowOff>10205</xdr:rowOff>
    </xdr:to>
    <xdr:sp macro="" textlink="">
      <xdr:nvSpPr>
        <xdr:cNvPr id="100538" name="AutoShape 48"/>
        <xdr:cNvSpPr>
          <a:spLocks/>
        </xdr:cNvSpPr>
      </xdr:nvSpPr>
      <xdr:spPr bwMode="auto">
        <a:xfrm>
          <a:off x="2993572" y="2266270"/>
          <a:ext cx="91167" cy="410935"/>
        </a:xfrm>
        <a:prstGeom prst="rightBrace">
          <a:avLst>
            <a:gd name="adj1" fmla="val 29999"/>
            <a:gd name="adj2" fmla="val 50000"/>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933450</xdr:colOff>
      <xdr:row>61</xdr:row>
      <xdr:rowOff>28575</xdr:rowOff>
    </xdr:from>
    <xdr:to>
      <xdr:col>11</xdr:col>
      <xdr:colOff>1038225</xdr:colOff>
      <xdr:row>61</xdr:row>
      <xdr:rowOff>152400</xdr:rowOff>
    </xdr:to>
    <xdr:sp macro="" textlink="">
      <xdr:nvSpPr>
        <xdr:cNvPr id="100539" name="AutoShape 85"/>
        <xdr:cNvSpPr>
          <a:spLocks noChangeArrowheads="1"/>
        </xdr:cNvSpPr>
      </xdr:nvSpPr>
      <xdr:spPr bwMode="auto">
        <a:xfrm rot="5400000">
          <a:off x="6181725" y="9877425"/>
          <a:ext cx="123825" cy="1047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85725</xdr:colOff>
      <xdr:row>50</xdr:row>
      <xdr:rowOff>104775</xdr:rowOff>
    </xdr:from>
    <xdr:to>
      <xdr:col>23</xdr:col>
      <xdr:colOff>504825</xdr:colOff>
      <xdr:row>52</xdr:row>
      <xdr:rowOff>57150</xdr:rowOff>
    </xdr:to>
    <xdr:sp macro="" textlink="">
      <xdr:nvSpPr>
        <xdr:cNvPr id="4" name="AutoShape 4"/>
        <xdr:cNvSpPr>
          <a:spLocks noChangeArrowheads="1"/>
        </xdr:cNvSpPr>
      </xdr:nvSpPr>
      <xdr:spPr bwMode="auto">
        <a:xfrm>
          <a:off x="10725150" y="8667750"/>
          <a:ext cx="419100" cy="295275"/>
        </a:xfrm>
        <a:prstGeom prst="octagon">
          <a:avLst>
            <a:gd name="adj" fmla="val 29287"/>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23</xdr:col>
      <xdr:colOff>85725</xdr:colOff>
      <xdr:row>36</xdr:row>
      <xdr:rowOff>104775</xdr:rowOff>
    </xdr:from>
    <xdr:to>
      <xdr:col>23</xdr:col>
      <xdr:colOff>504825</xdr:colOff>
      <xdr:row>38</xdr:row>
      <xdr:rowOff>57150</xdr:rowOff>
    </xdr:to>
    <xdr:sp macro="" textlink="">
      <xdr:nvSpPr>
        <xdr:cNvPr id="5" name="AutoShape 4"/>
        <xdr:cNvSpPr>
          <a:spLocks noChangeArrowheads="1"/>
        </xdr:cNvSpPr>
      </xdr:nvSpPr>
      <xdr:spPr bwMode="auto">
        <a:xfrm>
          <a:off x="10725150" y="8667750"/>
          <a:ext cx="419100" cy="295275"/>
        </a:xfrm>
        <a:prstGeom prst="octagon">
          <a:avLst>
            <a:gd name="adj" fmla="val 29287"/>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21</xdr:col>
      <xdr:colOff>7793</xdr:colOff>
      <xdr:row>30</xdr:row>
      <xdr:rowOff>118876</xdr:rowOff>
    </xdr:from>
    <xdr:to>
      <xdr:col>22</xdr:col>
      <xdr:colOff>198292</xdr:colOff>
      <xdr:row>33</xdr:row>
      <xdr:rowOff>103908</xdr:rowOff>
    </xdr:to>
    <xdr:pic>
      <xdr:nvPicPr>
        <xdr:cNvPr id="6" name="Picture 113" descr="E:\My Documents\Excel\04_1040\IRS Forms\CAUTION_Black.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69657" y="5245058"/>
          <a:ext cx="432954" cy="4959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285750</xdr:colOff>
      <xdr:row>21</xdr:row>
      <xdr:rowOff>34637</xdr:rowOff>
    </xdr:from>
    <xdr:to>
      <xdr:col>32</xdr:col>
      <xdr:colOff>714375</xdr:colOff>
      <xdr:row>23</xdr:row>
      <xdr:rowOff>138546</xdr:rowOff>
    </xdr:to>
    <xdr:pic>
      <xdr:nvPicPr>
        <xdr:cNvPr id="7" name="Picture 2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48364" y="3584864"/>
          <a:ext cx="428625" cy="4762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11</xdr:col>
      <xdr:colOff>57150</xdr:colOff>
      <xdr:row>57</xdr:row>
      <xdr:rowOff>19050</xdr:rowOff>
    </xdr:from>
    <xdr:to>
      <xdr:col>11</xdr:col>
      <xdr:colOff>161017</xdr:colOff>
      <xdr:row>60</xdr:row>
      <xdr:rowOff>19050</xdr:rowOff>
    </xdr:to>
    <xdr:sp macro="" textlink="">
      <xdr:nvSpPr>
        <xdr:cNvPr id="8" name="AutoShape 48"/>
        <xdr:cNvSpPr>
          <a:spLocks/>
        </xdr:cNvSpPr>
      </xdr:nvSpPr>
      <xdr:spPr bwMode="auto">
        <a:xfrm>
          <a:off x="5334000" y="10045700"/>
          <a:ext cx="103867" cy="457200"/>
        </a:xfrm>
        <a:prstGeom prst="rightBrace">
          <a:avLst>
            <a:gd name="adj1" fmla="val 29999"/>
            <a:gd name="adj2" fmla="val 50000"/>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1038225</xdr:colOff>
      <xdr:row>33</xdr:row>
      <xdr:rowOff>19050</xdr:rowOff>
    </xdr:from>
    <xdr:to>
      <xdr:col>3</xdr:col>
      <xdr:colOff>1133475</xdr:colOff>
      <xdr:row>34</xdr:row>
      <xdr:rowOff>9525</xdr:rowOff>
    </xdr:to>
    <xdr:pic>
      <xdr:nvPicPr>
        <xdr:cNvPr id="101867"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95525" y="561975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885825</xdr:colOff>
      <xdr:row>11</xdr:row>
      <xdr:rowOff>28575</xdr:rowOff>
    </xdr:from>
    <xdr:to>
      <xdr:col>6</xdr:col>
      <xdr:colOff>962025</xdr:colOff>
      <xdr:row>12</xdr:row>
      <xdr:rowOff>0</xdr:rowOff>
    </xdr:to>
    <xdr:pic>
      <xdr:nvPicPr>
        <xdr:cNvPr id="10186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6225" y="1781175"/>
          <a:ext cx="76200" cy="136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1238250</xdr:colOff>
      <xdr:row>31</xdr:row>
      <xdr:rowOff>19050</xdr:rowOff>
    </xdr:from>
    <xdr:to>
      <xdr:col>6</xdr:col>
      <xdr:colOff>1314450</xdr:colOff>
      <xdr:row>31</xdr:row>
      <xdr:rowOff>152400</xdr:rowOff>
    </xdr:to>
    <xdr:pic>
      <xdr:nvPicPr>
        <xdr:cNvPr id="101869"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95950" y="52959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1190625</xdr:colOff>
      <xdr:row>54</xdr:row>
      <xdr:rowOff>19050</xdr:rowOff>
    </xdr:from>
    <xdr:to>
      <xdr:col>6</xdr:col>
      <xdr:colOff>1266825</xdr:colOff>
      <xdr:row>54</xdr:row>
      <xdr:rowOff>152400</xdr:rowOff>
    </xdr:to>
    <xdr:pic>
      <xdr:nvPicPr>
        <xdr:cNvPr id="101870"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48325" y="90201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1238250</xdr:colOff>
      <xdr:row>66</xdr:row>
      <xdr:rowOff>161925</xdr:rowOff>
    </xdr:from>
    <xdr:to>
      <xdr:col>3</xdr:col>
      <xdr:colOff>1314450</xdr:colOff>
      <xdr:row>67</xdr:row>
      <xdr:rowOff>133350</xdr:rowOff>
    </xdr:to>
    <xdr:pic>
      <xdr:nvPicPr>
        <xdr:cNvPr id="101871" name="Picture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5550" y="106299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190500</xdr:colOff>
      <xdr:row>59</xdr:row>
      <xdr:rowOff>28575</xdr:rowOff>
    </xdr:from>
    <xdr:to>
      <xdr:col>16</xdr:col>
      <xdr:colOff>0</xdr:colOff>
      <xdr:row>63</xdr:row>
      <xdr:rowOff>114300</xdr:rowOff>
    </xdr:to>
    <xdr:sp macro="" textlink="">
      <xdr:nvSpPr>
        <xdr:cNvPr id="103103" name="AutoShape 1"/>
        <xdr:cNvSpPr>
          <a:spLocks/>
        </xdr:cNvSpPr>
      </xdr:nvSpPr>
      <xdr:spPr bwMode="auto">
        <a:xfrm>
          <a:off x="6143625" y="9124950"/>
          <a:ext cx="114300" cy="733425"/>
        </a:xfrm>
        <a:prstGeom prst="rightBrace">
          <a:avLst>
            <a:gd name="adj1" fmla="val 5347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15</xdr:col>
      <xdr:colOff>180975</xdr:colOff>
      <xdr:row>55</xdr:row>
      <xdr:rowOff>114300</xdr:rowOff>
    </xdr:from>
    <xdr:to>
      <xdr:col>16</xdr:col>
      <xdr:colOff>9525</xdr:colOff>
      <xdr:row>58</xdr:row>
      <xdr:rowOff>47625</xdr:rowOff>
    </xdr:to>
    <xdr:sp macro="" textlink="">
      <xdr:nvSpPr>
        <xdr:cNvPr id="103104" name="AutoShape 2"/>
        <xdr:cNvSpPr>
          <a:spLocks/>
        </xdr:cNvSpPr>
      </xdr:nvSpPr>
      <xdr:spPr bwMode="auto">
        <a:xfrm>
          <a:off x="6134100" y="8562975"/>
          <a:ext cx="133350" cy="419100"/>
        </a:xfrm>
        <a:prstGeom prst="rightBrace">
          <a:avLst>
            <a:gd name="adj1" fmla="val 26190"/>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3</xdr:col>
      <xdr:colOff>295275</xdr:colOff>
      <xdr:row>5</xdr:row>
      <xdr:rowOff>19050</xdr:rowOff>
    </xdr:from>
    <xdr:to>
      <xdr:col>3</xdr:col>
      <xdr:colOff>371475</xdr:colOff>
      <xdr:row>6</xdr:row>
      <xdr:rowOff>0</xdr:rowOff>
    </xdr:to>
    <xdr:pic>
      <xdr:nvPicPr>
        <xdr:cNvPr id="103105"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85925" y="10953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504825</xdr:colOff>
      <xdr:row>6</xdr:row>
      <xdr:rowOff>19050</xdr:rowOff>
    </xdr:from>
    <xdr:to>
      <xdr:col>3</xdr:col>
      <xdr:colOff>561975</xdr:colOff>
      <xdr:row>6</xdr:row>
      <xdr:rowOff>123825</xdr:rowOff>
    </xdr:to>
    <xdr:pic>
      <xdr:nvPicPr>
        <xdr:cNvPr id="103106"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5475" y="1247775"/>
          <a:ext cx="5715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149225</xdr:colOff>
      <xdr:row>10</xdr:row>
      <xdr:rowOff>12700</xdr:rowOff>
    </xdr:from>
    <xdr:to>
      <xdr:col>14</xdr:col>
      <xdr:colOff>225425</xdr:colOff>
      <xdr:row>10</xdr:row>
      <xdr:rowOff>146050</xdr:rowOff>
    </xdr:to>
    <xdr:pic>
      <xdr:nvPicPr>
        <xdr:cNvPr id="103107"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19775" y="18732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152400</xdr:colOff>
      <xdr:row>16</xdr:row>
      <xdr:rowOff>31750</xdr:rowOff>
    </xdr:from>
    <xdr:to>
      <xdr:col>12</xdr:col>
      <xdr:colOff>228600</xdr:colOff>
      <xdr:row>16</xdr:row>
      <xdr:rowOff>165100</xdr:rowOff>
    </xdr:to>
    <xdr:pic>
      <xdr:nvPicPr>
        <xdr:cNvPr id="103108"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3350" y="27241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180975</xdr:colOff>
      <xdr:row>19</xdr:row>
      <xdr:rowOff>19050</xdr:rowOff>
    </xdr:from>
    <xdr:to>
      <xdr:col>16</xdr:col>
      <xdr:colOff>257175</xdr:colOff>
      <xdr:row>19</xdr:row>
      <xdr:rowOff>152400</xdr:rowOff>
    </xdr:to>
    <xdr:pic>
      <xdr:nvPicPr>
        <xdr:cNvPr id="103109"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30861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196850</xdr:colOff>
      <xdr:row>24</xdr:row>
      <xdr:rowOff>19050</xdr:rowOff>
    </xdr:from>
    <xdr:to>
      <xdr:col>15</xdr:col>
      <xdr:colOff>273050</xdr:colOff>
      <xdr:row>25</xdr:row>
      <xdr:rowOff>0</xdr:rowOff>
    </xdr:to>
    <xdr:pic>
      <xdr:nvPicPr>
        <xdr:cNvPr id="9"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72200" y="39687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185420</xdr:colOff>
      <xdr:row>48</xdr:row>
      <xdr:rowOff>55880</xdr:rowOff>
    </xdr:from>
    <xdr:to>
      <xdr:col>17</xdr:col>
      <xdr:colOff>261620</xdr:colOff>
      <xdr:row>48</xdr:row>
      <xdr:rowOff>189230</xdr:rowOff>
    </xdr:to>
    <xdr:pic>
      <xdr:nvPicPr>
        <xdr:cNvPr id="10"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46240" y="75311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142875</xdr:colOff>
      <xdr:row>92</xdr:row>
      <xdr:rowOff>38100</xdr:rowOff>
    </xdr:from>
    <xdr:to>
      <xdr:col>13</xdr:col>
      <xdr:colOff>219075</xdr:colOff>
      <xdr:row>92</xdr:row>
      <xdr:rowOff>171450</xdr:rowOff>
    </xdr:to>
    <xdr:pic>
      <xdr:nvPicPr>
        <xdr:cNvPr id="11"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136398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205740</xdr:colOff>
      <xdr:row>30</xdr:row>
      <xdr:rowOff>0</xdr:rowOff>
    </xdr:from>
    <xdr:to>
      <xdr:col>17</xdr:col>
      <xdr:colOff>281940</xdr:colOff>
      <xdr:row>30</xdr:row>
      <xdr:rowOff>133350</xdr:rowOff>
    </xdr:to>
    <xdr:pic>
      <xdr:nvPicPr>
        <xdr:cNvPr id="1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6560" y="480822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22225</xdr:colOff>
      <xdr:row>86</xdr:row>
      <xdr:rowOff>0</xdr:rowOff>
    </xdr:from>
    <xdr:to>
      <xdr:col>7</xdr:col>
      <xdr:colOff>98425</xdr:colOff>
      <xdr:row>87</xdr:row>
      <xdr:rowOff>104775</xdr:rowOff>
    </xdr:to>
    <xdr:sp macro="" textlink="">
      <xdr:nvSpPr>
        <xdr:cNvPr id="103982" name="AutoShape 7"/>
        <xdr:cNvSpPr>
          <a:spLocks/>
        </xdr:cNvSpPr>
      </xdr:nvSpPr>
      <xdr:spPr bwMode="auto">
        <a:xfrm>
          <a:off x="3482975" y="15125700"/>
          <a:ext cx="76200" cy="269875"/>
        </a:xfrm>
        <a:prstGeom prst="rightBrace">
          <a:avLst>
            <a:gd name="adj1" fmla="val 3657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5</xdr:col>
      <xdr:colOff>452438</xdr:colOff>
      <xdr:row>5</xdr:row>
      <xdr:rowOff>28575</xdr:rowOff>
    </xdr:from>
    <xdr:to>
      <xdr:col>5</xdr:col>
      <xdr:colOff>528638</xdr:colOff>
      <xdr:row>5</xdr:row>
      <xdr:rowOff>161925</xdr:rowOff>
    </xdr:to>
    <xdr:pic>
      <xdr:nvPicPr>
        <xdr:cNvPr id="103983"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28838" y="8572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79375</xdr:colOff>
      <xdr:row>4</xdr:row>
      <xdr:rowOff>20638</xdr:rowOff>
    </xdr:from>
    <xdr:to>
      <xdr:col>5</xdr:col>
      <xdr:colOff>155575</xdr:colOff>
      <xdr:row>4</xdr:row>
      <xdr:rowOff>153988</xdr:rowOff>
    </xdr:to>
    <xdr:pic>
      <xdr:nvPicPr>
        <xdr:cNvPr id="103985"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5775" y="687388"/>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581025</xdr:colOff>
      <xdr:row>71</xdr:row>
      <xdr:rowOff>57150</xdr:rowOff>
    </xdr:from>
    <xdr:to>
      <xdr:col>11</xdr:col>
      <xdr:colOff>657225</xdr:colOff>
      <xdr:row>72</xdr:row>
      <xdr:rowOff>28575</xdr:rowOff>
    </xdr:to>
    <xdr:pic>
      <xdr:nvPicPr>
        <xdr:cNvPr id="103986"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43625" y="103917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590550</xdr:colOff>
      <xdr:row>74</xdr:row>
      <xdr:rowOff>57150</xdr:rowOff>
    </xdr:from>
    <xdr:to>
      <xdr:col>11</xdr:col>
      <xdr:colOff>666750</xdr:colOff>
      <xdr:row>75</xdr:row>
      <xdr:rowOff>19050</xdr:rowOff>
    </xdr:to>
    <xdr:pic>
      <xdr:nvPicPr>
        <xdr:cNvPr id="103987"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53150" y="108108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558800</xdr:colOff>
      <xdr:row>3</xdr:row>
      <xdr:rowOff>38100</xdr:rowOff>
    </xdr:from>
    <xdr:to>
      <xdr:col>6</xdr:col>
      <xdr:colOff>635000</xdr:colOff>
      <xdr:row>3</xdr:row>
      <xdr:rowOff>171450</xdr:rowOff>
    </xdr:to>
    <xdr:pic>
      <xdr:nvPicPr>
        <xdr:cNvPr id="8"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78150" y="5334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428625</xdr:colOff>
      <xdr:row>57</xdr:row>
      <xdr:rowOff>0</xdr:rowOff>
    </xdr:from>
    <xdr:to>
      <xdr:col>9</xdr:col>
      <xdr:colOff>590550</xdr:colOff>
      <xdr:row>60</xdr:row>
      <xdr:rowOff>95250</xdr:rowOff>
    </xdr:to>
    <xdr:sp macro="" textlink="">
      <xdr:nvSpPr>
        <xdr:cNvPr id="124010" name="AutoShape 1"/>
        <xdr:cNvSpPr>
          <a:spLocks/>
        </xdr:cNvSpPr>
      </xdr:nvSpPr>
      <xdr:spPr bwMode="auto">
        <a:xfrm>
          <a:off x="4543425" y="9124950"/>
          <a:ext cx="161925" cy="609600"/>
        </a:xfrm>
        <a:prstGeom prst="rightBrace">
          <a:avLst>
            <a:gd name="adj1" fmla="val 31373"/>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323850</xdr:colOff>
      <xdr:row>15</xdr:row>
      <xdr:rowOff>57150</xdr:rowOff>
    </xdr:from>
    <xdr:to>
      <xdr:col>9</xdr:col>
      <xdr:colOff>400050</xdr:colOff>
      <xdr:row>18</xdr:row>
      <xdr:rowOff>0</xdr:rowOff>
    </xdr:to>
    <xdr:sp macro="" textlink="">
      <xdr:nvSpPr>
        <xdr:cNvPr id="124011" name="AutoShape 2"/>
        <xdr:cNvSpPr>
          <a:spLocks/>
        </xdr:cNvSpPr>
      </xdr:nvSpPr>
      <xdr:spPr bwMode="auto">
        <a:xfrm>
          <a:off x="4438650" y="1905000"/>
          <a:ext cx="76200" cy="457200"/>
        </a:xfrm>
        <a:prstGeom prst="rightBrace">
          <a:avLst>
            <a:gd name="adj1" fmla="val 50000"/>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16</xdr:col>
      <xdr:colOff>53975</xdr:colOff>
      <xdr:row>12</xdr:row>
      <xdr:rowOff>82550</xdr:rowOff>
    </xdr:from>
    <xdr:to>
      <xdr:col>18</xdr:col>
      <xdr:colOff>53975</xdr:colOff>
      <xdr:row>12</xdr:row>
      <xdr:rowOff>82550</xdr:rowOff>
    </xdr:to>
    <xdr:sp macro="" textlink="">
      <xdr:nvSpPr>
        <xdr:cNvPr id="124012" name="Line 3"/>
        <xdr:cNvSpPr>
          <a:spLocks noChangeShapeType="1"/>
        </xdr:cNvSpPr>
      </xdr:nvSpPr>
      <xdr:spPr bwMode="auto">
        <a:xfrm flipH="1" flipV="1">
          <a:off x="8753475" y="1282700"/>
          <a:ext cx="584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47625</xdr:colOff>
      <xdr:row>14</xdr:row>
      <xdr:rowOff>95250</xdr:rowOff>
    </xdr:from>
    <xdr:to>
      <xdr:col>18</xdr:col>
      <xdr:colOff>47625</xdr:colOff>
      <xdr:row>14</xdr:row>
      <xdr:rowOff>95250</xdr:rowOff>
    </xdr:to>
    <xdr:sp macro="" textlink="">
      <xdr:nvSpPr>
        <xdr:cNvPr id="124013" name="Line 4"/>
        <xdr:cNvSpPr>
          <a:spLocks noChangeShapeType="1"/>
        </xdr:cNvSpPr>
      </xdr:nvSpPr>
      <xdr:spPr bwMode="auto">
        <a:xfrm flipH="1" flipV="1">
          <a:off x="8696325" y="1447800"/>
          <a:ext cx="581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38100</xdr:colOff>
      <xdr:row>17</xdr:row>
      <xdr:rowOff>66675</xdr:rowOff>
    </xdr:from>
    <xdr:to>
      <xdr:col>18</xdr:col>
      <xdr:colOff>38100</xdr:colOff>
      <xdr:row>17</xdr:row>
      <xdr:rowOff>66675</xdr:rowOff>
    </xdr:to>
    <xdr:sp macro="" textlink="">
      <xdr:nvSpPr>
        <xdr:cNvPr id="124014" name="Line 5"/>
        <xdr:cNvSpPr>
          <a:spLocks noChangeShapeType="1"/>
        </xdr:cNvSpPr>
      </xdr:nvSpPr>
      <xdr:spPr bwMode="auto">
        <a:xfrm flipH="1" flipV="1">
          <a:off x="8686800" y="2085975"/>
          <a:ext cx="581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38100</xdr:colOff>
      <xdr:row>19</xdr:row>
      <xdr:rowOff>95250</xdr:rowOff>
    </xdr:from>
    <xdr:to>
      <xdr:col>18</xdr:col>
      <xdr:colOff>38100</xdr:colOff>
      <xdr:row>19</xdr:row>
      <xdr:rowOff>95250</xdr:rowOff>
    </xdr:to>
    <xdr:sp macro="" textlink="">
      <xdr:nvSpPr>
        <xdr:cNvPr id="124015" name="Line 6"/>
        <xdr:cNvSpPr>
          <a:spLocks noChangeShapeType="1"/>
        </xdr:cNvSpPr>
      </xdr:nvSpPr>
      <xdr:spPr bwMode="auto">
        <a:xfrm flipH="1" flipV="1">
          <a:off x="8686800" y="2628900"/>
          <a:ext cx="581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15</xdr:col>
      <xdr:colOff>419100</xdr:colOff>
      <xdr:row>27</xdr:row>
      <xdr:rowOff>57150</xdr:rowOff>
    </xdr:from>
    <xdr:to>
      <xdr:col>15</xdr:col>
      <xdr:colOff>771525</xdr:colOff>
      <xdr:row>28</xdr:row>
      <xdr:rowOff>152400</xdr:rowOff>
    </xdr:to>
    <xdr:pic>
      <xdr:nvPicPr>
        <xdr:cNvPr id="124016" name="Picture 7" descr="E:\My Documents\Excel\03_1040\Pencil - Blue.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86750" y="3886200"/>
          <a:ext cx="3524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476250</xdr:colOff>
      <xdr:row>0</xdr:row>
      <xdr:rowOff>114300</xdr:rowOff>
    </xdr:from>
    <xdr:to>
      <xdr:col>13</xdr:col>
      <xdr:colOff>828675</xdr:colOff>
      <xdr:row>2</xdr:row>
      <xdr:rowOff>133350</xdr:rowOff>
    </xdr:to>
    <xdr:pic>
      <xdr:nvPicPr>
        <xdr:cNvPr id="124017" name="Picture 8" descr="E:\My Documents\Excel\03_1040\Pencil - Blue.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9950" y="114300"/>
          <a:ext cx="3524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1028700</xdr:colOff>
      <xdr:row>63</xdr:row>
      <xdr:rowOff>38100</xdr:rowOff>
    </xdr:from>
    <xdr:to>
      <xdr:col>12</xdr:col>
      <xdr:colOff>0</xdr:colOff>
      <xdr:row>64</xdr:row>
      <xdr:rowOff>28575</xdr:rowOff>
    </xdr:to>
    <xdr:pic>
      <xdr:nvPicPr>
        <xdr:cNvPr id="124018"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9850" y="10163175"/>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1028700</xdr:colOff>
      <xdr:row>64</xdr:row>
      <xdr:rowOff>38100</xdr:rowOff>
    </xdr:from>
    <xdr:to>
      <xdr:col>12</xdr:col>
      <xdr:colOff>0</xdr:colOff>
      <xdr:row>65</xdr:row>
      <xdr:rowOff>28575</xdr:rowOff>
    </xdr:to>
    <xdr:pic>
      <xdr:nvPicPr>
        <xdr:cNvPr id="124019"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9850" y="103251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1047750</xdr:colOff>
      <xdr:row>68</xdr:row>
      <xdr:rowOff>19050</xdr:rowOff>
    </xdr:from>
    <xdr:to>
      <xdr:col>12</xdr:col>
      <xdr:colOff>19050</xdr:colOff>
      <xdr:row>69</xdr:row>
      <xdr:rowOff>9525</xdr:rowOff>
    </xdr:to>
    <xdr:pic>
      <xdr:nvPicPr>
        <xdr:cNvPr id="124020"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38900" y="1095375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1057275</xdr:colOff>
      <xdr:row>88</xdr:row>
      <xdr:rowOff>19050</xdr:rowOff>
    </xdr:from>
    <xdr:to>
      <xdr:col>12</xdr:col>
      <xdr:colOff>28575</xdr:colOff>
      <xdr:row>89</xdr:row>
      <xdr:rowOff>9525</xdr:rowOff>
    </xdr:to>
    <xdr:pic>
      <xdr:nvPicPr>
        <xdr:cNvPr id="124021"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12087225"/>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25400</xdr:colOff>
      <xdr:row>12</xdr:row>
      <xdr:rowOff>44450</xdr:rowOff>
    </xdr:from>
    <xdr:to>
      <xdr:col>14</xdr:col>
      <xdr:colOff>127000</xdr:colOff>
      <xdr:row>18</xdr:row>
      <xdr:rowOff>25400</xdr:rowOff>
    </xdr:to>
    <xdr:sp macro="" textlink="">
      <xdr:nvSpPr>
        <xdr:cNvPr id="14" name="AutoShape 2"/>
        <xdr:cNvSpPr>
          <a:spLocks/>
        </xdr:cNvSpPr>
      </xdr:nvSpPr>
      <xdr:spPr bwMode="auto">
        <a:xfrm flipH="1">
          <a:off x="7696200" y="2070100"/>
          <a:ext cx="101600" cy="996950"/>
        </a:xfrm>
        <a:prstGeom prst="rightBrace">
          <a:avLst>
            <a:gd name="adj1" fmla="val 50000"/>
            <a:gd name="adj2" fmla="val 50787"/>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466726</xdr:colOff>
      <xdr:row>70</xdr:row>
      <xdr:rowOff>161925</xdr:rowOff>
    </xdr:from>
    <xdr:to>
      <xdr:col>9</xdr:col>
      <xdr:colOff>619126</xdr:colOff>
      <xdr:row>74</xdr:row>
      <xdr:rowOff>104775</xdr:rowOff>
    </xdr:to>
    <xdr:sp macro="" textlink="">
      <xdr:nvSpPr>
        <xdr:cNvPr id="15" name="AutoShape 1"/>
        <xdr:cNvSpPr>
          <a:spLocks/>
        </xdr:cNvSpPr>
      </xdr:nvSpPr>
      <xdr:spPr bwMode="auto">
        <a:xfrm>
          <a:off x="4581526" y="11763375"/>
          <a:ext cx="152400" cy="628650"/>
        </a:xfrm>
        <a:prstGeom prst="rightBrace">
          <a:avLst>
            <a:gd name="adj1" fmla="val 31373"/>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196850</xdr:colOff>
      <xdr:row>5</xdr:row>
      <xdr:rowOff>107950</xdr:rowOff>
    </xdr:from>
    <xdr:to>
      <xdr:col>10</xdr:col>
      <xdr:colOff>311150</xdr:colOff>
      <xdr:row>11</xdr:row>
      <xdr:rowOff>114300</xdr:rowOff>
    </xdr:to>
    <xdr:sp macro="" textlink="">
      <xdr:nvSpPr>
        <xdr:cNvPr id="16" name="AutoShape 2"/>
        <xdr:cNvSpPr>
          <a:spLocks/>
        </xdr:cNvSpPr>
      </xdr:nvSpPr>
      <xdr:spPr bwMode="auto">
        <a:xfrm>
          <a:off x="5289550" y="977900"/>
          <a:ext cx="114300" cy="996950"/>
        </a:xfrm>
        <a:prstGeom prst="rightBrace">
          <a:avLst>
            <a:gd name="adj1" fmla="val 50000"/>
            <a:gd name="adj2" fmla="val 50787"/>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263525</xdr:colOff>
      <xdr:row>10</xdr:row>
      <xdr:rowOff>12700</xdr:rowOff>
    </xdr:from>
    <xdr:to>
      <xdr:col>6</xdr:col>
      <xdr:colOff>339725</xdr:colOff>
      <xdr:row>10</xdr:row>
      <xdr:rowOff>146050</xdr:rowOff>
    </xdr:to>
    <xdr:pic>
      <xdr:nvPicPr>
        <xdr:cNvPr id="6"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16200" y="18510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xdr:col>
      <xdr:colOff>428625</xdr:colOff>
      <xdr:row>4</xdr:row>
      <xdr:rowOff>9525</xdr:rowOff>
    </xdr:from>
    <xdr:ext cx="76200" cy="133350"/>
    <xdr:pic>
      <xdr:nvPicPr>
        <xdr:cNvPr id="1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1650" y="8191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66675</xdr:colOff>
      <xdr:row>5</xdr:row>
      <xdr:rowOff>28575</xdr:rowOff>
    </xdr:from>
    <xdr:ext cx="76200" cy="133350"/>
    <xdr:pic>
      <xdr:nvPicPr>
        <xdr:cNvPr id="14" name="Picture 1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9700" y="9620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9</xdr:col>
      <xdr:colOff>111125</xdr:colOff>
      <xdr:row>28</xdr:row>
      <xdr:rowOff>12700</xdr:rowOff>
    </xdr:from>
    <xdr:to>
      <xdr:col>9</xdr:col>
      <xdr:colOff>187325</xdr:colOff>
      <xdr:row>28</xdr:row>
      <xdr:rowOff>146050</xdr:rowOff>
    </xdr:to>
    <xdr:pic>
      <xdr:nvPicPr>
        <xdr:cNvPr id="15"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82950" y="41846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82550</xdr:colOff>
      <xdr:row>32</xdr:row>
      <xdr:rowOff>22225</xdr:rowOff>
    </xdr:from>
    <xdr:to>
      <xdr:col>22</xdr:col>
      <xdr:colOff>158750</xdr:colOff>
      <xdr:row>33</xdr:row>
      <xdr:rowOff>3175</xdr:rowOff>
    </xdr:to>
    <xdr:pic>
      <xdr:nvPicPr>
        <xdr:cNvPr id="16"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92875" y="48133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114300</xdr:colOff>
      <xdr:row>52</xdr:row>
      <xdr:rowOff>47625</xdr:rowOff>
    </xdr:from>
    <xdr:to>
      <xdr:col>22</xdr:col>
      <xdr:colOff>190500</xdr:colOff>
      <xdr:row>52</xdr:row>
      <xdr:rowOff>180975</xdr:rowOff>
    </xdr:to>
    <xdr:pic>
      <xdr:nvPicPr>
        <xdr:cNvPr id="17"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96075" y="77628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85725</xdr:colOff>
      <xdr:row>93</xdr:row>
      <xdr:rowOff>9525</xdr:rowOff>
    </xdr:from>
    <xdr:to>
      <xdr:col>22</xdr:col>
      <xdr:colOff>161925</xdr:colOff>
      <xdr:row>93</xdr:row>
      <xdr:rowOff>142875</xdr:rowOff>
    </xdr:to>
    <xdr:pic>
      <xdr:nvPicPr>
        <xdr:cNvPr id="18"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43625" y="146018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92075</xdr:colOff>
      <xdr:row>97</xdr:row>
      <xdr:rowOff>73025</xdr:rowOff>
    </xdr:from>
    <xdr:to>
      <xdr:col>3</xdr:col>
      <xdr:colOff>101600</xdr:colOff>
      <xdr:row>100</xdr:row>
      <xdr:rowOff>139700</xdr:rowOff>
    </xdr:to>
    <xdr:pic>
      <xdr:nvPicPr>
        <xdr:cNvPr id="19" name="Picture 113" descr="E:\My Documents\Excel\04_1040\IRS Forms\CAUTION_Black.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425" y="15567025"/>
          <a:ext cx="5365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5</xdr:col>
      <xdr:colOff>9525</xdr:colOff>
      <xdr:row>20</xdr:row>
      <xdr:rowOff>76200</xdr:rowOff>
    </xdr:from>
    <xdr:to>
      <xdr:col>6</xdr:col>
      <xdr:colOff>0</xdr:colOff>
      <xdr:row>20</xdr:row>
      <xdr:rowOff>76200</xdr:rowOff>
    </xdr:to>
    <xdr:sp macro="" textlink="">
      <xdr:nvSpPr>
        <xdr:cNvPr id="123453" name="Line 2"/>
        <xdr:cNvSpPr>
          <a:spLocks noChangeShapeType="1"/>
        </xdr:cNvSpPr>
      </xdr:nvSpPr>
      <xdr:spPr bwMode="auto">
        <a:xfrm flipH="1">
          <a:off x="1371600" y="2428875"/>
          <a:ext cx="3429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9525</xdr:colOff>
      <xdr:row>20</xdr:row>
      <xdr:rowOff>76200</xdr:rowOff>
    </xdr:from>
    <xdr:to>
      <xdr:col>5</xdr:col>
      <xdr:colOff>9525</xdr:colOff>
      <xdr:row>23</xdr:row>
      <xdr:rowOff>9525</xdr:rowOff>
    </xdr:to>
    <xdr:sp macro="" textlink="">
      <xdr:nvSpPr>
        <xdr:cNvPr id="123454" name="Line 3"/>
        <xdr:cNvSpPr>
          <a:spLocks noChangeShapeType="1"/>
        </xdr:cNvSpPr>
      </xdr:nvSpPr>
      <xdr:spPr bwMode="auto">
        <a:xfrm>
          <a:off x="1371600" y="2428875"/>
          <a:ext cx="0" cy="504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27</xdr:row>
      <xdr:rowOff>0</xdr:rowOff>
    </xdr:from>
    <xdr:to>
      <xdr:col>5</xdr:col>
      <xdr:colOff>0</xdr:colOff>
      <xdr:row>29</xdr:row>
      <xdr:rowOff>0</xdr:rowOff>
    </xdr:to>
    <xdr:sp macro="" textlink="">
      <xdr:nvSpPr>
        <xdr:cNvPr id="123455" name="Line 4"/>
        <xdr:cNvSpPr>
          <a:spLocks noChangeShapeType="1"/>
        </xdr:cNvSpPr>
      </xdr:nvSpPr>
      <xdr:spPr bwMode="auto">
        <a:xfrm>
          <a:off x="1362075" y="3533775"/>
          <a:ext cx="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33</xdr:row>
      <xdr:rowOff>0</xdr:rowOff>
    </xdr:from>
    <xdr:to>
      <xdr:col>5</xdr:col>
      <xdr:colOff>0</xdr:colOff>
      <xdr:row>35</xdr:row>
      <xdr:rowOff>0</xdr:rowOff>
    </xdr:to>
    <xdr:sp macro="" textlink="">
      <xdr:nvSpPr>
        <xdr:cNvPr id="123456" name="Line 5"/>
        <xdr:cNvSpPr>
          <a:spLocks noChangeShapeType="1"/>
        </xdr:cNvSpPr>
      </xdr:nvSpPr>
      <xdr:spPr bwMode="auto">
        <a:xfrm>
          <a:off x="1362075" y="4276725"/>
          <a:ext cx="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39</xdr:row>
      <xdr:rowOff>0</xdr:rowOff>
    </xdr:from>
    <xdr:to>
      <xdr:col>5</xdr:col>
      <xdr:colOff>0</xdr:colOff>
      <xdr:row>41</xdr:row>
      <xdr:rowOff>0</xdr:rowOff>
    </xdr:to>
    <xdr:sp macro="" textlink="">
      <xdr:nvSpPr>
        <xdr:cNvPr id="123457" name="Line 6"/>
        <xdr:cNvSpPr>
          <a:spLocks noChangeShapeType="1"/>
        </xdr:cNvSpPr>
      </xdr:nvSpPr>
      <xdr:spPr bwMode="auto">
        <a:xfrm>
          <a:off x="1362075" y="5010150"/>
          <a:ext cx="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0</xdr:colOff>
      <xdr:row>20</xdr:row>
      <xdr:rowOff>85725</xdr:rowOff>
    </xdr:from>
    <xdr:to>
      <xdr:col>19</xdr:col>
      <xdr:colOff>0</xdr:colOff>
      <xdr:row>20</xdr:row>
      <xdr:rowOff>85725</xdr:rowOff>
    </xdr:to>
    <xdr:sp macro="" textlink="">
      <xdr:nvSpPr>
        <xdr:cNvPr id="123458" name="Line 7"/>
        <xdr:cNvSpPr>
          <a:spLocks noChangeShapeType="1"/>
        </xdr:cNvSpPr>
      </xdr:nvSpPr>
      <xdr:spPr bwMode="auto">
        <a:xfrm>
          <a:off x="5495925" y="2438400"/>
          <a:ext cx="581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20</xdr:row>
      <xdr:rowOff>85725</xdr:rowOff>
    </xdr:from>
    <xdr:to>
      <xdr:col>19</xdr:col>
      <xdr:colOff>0</xdr:colOff>
      <xdr:row>23</xdr:row>
      <xdr:rowOff>0</xdr:rowOff>
    </xdr:to>
    <xdr:sp macro="" textlink="">
      <xdr:nvSpPr>
        <xdr:cNvPr id="123459" name="Line 8"/>
        <xdr:cNvSpPr>
          <a:spLocks noChangeShapeType="1"/>
        </xdr:cNvSpPr>
      </xdr:nvSpPr>
      <xdr:spPr bwMode="auto">
        <a:xfrm>
          <a:off x="6076950" y="2438400"/>
          <a:ext cx="0"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19050</xdr:colOff>
      <xdr:row>27</xdr:row>
      <xdr:rowOff>0</xdr:rowOff>
    </xdr:from>
    <xdr:to>
      <xdr:col>19</xdr:col>
      <xdr:colOff>19050</xdr:colOff>
      <xdr:row>28</xdr:row>
      <xdr:rowOff>152400</xdr:rowOff>
    </xdr:to>
    <xdr:sp macro="" textlink="">
      <xdr:nvSpPr>
        <xdr:cNvPr id="123460" name="Line 9"/>
        <xdr:cNvSpPr>
          <a:spLocks noChangeShapeType="1"/>
        </xdr:cNvSpPr>
      </xdr:nvSpPr>
      <xdr:spPr bwMode="auto">
        <a:xfrm>
          <a:off x="6096000" y="3533775"/>
          <a:ext cx="0" cy="238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200025</xdr:colOff>
      <xdr:row>21</xdr:row>
      <xdr:rowOff>114300</xdr:rowOff>
    </xdr:from>
    <xdr:to>
      <xdr:col>12</xdr:col>
      <xdr:colOff>200025</xdr:colOff>
      <xdr:row>37</xdr:row>
      <xdr:rowOff>9525</xdr:rowOff>
    </xdr:to>
    <xdr:sp macro="" textlink="">
      <xdr:nvSpPr>
        <xdr:cNvPr id="123461" name="Line 11"/>
        <xdr:cNvSpPr>
          <a:spLocks noChangeShapeType="1"/>
        </xdr:cNvSpPr>
      </xdr:nvSpPr>
      <xdr:spPr bwMode="auto">
        <a:xfrm flipH="1" flipV="1">
          <a:off x="3848100" y="2705100"/>
          <a:ext cx="0" cy="2066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400050</xdr:colOff>
      <xdr:row>21</xdr:row>
      <xdr:rowOff>123825</xdr:rowOff>
    </xdr:from>
    <xdr:to>
      <xdr:col>12</xdr:col>
      <xdr:colOff>200025</xdr:colOff>
      <xdr:row>21</xdr:row>
      <xdr:rowOff>123825</xdr:rowOff>
    </xdr:to>
    <xdr:sp macro="" textlink="">
      <xdr:nvSpPr>
        <xdr:cNvPr id="123462" name="Line 12"/>
        <xdr:cNvSpPr>
          <a:spLocks noChangeShapeType="1"/>
        </xdr:cNvSpPr>
      </xdr:nvSpPr>
      <xdr:spPr bwMode="auto">
        <a:xfrm flipH="1">
          <a:off x="2828925" y="2714625"/>
          <a:ext cx="1019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400050</xdr:colOff>
      <xdr:row>21</xdr:row>
      <xdr:rowOff>123825</xdr:rowOff>
    </xdr:from>
    <xdr:to>
      <xdr:col>8</xdr:col>
      <xdr:colOff>400050</xdr:colOff>
      <xdr:row>22</xdr:row>
      <xdr:rowOff>161925</xdr:rowOff>
    </xdr:to>
    <xdr:sp macro="" textlink="">
      <xdr:nvSpPr>
        <xdr:cNvPr id="123463" name="Line 13"/>
        <xdr:cNvSpPr>
          <a:spLocks noChangeShapeType="1"/>
        </xdr:cNvSpPr>
      </xdr:nvSpPr>
      <xdr:spPr bwMode="auto">
        <a:xfrm flipH="1">
          <a:off x="2828925" y="2714625"/>
          <a:ext cx="0" cy="2000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0</xdr:colOff>
      <xdr:row>25</xdr:row>
      <xdr:rowOff>19050</xdr:rowOff>
    </xdr:from>
    <xdr:to>
      <xdr:col>12</xdr:col>
      <xdr:colOff>0</xdr:colOff>
      <xdr:row>42</xdr:row>
      <xdr:rowOff>95250</xdr:rowOff>
    </xdr:to>
    <xdr:sp macro="" textlink="">
      <xdr:nvSpPr>
        <xdr:cNvPr id="123464" name="Line 17"/>
        <xdr:cNvSpPr>
          <a:spLocks noChangeShapeType="1"/>
        </xdr:cNvSpPr>
      </xdr:nvSpPr>
      <xdr:spPr bwMode="auto">
        <a:xfrm>
          <a:off x="3648075" y="3267075"/>
          <a:ext cx="0" cy="2162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42</xdr:row>
      <xdr:rowOff>85725</xdr:rowOff>
    </xdr:from>
    <xdr:to>
      <xdr:col>14</xdr:col>
      <xdr:colOff>0</xdr:colOff>
      <xdr:row>42</xdr:row>
      <xdr:rowOff>85725</xdr:rowOff>
    </xdr:to>
    <xdr:sp macro="" textlink="">
      <xdr:nvSpPr>
        <xdr:cNvPr id="123465" name="Line 18"/>
        <xdr:cNvSpPr>
          <a:spLocks noChangeShapeType="1"/>
        </xdr:cNvSpPr>
      </xdr:nvSpPr>
      <xdr:spPr bwMode="auto">
        <a:xfrm>
          <a:off x="3648075" y="5419725"/>
          <a:ext cx="5238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25</xdr:row>
      <xdr:rowOff>28575</xdr:rowOff>
    </xdr:from>
    <xdr:to>
      <xdr:col>12</xdr:col>
      <xdr:colOff>0</xdr:colOff>
      <xdr:row>25</xdr:row>
      <xdr:rowOff>28575</xdr:rowOff>
    </xdr:to>
    <xdr:sp macro="" textlink="">
      <xdr:nvSpPr>
        <xdr:cNvPr id="123466" name="Line 20"/>
        <xdr:cNvSpPr>
          <a:spLocks noChangeShapeType="1"/>
        </xdr:cNvSpPr>
      </xdr:nvSpPr>
      <xdr:spPr bwMode="auto">
        <a:xfrm>
          <a:off x="3324225" y="3276600"/>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31</xdr:row>
      <xdr:rowOff>19050</xdr:rowOff>
    </xdr:from>
    <xdr:to>
      <xdr:col>12</xdr:col>
      <xdr:colOff>0</xdr:colOff>
      <xdr:row>31</xdr:row>
      <xdr:rowOff>19050</xdr:rowOff>
    </xdr:to>
    <xdr:sp macro="" textlink="">
      <xdr:nvSpPr>
        <xdr:cNvPr id="123467" name="Line 21"/>
        <xdr:cNvSpPr>
          <a:spLocks noChangeShapeType="1"/>
        </xdr:cNvSpPr>
      </xdr:nvSpPr>
      <xdr:spPr bwMode="auto">
        <a:xfrm>
          <a:off x="3324225" y="4038600"/>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37</xdr:row>
      <xdr:rowOff>19050</xdr:rowOff>
    </xdr:from>
    <xdr:to>
      <xdr:col>12</xdr:col>
      <xdr:colOff>0</xdr:colOff>
      <xdr:row>37</xdr:row>
      <xdr:rowOff>19050</xdr:rowOff>
    </xdr:to>
    <xdr:sp macro="" textlink="">
      <xdr:nvSpPr>
        <xdr:cNvPr id="123468" name="Line 22"/>
        <xdr:cNvSpPr>
          <a:spLocks noChangeShapeType="1"/>
        </xdr:cNvSpPr>
      </xdr:nvSpPr>
      <xdr:spPr bwMode="auto">
        <a:xfrm>
          <a:off x="3324225" y="4781550"/>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295275</xdr:colOff>
      <xdr:row>25</xdr:row>
      <xdr:rowOff>76200</xdr:rowOff>
    </xdr:from>
    <xdr:to>
      <xdr:col>22</xdr:col>
      <xdr:colOff>295275</xdr:colOff>
      <xdr:row>41</xdr:row>
      <xdr:rowOff>0</xdr:rowOff>
    </xdr:to>
    <xdr:sp macro="" textlink="">
      <xdr:nvSpPr>
        <xdr:cNvPr id="123469" name="Line 23"/>
        <xdr:cNvSpPr>
          <a:spLocks noChangeShapeType="1"/>
        </xdr:cNvSpPr>
      </xdr:nvSpPr>
      <xdr:spPr bwMode="auto">
        <a:xfrm>
          <a:off x="7677150" y="3324225"/>
          <a:ext cx="0" cy="1933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9525</xdr:colOff>
      <xdr:row>25</xdr:row>
      <xdr:rowOff>66675</xdr:rowOff>
    </xdr:from>
    <xdr:to>
      <xdr:col>23</xdr:col>
      <xdr:colOff>0</xdr:colOff>
      <xdr:row>25</xdr:row>
      <xdr:rowOff>66675</xdr:rowOff>
    </xdr:to>
    <xdr:sp macro="" textlink="">
      <xdr:nvSpPr>
        <xdr:cNvPr id="123470" name="Line 24"/>
        <xdr:cNvSpPr>
          <a:spLocks noChangeShapeType="1"/>
        </xdr:cNvSpPr>
      </xdr:nvSpPr>
      <xdr:spPr bwMode="auto">
        <a:xfrm>
          <a:off x="7429500" y="3314700"/>
          <a:ext cx="247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0</xdr:colOff>
      <xdr:row>37</xdr:row>
      <xdr:rowOff>19050</xdr:rowOff>
    </xdr:from>
    <xdr:to>
      <xdr:col>22</xdr:col>
      <xdr:colOff>219075</xdr:colOff>
      <xdr:row>37</xdr:row>
      <xdr:rowOff>19050</xdr:rowOff>
    </xdr:to>
    <xdr:sp macro="" textlink="">
      <xdr:nvSpPr>
        <xdr:cNvPr id="123471" name="Line 25"/>
        <xdr:cNvSpPr>
          <a:spLocks noChangeShapeType="1"/>
        </xdr:cNvSpPr>
      </xdr:nvSpPr>
      <xdr:spPr bwMode="auto">
        <a:xfrm>
          <a:off x="7419975" y="4781550"/>
          <a:ext cx="219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200025</xdr:colOff>
      <xdr:row>37</xdr:row>
      <xdr:rowOff>19050</xdr:rowOff>
    </xdr:from>
    <xdr:to>
      <xdr:col>14</xdr:col>
      <xdr:colOff>0</xdr:colOff>
      <xdr:row>37</xdr:row>
      <xdr:rowOff>19050</xdr:rowOff>
    </xdr:to>
    <xdr:sp macro="" textlink="">
      <xdr:nvSpPr>
        <xdr:cNvPr id="123472" name="Line 26"/>
        <xdr:cNvSpPr>
          <a:spLocks noChangeShapeType="1"/>
        </xdr:cNvSpPr>
      </xdr:nvSpPr>
      <xdr:spPr bwMode="auto">
        <a:xfrm flipH="1">
          <a:off x="3848100" y="4781550"/>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19050</xdr:colOff>
      <xdr:row>33</xdr:row>
      <xdr:rowOff>9525</xdr:rowOff>
    </xdr:from>
    <xdr:to>
      <xdr:col>19</xdr:col>
      <xdr:colOff>19050</xdr:colOff>
      <xdr:row>35</xdr:row>
      <xdr:rowOff>0</xdr:rowOff>
    </xdr:to>
    <xdr:sp macro="" textlink="">
      <xdr:nvSpPr>
        <xdr:cNvPr id="123473" name="Line 93"/>
        <xdr:cNvSpPr>
          <a:spLocks noChangeShapeType="1"/>
        </xdr:cNvSpPr>
      </xdr:nvSpPr>
      <xdr:spPr bwMode="auto">
        <a:xfrm>
          <a:off x="6096000" y="4286250"/>
          <a:ext cx="0" cy="238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9525</xdr:colOff>
      <xdr:row>31</xdr:row>
      <xdr:rowOff>28575</xdr:rowOff>
    </xdr:from>
    <xdr:to>
      <xdr:col>23</xdr:col>
      <xdr:colOff>9525</xdr:colOff>
      <xdr:row>31</xdr:row>
      <xdr:rowOff>28575</xdr:rowOff>
    </xdr:to>
    <xdr:sp macro="" textlink="">
      <xdr:nvSpPr>
        <xdr:cNvPr id="123474" name="Line 94"/>
        <xdr:cNvSpPr>
          <a:spLocks noChangeShapeType="1"/>
        </xdr:cNvSpPr>
      </xdr:nvSpPr>
      <xdr:spPr bwMode="auto">
        <a:xfrm>
          <a:off x="7429500" y="4048125"/>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19</xdr:col>
      <xdr:colOff>66675</xdr:colOff>
      <xdr:row>58</xdr:row>
      <xdr:rowOff>28575</xdr:rowOff>
    </xdr:from>
    <xdr:to>
      <xdr:col>19</xdr:col>
      <xdr:colOff>161925</xdr:colOff>
      <xdr:row>59</xdr:row>
      <xdr:rowOff>12700</xdr:rowOff>
    </xdr:to>
    <xdr:pic>
      <xdr:nvPicPr>
        <xdr:cNvPr id="123475"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43625" y="782955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38100</xdr:colOff>
      <xdr:row>72</xdr:row>
      <xdr:rowOff>9525</xdr:rowOff>
    </xdr:from>
    <xdr:to>
      <xdr:col>19</xdr:col>
      <xdr:colOff>133350</xdr:colOff>
      <xdr:row>72</xdr:row>
      <xdr:rowOff>161925</xdr:rowOff>
    </xdr:to>
    <xdr:pic>
      <xdr:nvPicPr>
        <xdr:cNvPr id="123476"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15050" y="109347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857250</xdr:colOff>
      <xdr:row>78</xdr:row>
      <xdr:rowOff>9525</xdr:rowOff>
    </xdr:from>
    <xdr:to>
      <xdr:col>21</xdr:col>
      <xdr:colOff>952500</xdr:colOff>
      <xdr:row>79</xdr:row>
      <xdr:rowOff>9525</xdr:rowOff>
    </xdr:to>
    <xdr:pic>
      <xdr:nvPicPr>
        <xdr:cNvPr id="123477"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15200" y="120396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38100</xdr:colOff>
      <xdr:row>93</xdr:row>
      <xdr:rowOff>19050</xdr:rowOff>
    </xdr:from>
    <xdr:to>
      <xdr:col>19</xdr:col>
      <xdr:colOff>133350</xdr:colOff>
      <xdr:row>93</xdr:row>
      <xdr:rowOff>171450</xdr:rowOff>
    </xdr:to>
    <xdr:pic>
      <xdr:nvPicPr>
        <xdr:cNvPr id="123478"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15050" y="144018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47625</xdr:colOff>
      <xdr:row>106</xdr:row>
      <xdr:rowOff>28575</xdr:rowOff>
    </xdr:from>
    <xdr:to>
      <xdr:col>19</xdr:col>
      <xdr:colOff>142875</xdr:colOff>
      <xdr:row>107</xdr:row>
      <xdr:rowOff>9525</xdr:rowOff>
    </xdr:to>
    <xdr:pic>
      <xdr:nvPicPr>
        <xdr:cNvPr id="123479"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24575" y="16621125"/>
          <a:ext cx="952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15875</xdr:colOff>
      <xdr:row>15</xdr:row>
      <xdr:rowOff>9525</xdr:rowOff>
    </xdr:from>
    <xdr:to>
      <xdr:col>19</xdr:col>
      <xdr:colOff>111125</xdr:colOff>
      <xdr:row>15</xdr:row>
      <xdr:rowOff>161925</xdr:rowOff>
    </xdr:to>
    <xdr:pic>
      <xdr:nvPicPr>
        <xdr:cNvPr id="123480"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24575" y="1247775"/>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paypal.com/us/webapps/mpp/send-money-online"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irs.gov/pub/irs-pdf/i1040sd.pdf" TargetMode="External"/><Relationship Id="rId1" Type="http://schemas.openxmlformats.org/officeDocument/2006/relationships/hyperlink" Target="http://www.irs.gov/pub/irs-pdf/f1040sd.pdf" TargetMode="External"/><Relationship Id="rId4"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www.irs.gov/pub/irs-pdf/i1040se.pdf" TargetMode="External"/><Relationship Id="rId1" Type="http://schemas.openxmlformats.org/officeDocument/2006/relationships/hyperlink" Target="http://www.irs.gov/pub/irs-pdf/f1040se.pdf"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www.irs.gov/pub/irs-pdf/i1040se.pdf" TargetMode="External"/><Relationship Id="rId1" Type="http://schemas.openxmlformats.org/officeDocument/2006/relationships/hyperlink" Target="http://www.irs.gov/pub/irs-pdf/f1040se.pdf"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www.irs.gov/pub/irs-pdf/i1040sf.pdf" TargetMode="External"/><Relationship Id="rId1" Type="http://schemas.openxmlformats.org/officeDocument/2006/relationships/hyperlink" Target="http://www.irs.gov/pub/irs-pdf/f1040sf.pdf" TargetMode="External"/><Relationship Id="rId4"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www.irs.gov/pub/irs-pdf/i1040sse.pdf" TargetMode="External"/><Relationship Id="rId1" Type="http://schemas.openxmlformats.org/officeDocument/2006/relationships/hyperlink" Target="http://www.irs.gov/pub/irs-pdf/f1040sse.pdf" TargetMode="External"/><Relationship Id="rId4"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www.irs.gov/pub/irs-pdf/i2441.pdf" TargetMode="External"/><Relationship Id="rId1" Type="http://schemas.openxmlformats.org/officeDocument/2006/relationships/hyperlink" Target="http://www.irs.gov/pub/irs-pdf/f2441.pdf" TargetMode="External"/><Relationship Id="rId4"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www.irs.gov/pub/irs-pdf/i6251.pdf" TargetMode="External"/><Relationship Id="rId1" Type="http://schemas.openxmlformats.org/officeDocument/2006/relationships/hyperlink" Target="http://www.irs.gov/pub/irs-pdf/f6251.pdf" TargetMode="External"/><Relationship Id="rId4"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www.irs.gov/pub/irs-pdf/i8959.pdf" TargetMode="External"/><Relationship Id="rId1" Type="http://schemas.openxmlformats.org/officeDocument/2006/relationships/hyperlink" Target="http://www.irs.gov/pub/irs-pdf/f8959.pdf"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www.irs.gov/pub/irs-dft/i8960--dft.pdf" TargetMode="External"/><Relationship Id="rId1" Type="http://schemas.openxmlformats.org/officeDocument/2006/relationships/hyperlink" Target="http://www.irs.gov/pub/irs-pdf/f8960.pdf" TargetMode="External"/><Relationship Id="rId4" Type="http://schemas.openxmlformats.org/officeDocument/2006/relationships/drawing" Target="../drawings/drawing15.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www.excel1040.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irs.gov/pub/irs-pdf/f1040.pdf" TargetMode="External"/><Relationship Id="rId7" Type="http://schemas.openxmlformats.org/officeDocument/2006/relationships/drawing" Target="../drawings/drawing2.xml"/><Relationship Id="rId2" Type="http://schemas.openxmlformats.org/officeDocument/2006/relationships/hyperlink" Target="http://www.irs.gov/pub/irs-pdf/i1040gi.pdf" TargetMode="External"/><Relationship Id="rId1" Type="http://schemas.openxmlformats.org/officeDocument/2006/relationships/hyperlink" Target="http://www.excel1040.com/" TargetMode="External"/><Relationship Id="rId6" Type="http://schemas.openxmlformats.org/officeDocument/2006/relationships/printerSettings" Target="../printerSettings/printerSettings5.bin"/><Relationship Id="rId5" Type="http://schemas.openxmlformats.org/officeDocument/2006/relationships/hyperlink" Target="http://www.irs.gov/pub/irs-pdf/f1040.pdf" TargetMode="External"/><Relationship Id="rId4" Type="http://schemas.openxmlformats.org/officeDocument/2006/relationships/hyperlink" Target="http://www.irs.gov/pub/irs-pdf/f1040.pdf"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irs.gov/pub/irs-pdf/i1040sca.pdf" TargetMode="External"/><Relationship Id="rId1" Type="http://schemas.openxmlformats.org/officeDocument/2006/relationships/hyperlink" Target="http://www.irs.gov/pub/irs-pdf/f1040sa.pdf" TargetMode="Externa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www.irs.gov/pub/irs-pdf/f1040sb.pdf"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irs.gov/pub/irs-pdf/i1040sc.pdf" TargetMode="External"/><Relationship Id="rId1" Type="http://schemas.openxmlformats.org/officeDocument/2006/relationships/hyperlink" Target="http://www.irs.gov/pub/irs-pdf/f1040sc.pdf" TargetMode="External"/><Relationship Id="rId4"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irs.gov/pub/irs-pdf/i1040sd.pdf" TargetMode="External"/><Relationship Id="rId1" Type="http://schemas.openxmlformats.org/officeDocument/2006/relationships/hyperlink" Target="http://www.irs.gov/pub/irs-pdf/f1040sd.pdf"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zoomScaleNormal="100" workbookViewId="0"/>
  </sheetViews>
  <sheetFormatPr defaultColWidth="9.140625" defaultRowHeight="12.75"/>
  <cols>
    <col min="1" max="1" width="5.140625" style="2295" customWidth="1"/>
    <col min="2" max="2" width="12.42578125" style="2295" customWidth="1"/>
    <col min="3" max="3" width="9.140625" style="2295"/>
    <col min="4" max="4" width="7.5703125" style="2295" customWidth="1"/>
    <col min="5" max="7" width="9.140625" style="2295"/>
    <col min="8" max="8" width="6.28515625" style="2295" customWidth="1"/>
    <col min="9" max="9" width="9.140625" style="2295"/>
    <col min="10" max="10" width="5.7109375" style="2295" customWidth="1"/>
    <col min="11" max="11" width="7.140625" style="2295" customWidth="1"/>
    <col min="12" max="16384" width="9.140625" style="2295"/>
  </cols>
  <sheetData>
    <row r="1" spans="2:11" ht="21.75" customHeight="1" thickBot="1"/>
    <row r="2" spans="2:11" ht="13.5" thickTop="1">
      <c r="B2" s="2978"/>
      <c r="C2" s="2979"/>
      <c r="D2" s="2979"/>
      <c r="E2" s="2979"/>
      <c r="F2" s="2979"/>
      <c r="G2" s="2979"/>
      <c r="H2" s="2979"/>
      <c r="I2" s="2979"/>
      <c r="J2" s="2979"/>
      <c r="K2" s="2980"/>
    </row>
    <row r="3" spans="2:11">
      <c r="B3" s="2981"/>
      <c r="C3" s="2581"/>
      <c r="D3" s="2581"/>
      <c r="E3" s="2581"/>
      <c r="F3" s="2581"/>
      <c r="G3" s="2581"/>
      <c r="H3" s="2581"/>
      <c r="I3" s="2581"/>
      <c r="J3" s="2581"/>
      <c r="K3" s="2982"/>
    </row>
    <row r="4" spans="2:11" ht="13.5">
      <c r="B4" s="2981"/>
      <c r="C4" s="2581"/>
      <c r="D4" s="2581"/>
      <c r="E4" s="2983" t="s">
        <v>1790</v>
      </c>
      <c r="F4" s="2581"/>
      <c r="G4" s="2581"/>
      <c r="H4" s="2581"/>
      <c r="I4" s="2581"/>
      <c r="J4" s="2581"/>
      <c r="K4" s="2982"/>
    </row>
    <row r="5" spans="2:11">
      <c r="B5" s="2981"/>
      <c r="C5" s="2581"/>
      <c r="D5" s="2581"/>
      <c r="E5" s="2581"/>
      <c r="F5" s="2581"/>
      <c r="G5" s="2581"/>
      <c r="H5" s="2581"/>
      <c r="I5" s="2581"/>
      <c r="J5" s="2581"/>
      <c r="K5" s="2982"/>
    </row>
    <row r="6" spans="2:11" ht="13.5">
      <c r="B6" s="2981"/>
      <c r="C6" s="2581"/>
      <c r="D6" s="2581"/>
      <c r="E6" s="2581"/>
      <c r="F6" s="2984" t="s">
        <v>1791</v>
      </c>
      <c r="G6" s="2581"/>
      <c r="H6" s="2581"/>
      <c r="I6" s="2581"/>
      <c r="J6" s="2581"/>
      <c r="K6" s="2982"/>
    </row>
    <row r="7" spans="2:11" ht="13.5">
      <c r="B7" s="2981"/>
      <c r="C7" s="2581"/>
      <c r="D7" s="2581"/>
      <c r="E7" s="2581"/>
      <c r="F7" s="2984" t="s">
        <v>1792</v>
      </c>
      <c r="G7" s="2581"/>
      <c r="H7" s="2581"/>
      <c r="I7" s="2581"/>
      <c r="J7" s="2581"/>
      <c r="K7" s="2982"/>
    </row>
    <row r="8" spans="2:11" ht="13.5">
      <c r="B8" s="2981"/>
      <c r="C8" s="2581"/>
      <c r="D8" s="2581"/>
      <c r="E8" s="2581"/>
      <c r="F8" s="2984" t="s">
        <v>1793</v>
      </c>
      <c r="G8" s="2581"/>
      <c r="H8" s="2581"/>
      <c r="I8" s="2581"/>
      <c r="J8" s="2581"/>
      <c r="K8" s="2982"/>
    </row>
    <row r="9" spans="2:11" ht="13.5">
      <c r="B9" s="2981"/>
      <c r="C9" s="2581"/>
      <c r="D9" s="2581"/>
      <c r="E9" s="2581"/>
      <c r="F9" s="2984" t="s">
        <v>1794</v>
      </c>
      <c r="G9" s="2581"/>
      <c r="H9" s="2581"/>
      <c r="I9" s="2581"/>
      <c r="J9" s="2581"/>
      <c r="K9" s="2982"/>
    </row>
    <row r="10" spans="2:11" ht="13.5">
      <c r="B10" s="2981"/>
      <c r="C10" s="2581"/>
      <c r="D10" s="2581"/>
      <c r="E10" s="2581"/>
      <c r="F10" s="2984" t="s">
        <v>1795</v>
      </c>
      <c r="G10" s="2581"/>
      <c r="H10" s="2581"/>
      <c r="I10" s="2581"/>
      <c r="J10" s="2581"/>
      <c r="K10" s="2982"/>
    </row>
    <row r="11" spans="2:11">
      <c r="B11" s="2981"/>
      <c r="C11" s="2581"/>
      <c r="D11" s="2581"/>
      <c r="E11" s="2581"/>
      <c r="F11" s="2985"/>
      <c r="G11" s="2581"/>
      <c r="H11" s="2581"/>
      <c r="I11" s="2581"/>
      <c r="J11" s="2581"/>
      <c r="K11" s="2982"/>
    </row>
    <row r="12" spans="2:11" ht="13.5">
      <c r="B12" s="2981"/>
      <c r="C12" s="2581"/>
      <c r="D12" s="2581"/>
      <c r="E12" s="2581"/>
      <c r="F12" s="2984" t="s">
        <v>1796</v>
      </c>
      <c r="G12" s="2581"/>
      <c r="H12" s="2581"/>
      <c r="I12" s="2581"/>
      <c r="J12" s="2581"/>
      <c r="K12" s="2982"/>
    </row>
    <row r="13" spans="2:11" ht="13.5">
      <c r="B13" s="2981"/>
      <c r="C13" s="2581"/>
      <c r="D13" s="2581"/>
      <c r="E13" s="2581"/>
      <c r="F13" s="2984" t="s">
        <v>1797</v>
      </c>
      <c r="G13" s="2581"/>
      <c r="H13" s="2581"/>
      <c r="I13" s="2581"/>
      <c r="J13" s="2581"/>
      <c r="K13" s="2982"/>
    </row>
    <row r="14" spans="2:11" ht="13.5">
      <c r="B14" s="2981"/>
      <c r="C14" s="2581"/>
      <c r="D14" s="2581"/>
      <c r="E14" s="2581"/>
      <c r="F14" s="2984" t="s">
        <v>1798</v>
      </c>
      <c r="G14" s="2581"/>
      <c r="H14" s="2581"/>
      <c r="I14" s="2581"/>
      <c r="J14" s="2581"/>
      <c r="K14" s="2982"/>
    </row>
    <row r="15" spans="2:11">
      <c r="B15" s="2981"/>
      <c r="C15" s="2581"/>
      <c r="D15" s="2581"/>
      <c r="E15" s="2581"/>
      <c r="F15" s="2985"/>
      <c r="G15" s="2581"/>
      <c r="H15" s="2581"/>
      <c r="I15" s="2581"/>
      <c r="J15" s="2581"/>
      <c r="K15" s="2982"/>
    </row>
    <row r="16" spans="2:11" ht="13.5">
      <c r="B16" s="2981"/>
      <c r="C16" s="2581"/>
      <c r="D16" s="2581"/>
      <c r="E16" s="2581"/>
      <c r="F16" s="2984" t="s">
        <v>1799</v>
      </c>
      <c r="G16" s="2581"/>
      <c r="H16" s="2581"/>
      <c r="I16" s="2581"/>
      <c r="J16" s="2581"/>
      <c r="K16" s="2982"/>
    </row>
    <row r="17" spans="2:11" ht="13.5">
      <c r="B17" s="2981"/>
      <c r="C17" s="2581"/>
      <c r="D17" s="2581"/>
      <c r="E17" s="2581"/>
      <c r="F17" s="2984" t="s">
        <v>1800</v>
      </c>
      <c r="G17" s="2581"/>
      <c r="H17" s="2581"/>
      <c r="I17" s="2581"/>
      <c r="J17" s="2581"/>
      <c r="K17" s="2982"/>
    </row>
    <row r="18" spans="2:11" ht="13.5">
      <c r="B18" s="2981"/>
      <c r="C18" s="2581"/>
      <c r="D18" s="2581"/>
      <c r="E18" s="2581"/>
      <c r="F18" s="2984"/>
      <c r="G18" s="2581"/>
      <c r="H18" s="2581"/>
      <c r="I18" s="2581"/>
      <c r="J18" s="2581"/>
      <c r="K18" s="2982"/>
    </row>
    <row r="19" spans="2:11" ht="13.5" thickBot="1">
      <c r="B19" s="2986"/>
      <c r="C19" s="2987"/>
      <c r="D19" s="2987"/>
      <c r="E19" s="2987"/>
      <c r="F19" s="2987"/>
      <c r="G19" s="2987"/>
      <c r="H19" s="2987"/>
      <c r="I19" s="2987"/>
      <c r="J19" s="2987"/>
      <c r="K19" s="2988"/>
    </row>
    <row r="20" spans="2:11" ht="14.25" thickTop="1" thickBot="1"/>
    <row r="21" spans="2:11">
      <c r="B21" s="3703" t="s">
        <v>2679</v>
      </c>
      <c r="C21" s="3704"/>
      <c r="D21" s="3704"/>
      <c r="E21" s="3704"/>
      <c r="F21" s="3704"/>
      <c r="G21" s="3704"/>
      <c r="H21" s="3704"/>
      <c r="I21" s="3704"/>
      <c r="J21" s="3704"/>
      <c r="K21" s="3705"/>
    </row>
    <row r="22" spans="2:11">
      <c r="B22" s="3706"/>
      <c r="C22" s="3707"/>
      <c r="D22" s="3707"/>
      <c r="E22" s="3707"/>
      <c r="F22" s="3707"/>
      <c r="G22" s="3707"/>
      <c r="H22" s="3707"/>
      <c r="I22" s="3707"/>
      <c r="J22" s="3707"/>
      <c r="K22" s="3708"/>
    </row>
    <row r="23" spans="2:11">
      <c r="B23" s="3706"/>
      <c r="C23" s="3707"/>
      <c r="D23" s="3707"/>
      <c r="E23" s="3707"/>
      <c r="F23" s="3707"/>
      <c r="G23" s="3707"/>
      <c r="H23" s="3707"/>
      <c r="I23" s="3707"/>
      <c r="J23" s="3707"/>
      <c r="K23" s="3708"/>
    </row>
    <row r="24" spans="2:11">
      <c r="B24" s="3706"/>
      <c r="C24" s="3707"/>
      <c r="D24" s="3707"/>
      <c r="E24" s="3707"/>
      <c r="F24" s="3707"/>
      <c r="G24" s="3707"/>
      <c r="H24" s="3707"/>
      <c r="I24" s="3707"/>
      <c r="J24" s="3707"/>
      <c r="K24" s="3708"/>
    </row>
    <row r="25" spans="2:11">
      <c r="B25" s="3706"/>
      <c r="C25" s="3707"/>
      <c r="D25" s="3707"/>
      <c r="E25" s="3707"/>
      <c r="F25" s="3707"/>
      <c r="G25" s="3707"/>
      <c r="H25" s="3707"/>
      <c r="I25" s="3707"/>
      <c r="J25" s="3707"/>
      <c r="K25" s="3708"/>
    </row>
    <row r="26" spans="2:11">
      <c r="B26" s="3706"/>
      <c r="C26" s="3707"/>
      <c r="D26" s="3707"/>
      <c r="E26" s="3707"/>
      <c r="F26" s="3707"/>
      <c r="G26" s="3707"/>
      <c r="H26" s="3707"/>
      <c r="I26" s="3707"/>
      <c r="J26" s="3707"/>
      <c r="K26" s="3708"/>
    </row>
    <row r="27" spans="2:11">
      <c r="B27" s="3706"/>
      <c r="C27" s="3707"/>
      <c r="D27" s="3707"/>
      <c r="E27" s="3707"/>
      <c r="F27" s="3707"/>
      <c r="G27" s="3707"/>
      <c r="H27" s="3707"/>
      <c r="I27" s="3707"/>
      <c r="J27" s="3707"/>
      <c r="K27" s="3708"/>
    </row>
    <row r="28" spans="2:11">
      <c r="B28" s="3706"/>
      <c r="C28" s="3707"/>
      <c r="D28" s="3707"/>
      <c r="E28" s="3707"/>
      <c r="F28" s="3707"/>
      <c r="G28" s="3707"/>
      <c r="H28" s="3707"/>
      <c r="I28" s="3707"/>
      <c r="J28" s="3707"/>
      <c r="K28" s="3708"/>
    </row>
    <row r="29" spans="2:11" ht="13.5" thickBot="1">
      <c r="B29" s="3709"/>
      <c r="C29" s="3710"/>
      <c r="D29" s="3710"/>
      <c r="E29" s="3710"/>
      <c r="F29" s="3710"/>
      <c r="G29" s="3710"/>
      <c r="H29" s="3710"/>
      <c r="I29" s="3710"/>
      <c r="J29" s="3710"/>
      <c r="K29" s="3711"/>
    </row>
    <row r="30" spans="2:11" ht="13.5">
      <c r="B30" s="3630"/>
      <c r="C30" s="3630"/>
      <c r="D30" s="3630"/>
      <c r="E30" s="3630"/>
      <c r="F30" s="3630"/>
      <c r="G30" s="3630"/>
      <c r="H30" s="3630"/>
      <c r="I30" s="3630"/>
      <c r="J30" s="3630"/>
      <c r="K30" s="3630"/>
    </row>
    <row r="31" spans="2:11" ht="14.25" thickBot="1">
      <c r="B31" s="3630"/>
      <c r="C31" s="3630"/>
      <c r="D31" s="3630"/>
      <c r="E31" s="3630"/>
      <c r="F31" s="3630"/>
      <c r="G31" s="3630"/>
      <c r="H31" s="3630"/>
      <c r="I31" s="3630"/>
      <c r="J31" s="3630"/>
      <c r="K31" s="3630"/>
    </row>
    <row r="32" spans="2:11" ht="28.5" customHeight="1">
      <c r="B32" s="3639" t="s">
        <v>2370</v>
      </c>
      <c r="C32" s="2801"/>
      <c r="D32" s="2801"/>
      <c r="E32" s="2801"/>
      <c r="F32" s="3631"/>
      <c r="G32" s="2801"/>
      <c r="H32" s="2801"/>
      <c r="I32" s="2801"/>
      <c r="J32" s="2801"/>
      <c r="K32" s="2802"/>
    </row>
    <row r="33" spans="1:11">
      <c r="B33" s="3636" t="s">
        <v>2363</v>
      </c>
      <c r="C33" s="2581"/>
      <c r="D33" s="2581"/>
      <c r="E33" s="3632">
        <f>Adj_Gross_Inc</f>
        <v>0</v>
      </c>
      <c r="F33" s="2581"/>
      <c r="G33" s="2804" t="s">
        <v>2365</v>
      </c>
      <c r="H33" s="2581"/>
      <c r="I33" s="2581"/>
      <c r="J33" s="2581"/>
      <c r="K33" s="2668"/>
    </row>
    <row r="34" spans="1:11" ht="15">
      <c r="A34" s="2989"/>
      <c r="B34" s="3636" t="s">
        <v>1756</v>
      </c>
      <c r="C34" s="2581"/>
      <c r="D34" s="2581"/>
      <c r="E34" s="3633" t="str">
        <f>Taxable_Inc</f>
        <v/>
      </c>
      <c r="F34" s="3634"/>
      <c r="G34" s="2804" t="s">
        <v>2366</v>
      </c>
      <c r="H34" s="2581"/>
      <c r="I34" s="2581"/>
      <c r="J34" s="2581"/>
      <c r="K34" s="2668"/>
    </row>
    <row r="35" spans="1:11" ht="15">
      <c r="B35" s="3636" t="s">
        <v>2364</v>
      </c>
      <c r="C35" s="2581"/>
      <c r="D35" s="2581"/>
      <c r="E35" s="3633">
        <f>Tot_Tax</f>
        <v>0</v>
      </c>
      <c r="F35" s="3634"/>
      <c r="G35" s="2804" t="s">
        <v>2368</v>
      </c>
      <c r="H35" s="2581"/>
      <c r="I35" s="2581"/>
      <c r="J35" s="2581"/>
      <c r="K35" s="2668"/>
    </row>
    <row r="36" spans="1:11" ht="15">
      <c r="B36" s="3636" t="s">
        <v>2367</v>
      </c>
      <c r="C36" s="2581"/>
      <c r="D36" s="2581"/>
      <c r="E36" s="3633">
        <f>Tot_Payments</f>
        <v>0</v>
      </c>
      <c r="F36" s="3634"/>
      <c r="G36" s="2804" t="s">
        <v>2369</v>
      </c>
      <c r="H36" s="2581"/>
      <c r="I36" s="2581"/>
      <c r="J36" s="2581"/>
      <c r="K36" s="2668"/>
    </row>
    <row r="37" spans="1:11">
      <c r="B37" s="3636" t="str">
        <f>IF(Overpaid&gt;0,"Amount To be Refunded","Amount You Owe")</f>
        <v>Amount You Owe</v>
      </c>
      <c r="C37" s="2581"/>
      <c r="D37" s="2581"/>
      <c r="E37" s="3633">
        <f>IF(Overpaid&gt;0,Overpaid,You_Owe)</f>
        <v>0</v>
      </c>
      <c r="F37" s="2581"/>
      <c r="G37" s="2804" t="str">
        <f>IF(Overpaid&gt;0,"Form 1040, Line 75","Form 1040, Line 78")</f>
        <v>Form 1040, Line 78</v>
      </c>
      <c r="H37" s="2581"/>
      <c r="I37" s="2581"/>
      <c r="J37" s="2581"/>
      <c r="K37" s="2668"/>
    </row>
    <row r="38" spans="1:11">
      <c r="B38" s="3637"/>
      <c r="C38" s="2581"/>
      <c r="D38" s="2581"/>
      <c r="E38" s="2581"/>
      <c r="F38" s="2581"/>
      <c r="G38" s="2581"/>
      <c r="H38" s="2581"/>
      <c r="I38" s="2581"/>
      <c r="J38" s="2581"/>
      <c r="K38" s="2668"/>
    </row>
    <row r="39" spans="1:11">
      <c r="B39" s="3636" t="s">
        <v>2371</v>
      </c>
      <c r="C39" s="2581"/>
      <c r="D39" s="2581"/>
      <c r="E39" s="3635" t="str">
        <f>IF(ISERROR(E35/E34),"---",E35/E34)</f>
        <v>---</v>
      </c>
      <c r="F39" s="2581"/>
      <c r="G39" s="2804" t="s">
        <v>2372</v>
      </c>
      <c r="H39" s="2581"/>
      <c r="I39" s="2581"/>
      <c r="J39" s="2581"/>
      <c r="K39" s="2668"/>
    </row>
    <row r="40" spans="1:11" ht="13.5" thickBot="1">
      <c r="B40" s="3638"/>
      <c r="C40" s="2809"/>
      <c r="D40" s="2809"/>
      <c r="E40" s="2809"/>
      <c r="F40" s="2809"/>
      <c r="G40" s="2809"/>
      <c r="H40" s="2809"/>
      <c r="I40" s="2809"/>
      <c r="J40" s="2809"/>
      <c r="K40" s="2810"/>
    </row>
    <row r="41" spans="1:11" ht="13.5" thickBot="1"/>
    <row r="42" spans="1:11">
      <c r="B42" s="2800"/>
      <c r="C42" s="2801"/>
      <c r="D42" s="2801"/>
      <c r="E42" s="2801"/>
      <c r="F42" s="2801"/>
      <c r="G42" s="2801"/>
      <c r="H42" s="2801"/>
      <c r="I42" s="2801"/>
      <c r="J42" s="2801"/>
      <c r="K42" s="2802"/>
    </row>
    <row r="43" spans="1:11" ht="21.75" customHeight="1">
      <c r="B43" s="3712" t="s">
        <v>2778</v>
      </c>
      <c r="C43" s="3713"/>
      <c r="D43" s="3713"/>
      <c r="E43" s="3713"/>
      <c r="F43" s="3713"/>
      <c r="G43" s="3713"/>
      <c r="H43" s="3713"/>
      <c r="I43" s="3713"/>
      <c r="J43" s="3713"/>
      <c r="K43" s="3714"/>
    </row>
    <row r="44" spans="1:11" ht="21.75" customHeight="1">
      <c r="B44" s="3715"/>
      <c r="C44" s="3713"/>
      <c r="D44" s="3713"/>
      <c r="E44" s="3713"/>
      <c r="F44" s="3713"/>
      <c r="G44" s="3713"/>
      <c r="H44" s="3713"/>
      <c r="I44" s="3713"/>
      <c r="J44" s="3713"/>
      <c r="K44" s="3714"/>
    </row>
    <row r="45" spans="1:11" ht="21.75" customHeight="1">
      <c r="B45" s="3715"/>
      <c r="C45" s="3713"/>
      <c r="D45" s="3713"/>
      <c r="E45" s="3713"/>
      <c r="F45" s="3713"/>
      <c r="G45" s="3713"/>
      <c r="H45" s="3713"/>
      <c r="I45" s="3713"/>
      <c r="J45" s="3713"/>
      <c r="K45" s="3714"/>
    </row>
    <row r="46" spans="1:11" ht="21.75" customHeight="1">
      <c r="B46" s="3715"/>
      <c r="C46" s="3713"/>
      <c r="D46" s="3713"/>
      <c r="E46" s="3713"/>
      <c r="F46" s="3713"/>
      <c r="G46" s="3713"/>
      <c r="H46" s="3713"/>
      <c r="I46" s="3713"/>
      <c r="J46" s="3713"/>
      <c r="K46" s="3714"/>
    </row>
    <row r="47" spans="1:11">
      <c r="B47" s="3715"/>
      <c r="C47" s="3713"/>
      <c r="D47" s="3713"/>
      <c r="E47" s="3713"/>
      <c r="F47" s="3713"/>
      <c r="G47" s="3713"/>
      <c r="H47" s="3713"/>
      <c r="I47" s="3713"/>
      <c r="J47" s="3713"/>
      <c r="K47" s="3714"/>
    </row>
    <row r="48" spans="1:11">
      <c r="B48" s="3716" t="s">
        <v>2777</v>
      </c>
      <c r="C48" s="3713"/>
      <c r="D48" s="3713"/>
      <c r="E48" s="3713"/>
      <c r="F48" s="3713"/>
      <c r="G48" s="3713"/>
      <c r="H48" s="3713"/>
      <c r="I48" s="3713"/>
      <c r="J48" s="3713"/>
      <c r="K48" s="3714"/>
    </row>
    <row r="49" spans="2:11">
      <c r="B49" s="3697"/>
      <c r="C49" s="3698"/>
      <c r="D49" s="3698"/>
      <c r="E49" s="3698"/>
      <c r="F49" s="3698"/>
      <c r="G49" s="3698"/>
      <c r="H49" s="3698"/>
      <c r="I49" s="3698"/>
      <c r="J49" s="3698"/>
      <c r="K49" s="3699"/>
    </row>
    <row r="50" spans="2:11" ht="12.75" customHeight="1">
      <c r="B50" s="3717" t="s">
        <v>2779</v>
      </c>
      <c r="C50" s="3718"/>
      <c r="D50" s="3718"/>
      <c r="E50" s="3718"/>
      <c r="F50" s="3718"/>
      <c r="G50" s="3718"/>
      <c r="H50" s="3718"/>
      <c r="I50" s="3718"/>
      <c r="J50" s="3718"/>
      <c r="K50" s="3719"/>
    </row>
    <row r="51" spans="2:11" ht="13.5" thickBot="1">
      <c r="B51" s="2808"/>
      <c r="C51" s="2809"/>
      <c r="D51" s="2809"/>
      <c r="E51" s="2809"/>
      <c r="F51" s="2809"/>
      <c r="G51" s="2809"/>
      <c r="H51" s="2809"/>
      <c r="I51" s="2809"/>
      <c r="J51" s="2809"/>
      <c r="K51" s="2810"/>
    </row>
  </sheetData>
  <sheetProtection password="F07E" sheet="1" objects="1" scenarios="1"/>
  <mergeCells count="4">
    <mergeCell ref="B21:K29"/>
    <mergeCell ref="B43:K47"/>
    <mergeCell ref="B48:K48"/>
    <mergeCell ref="B50:K50"/>
  </mergeCells>
  <conditionalFormatting sqref="A34">
    <cfRule type="expression" dxfId="1082" priority="4">
      <formula>IF(Disclaimer,TRUE,FALSE)</formula>
    </cfRule>
  </conditionalFormatting>
  <conditionalFormatting sqref="F34">
    <cfRule type="expression" dxfId="1081" priority="3">
      <formula>IF(Disclaimer,TRUE,FALSE)</formula>
    </cfRule>
  </conditionalFormatting>
  <conditionalFormatting sqref="F35">
    <cfRule type="expression" dxfId="1080" priority="2">
      <formula>IF(Disclaimer,TRUE,FALSE)</formula>
    </cfRule>
  </conditionalFormatting>
  <conditionalFormatting sqref="F36">
    <cfRule type="expression" dxfId="1079" priority="1">
      <formula>IF(Disclaimer,TRUE,FALSE)</formula>
    </cfRule>
  </conditionalFormatting>
  <hyperlinks>
    <hyperlink ref="B48" r:id="rId1"/>
  </hyperlinks>
  <pageMargins left="0.5" right="0.25" top="0.36" bottom="0.28999999999999998" header="0.36" footer="0.21"/>
  <pageSetup orientation="portrait" horizontalDpi="4294967293" verticalDpi="4294967293"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E114"/>
  <sheetViews>
    <sheetView zoomScaleNormal="100" workbookViewId="0">
      <selection activeCell="N5" sqref="N5"/>
    </sheetView>
  </sheetViews>
  <sheetFormatPr defaultRowHeight="12.75"/>
  <cols>
    <col min="1" max="1" width="4" customWidth="1"/>
    <col min="2" max="2" width="4.140625" customWidth="1"/>
    <col min="3" max="3" width="1.5703125" customWidth="1"/>
    <col min="4" max="4" width="3" customWidth="1"/>
    <col min="5" max="5" width="13.42578125" customWidth="1"/>
    <col min="6" max="6" width="10.28515625" customWidth="1"/>
    <col min="7" max="7" width="14.5703125" customWidth="1"/>
    <col min="8" max="8" width="3.85546875" customWidth="1"/>
    <col min="9" max="9" width="6.85546875" customWidth="1"/>
    <col min="10" max="10" width="14.42578125" customWidth="1"/>
    <col min="11" max="11" width="5" customWidth="1"/>
    <col min="12" max="12" width="16.85546875" customWidth="1"/>
    <col min="13" max="13" width="3.5703125" customWidth="1"/>
    <col min="14" max="14" width="13.140625" customWidth="1"/>
    <col min="15" max="15" width="3.7109375" customWidth="1"/>
    <col min="16" max="16" width="11.7109375" customWidth="1"/>
    <col min="17" max="17" width="1.5703125" style="68" customWidth="1"/>
    <col min="18" max="18" width="7.140625" style="68" customWidth="1"/>
    <col min="19" max="19" width="23.85546875" style="68" customWidth="1"/>
    <col min="20" max="21" width="3.28515625" style="68" customWidth="1"/>
    <col min="22" max="22" width="16.7109375" style="68" customWidth="1"/>
    <col min="23" max="23" width="12.28515625" style="68" hidden="1" customWidth="1"/>
    <col min="24" max="31" width="12.28515625" hidden="1" customWidth="1"/>
  </cols>
  <sheetData>
    <row r="1" spans="1:20" ht="13.5" customHeight="1">
      <c r="A1" s="401"/>
      <c r="B1" s="311"/>
      <c r="C1" s="311"/>
      <c r="D1" s="253"/>
      <c r="E1" s="253"/>
      <c r="F1" s="253"/>
      <c r="G1" s="307"/>
      <c r="H1" s="307"/>
      <c r="I1" s="307"/>
      <c r="J1" s="307"/>
      <c r="K1" s="307"/>
      <c r="L1" s="307"/>
      <c r="M1" s="307"/>
      <c r="N1" s="307"/>
      <c r="O1" s="582"/>
      <c r="P1" s="727"/>
      <c r="Q1" s="342"/>
      <c r="R1" s="1357"/>
      <c r="S1" s="342"/>
      <c r="T1" s="60"/>
    </row>
    <row r="2" spans="1:20" ht="13.5" customHeight="1">
      <c r="A2" s="401"/>
      <c r="B2" s="311"/>
      <c r="C2" s="311"/>
      <c r="D2" s="253"/>
      <c r="E2" s="253"/>
      <c r="F2" s="253"/>
      <c r="G2" s="307"/>
      <c r="H2" s="311"/>
      <c r="I2" s="311"/>
      <c r="J2" s="307"/>
      <c r="K2" s="307"/>
      <c r="L2" s="307"/>
      <c r="M2" s="307"/>
      <c r="N2" s="307"/>
      <c r="O2" s="582"/>
      <c r="P2" s="727"/>
      <c r="Q2" s="342"/>
      <c r="R2" s="1357"/>
      <c r="S2" s="342"/>
      <c r="T2" s="342"/>
    </row>
    <row r="3" spans="1:20" ht="13.5" customHeight="1" thickBot="1">
      <c r="A3" s="401"/>
      <c r="B3" s="324"/>
      <c r="C3" s="324"/>
      <c r="D3" s="324" t="s">
        <v>723</v>
      </c>
      <c r="E3" s="324"/>
      <c r="F3" s="324"/>
      <c r="G3" s="307"/>
      <c r="H3" s="311"/>
      <c r="I3" s="311"/>
      <c r="J3" s="307"/>
      <c r="K3" s="307"/>
      <c r="L3" s="307"/>
      <c r="M3" s="547" t="s">
        <v>300</v>
      </c>
      <c r="N3" s="547"/>
      <c r="O3" s="342"/>
      <c r="P3" s="342"/>
      <c r="Q3" s="342"/>
      <c r="R3" s="1358"/>
      <c r="S3" s="342"/>
      <c r="T3" s="342"/>
    </row>
    <row r="4" spans="1:20" ht="13.5" customHeight="1">
      <c r="A4" s="401"/>
      <c r="B4" s="3655"/>
      <c r="C4" s="3656"/>
      <c r="D4" s="3657"/>
      <c r="E4" s="3657"/>
      <c r="F4" s="3657"/>
      <c r="G4" s="3658"/>
      <c r="H4" s="3656"/>
      <c r="I4" s="3656"/>
      <c r="J4" s="3658"/>
      <c r="K4" s="3658"/>
      <c r="L4" s="3658"/>
      <c r="M4" s="3658"/>
      <c r="N4" s="3658"/>
      <c r="O4" s="3658"/>
      <c r="P4" s="3658"/>
      <c r="Q4" s="3659"/>
      <c r="R4" s="1357"/>
      <c r="S4" s="47"/>
      <c r="T4" s="60"/>
    </row>
    <row r="5" spans="1:20" ht="14.25" customHeight="1">
      <c r="A5" s="401"/>
      <c r="B5" s="3660" t="s">
        <v>506</v>
      </c>
      <c r="C5" s="824"/>
      <c r="D5" s="1673" t="s">
        <v>2720</v>
      </c>
      <c r="E5" s="825"/>
      <c r="F5" s="825"/>
      <c r="G5" s="826"/>
      <c r="H5" s="824"/>
      <c r="I5" s="824"/>
      <c r="J5" s="826"/>
      <c r="K5" s="826"/>
      <c r="L5" s="826"/>
      <c r="M5" s="827" t="s">
        <v>506</v>
      </c>
      <c r="N5" s="3288"/>
      <c r="O5" s="831"/>
      <c r="P5" s="826"/>
      <c r="Q5" s="3661"/>
      <c r="R5" s="1357"/>
      <c r="S5" s="999"/>
      <c r="T5" s="60"/>
    </row>
    <row r="6" spans="1:20">
      <c r="A6" s="401"/>
      <c r="B6" s="3660" t="s">
        <v>0</v>
      </c>
      <c r="C6" s="827"/>
      <c r="D6" s="1001" t="s">
        <v>2281</v>
      </c>
      <c r="E6" s="825"/>
      <c r="F6" s="825"/>
      <c r="G6" s="826"/>
      <c r="H6" s="824"/>
      <c r="I6" s="824"/>
      <c r="J6" s="826"/>
      <c r="K6" s="826"/>
      <c r="L6" s="826"/>
      <c r="M6" s="828"/>
      <c r="N6" s="588"/>
      <c r="O6" s="831"/>
      <c r="P6" s="826"/>
      <c r="Q6" s="3661"/>
      <c r="R6" s="1357"/>
      <c r="S6" s="999"/>
      <c r="T6" s="472"/>
    </row>
    <row r="7" spans="1:20">
      <c r="A7" s="401"/>
      <c r="B7" s="3660"/>
      <c r="C7" s="827"/>
      <c r="D7" s="830" t="s">
        <v>208</v>
      </c>
      <c r="E7" s="1001" t="s">
        <v>2282</v>
      </c>
      <c r="F7" s="825"/>
      <c r="G7" s="826"/>
      <c r="H7" s="824"/>
      <c r="I7" s="824"/>
      <c r="J7" s="826"/>
      <c r="K7" s="826"/>
      <c r="L7" s="826"/>
      <c r="M7" s="828"/>
      <c r="N7" s="588"/>
      <c r="O7" s="831"/>
      <c r="P7" s="826"/>
      <c r="Q7" s="3661"/>
      <c r="R7" s="1357"/>
      <c r="S7" s="999"/>
      <c r="T7" s="472"/>
    </row>
    <row r="8" spans="1:20">
      <c r="A8" s="401"/>
      <c r="B8" s="3660"/>
      <c r="C8" s="827"/>
      <c r="D8" s="1001"/>
      <c r="E8" s="1001" t="s">
        <v>2283</v>
      </c>
      <c r="F8" s="825"/>
      <c r="G8" s="826"/>
      <c r="H8" s="824"/>
      <c r="I8" s="824"/>
      <c r="J8" s="826"/>
      <c r="K8" s="826"/>
      <c r="L8" s="826"/>
      <c r="M8" s="828"/>
      <c r="N8" s="588"/>
      <c r="O8" s="831"/>
      <c r="P8" s="826"/>
      <c r="Q8" s="3661"/>
      <c r="R8" s="1357"/>
      <c r="S8" s="999"/>
      <c r="T8" s="472"/>
    </row>
    <row r="9" spans="1:20">
      <c r="A9" s="401"/>
      <c r="B9" s="3660"/>
      <c r="C9" s="827"/>
      <c r="D9" s="830" t="s">
        <v>208</v>
      </c>
      <c r="E9" s="1001" t="s">
        <v>2284</v>
      </c>
      <c r="F9" s="825"/>
      <c r="G9" s="826"/>
      <c r="H9" s="824"/>
      <c r="I9" s="824"/>
      <c r="J9" s="826"/>
      <c r="K9" s="826"/>
      <c r="L9" s="3290" t="s">
        <v>761</v>
      </c>
      <c r="M9" s="828" t="str">
        <f>B6</f>
        <v>2.</v>
      </c>
      <c r="N9" s="3288"/>
      <c r="O9" s="831"/>
      <c r="P9" s="826"/>
      <c r="Q9" s="3661"/>
      <c r="R9" s="1357"/>
      <c r="S9" s="999"/>
      <c r="T9" s="472"/>
    </row>
    <row r="10" spans="1:20">
      <c r="A10" s="401"/>
      <c r="B10" s="3660"/>
      <c r="C10" s="827"/>
      <c r="D10" s="1001"/>
      <c r="E10" s="1001" t="s">
        <v>2285</v>
      </c>
      <c r="F10" s="825"/>
      <c r="G10" s="826"/>
      <c r="H10" s="824"/>
      <c r="I10" s="824"/>
      <c r="J10" s="826"/>
      <c r="K10" s="826"/>
      <c r="L10" s="826"/>
      <c r="M10" s="828"/>
      <c r="N10" s="588"/>
      <c r="O10" s="831"/>
      <c r="P10" s="826"/>
      <c r="Q10" s="3661"/>
      <c r="R10" s="1357"/>
      <c r="S10" s="999"/>
      <c r="T10" s="472"/>
    </row>
    <row r="11" spans="1:20">
      <c r="A11" s="401"/>
      <c r="B11" s="3660"/>
      <c r="C11" s="827"/>
      <c r="D11" s="830" t="s">
        <v>208</v>
      </c>
      <c r="E11" s="1001" t="s">
        <v>2286</v>
      </c>
      <c r="F11" s="825"/>
      <c r="G11" s="826"/>
      <c r="H11" s="824"/>
      <c r="I11" s="824"/>
      <c r="J11" s="826"/>
      <c r="K11" s="826"/>
      <c r="L11" s="826"/>
      <c r="M11" s="828"/>
      <c r="N11" s="588"/>
      <c r="O11" s="831"/>
      <c r="P11" s="826"/>
      <c r="Q11" s="3661"/>
      <c r="R11" s="1357"/>
      <c r="S11" s="1000"/>
      <c r="T11" s="472"/>
    </row>
    <row r="12" spans="1:20">
      <c r="A12" s="401"/>
      <c r="B12" s="3662"/>
      <c r="C12" s="824"/>
      <c r="D12" s="824"/>
      <c r="E12" s="1001" t="s">
        <v>2287</v>
      </c>
      <c r="F12" s="825"/>
      <c r="G12" s="826"/>
      <c r="H12" s="824"/>
      <c r="I12" s="824"/>
      <c r="J12" s="826"/>
      <c r="K12" s="826"/>
      <c r="L12" s="826"/>
      <c r="M12" s="828"/>
      <c r="N12" s="3287"/>
      <c r="O12" s="831"/>
      <c r="P12" s="826"/>
      <c r="Q12" s="3661"/>
      <c r="R12" s="1357"/>
      <c r="S12" s="1000"/>
      <c r="T12" s="77"/>
    </row>
    <row r="13" spans="1:20">
      <c r="A13" s="401"/>
      <c r="B13" s="3660" t="s">
        <v>1</v>
      </c>
      <c r="C13" s="827"/>
      <c r="D13" s="1001" t="s">
        <v>2289</v>
      </c>
      <c r="E13" s="825"/>
      <c r="F13" s="825"/>
      <c r="G13" s="826"/>
      <c r="H13" s="824"/>
      <c r="I13" s="824"/>
      <c r="J13" s="826"/>
      <c r="K13" s="826"/>
      <c r="L13" s="826"/>
      <c r="M13" s="828"/>
      <c r="N13" s="588"/>
      <c r="O13" s="831"/>
      <c r="P13" s="3289"/>
      <c r="Q13" s="3661"/>
      <c r="R13" s="1357"/>
      <c r="S13" s="999" t="str">
        <f>E16</f>
        <v>Form 1099-DIV, box 2d;</v>
      </c>
      <c r="T13" s="611"/>
    </row>
    <row r="14" spans="1:20" ht="13.5" customHeight="1">
      <c r="A14" s="401"/>
      <c r="B14" s="3662"/>
      <c r="C14" s="824"/>
      <c r="D14" s="1001" t="s">
        <v>2288</v>
      </c>
      <c r="E14" s="825"/>
      <c r="F14" s="825"/>
      <c r="G14" s="826"/>
      <c r="H14" s="824"/>
      <c r="I14" s="824"/>
      <c r="J14" s="826"/>
      <c r="K14" s="826"/>
      <c r="L14" s="826"/>
      <c r="M14" s="828" t="str">
        <f>B13</f>
        <v>3.</v>
      </c>
      <c r="N14" s="3288"/>
      <c r="O14" s="831"/>
      <c r="P14" s="831"/>
      <c r="Q14" s="3661"/>
      <c r="R14" s="1357"/>
      <c r="S14" s="47"/>
      <c r="T14" s="60"/>
    </row>
    <row r="15" spans="1:20">
      <c r="A15" s="401"/>
      <c r="B15" s="3660" t="s">
        <v>686</v>
      </c>
      <c r="C15" s="827"/>
      <c r="D15" s="825" t="s">
        <v>46</v>
      </c>
      <c r="E15" s="825"/>
      <c r="F15" s="825"/>
      <c r="G15" s="826"/>
      <c r="H15" s="824"/>
      <c r="I15" s="824"/>
      <c r="J15" s="826"/>
      <c r="K15" s="826"/>
      <c r="L15" s="826"/>
      <c r="M15" s="828"/>
      <c r="N15" s="588"/>
      <c r="O15" s="831"/>
      <c r="P15" s="3289"/>
      <c r="Q15" s="3661"/>
      <c r="R15" s="1357"/>
      <c r="S15" s="999" t="str">
        <f>E17</f>
        <v>Form 2439, box 1d; and</v>
      </c>
      <c r="T15" s="60"/>
    </row>
    <row r="16" spans="1:20" ht="13.5" customHeight="1">
      <c r="A16" s="401"/>
      <c r="B16" s="3663"/>
      <c r="C16" s="829"/>
      <c r="D16" s="830" t="s">
        <v>208</v>
      </c>
      <c r="E16" s="1001" t="s">
        <v>215</v>
      </c>
      <c r="F16" s="830"/>
      <c r="G16" s="825"/>
      <c r="H16" s="824"/>
      <c r="I16" s="824"/>
      <c r="J16" s="826"/>
      <c r="K16" s="826"/>
      <c r="L16" s="826"/>
      <c r="M16" s="828"/>
      <c r="N16" s="588"/>
      <c r="O16" s="831"/>
      <c r="P16" s="831"/>
      <c r="Q16" s="3661"/>
      <c r="R16" s="1357"/>
      <c r="S16" s="1000"/>
      <c r="T16" s="60"/>
    </row>
    <row r="17" spans="1:28" ht="13.5" customHeight="1">
      <c r="A17" s="401"/>
      <c r="B17" s="3663"/>
      <c r="C17" s="829"/>
      <c r="D17" s="830" t="s">
        <v>207</v>
      </c>
      <c r="E17" s="1001" t="s">
        <v>216</v>
      </c>
      <c r="F17" s="830"/>
      <c r="G17" s="825"/>
      <c r="H17" s="824"/>
      <c r="I17" s="824"/>
      <c r="J17" s="826"/>
      <c r="K17" s="826"/>
      <c r="L17" s="3290" t="s">
        <v>13</v>
      </c>
      <c r="M17" s="828" t="str">
        <f>B15</f>
        <v>4.</v>
      </c>
      <c r="N17" s="2897">
        <f>SUM(P13,P15,P18)</f>
        <v>0</v>
      </c>
      <c r="O17" s="831"/>
      <c r="P17" s="831"/>
      <c r="Q17" s="3661"/>
      <c r="R17" s="1357"/>
      <c r="S17" s="999" t="str">
        <f>LEFT(E18,19)</f>
        <v>Schedule K-1 from a</v>
      </c>
      <c r="T17" s="60"/>
    </row>
    <row r="18" spans="1:28" ht="13.5" customHeight="1">
      <c r="A18" s="401"/>
      <c r="B18" s="3663"/>
      <c r="C18" s="829"/>
      <c r="D18" s="830" t="s">
        <v>206</v>
      </c>
      <c r="E18" s="1001" t="s">
        <v>550</v>
      </c>
      <c r="F18" s="830"/>
      <c r="G18" s="825"/>
      <c r="H18" s="824"/>
      <c r="I18" s="824"/>
      <c r="J18" s="826"/>
      <c r="K18" s="826"/>
      <c r="L18" s="826"/>
      <c r="M18" s="828"/>
      <c r="N18" s="588"/>
      <c r="O18" s="831"/>
      <c r="P18" s="3289"/>
      <c r="Q18" s="3661"/>
      <c r="R18" s="1357"/>
      <c r="S18" s="999" t="str">
        <f>MID(E18,21,27)</f>
        <v>partnership, S corporation,</v>
      </c>
      <c r="T18" s="60"/>
    </row>
    <row r="19" spans="1:28" ht="13.5" customHeight="1">
      <c r="A19" s="401"/>
      <c r="B19" s="3660" t="s">
        <v>54</v>
      </c>
      <c r="C19" s="827"/>
      <c r="D19" s="825" t="s">
        <v>158</v>
      </c>
      <c r="E19" s="825"/>
      <c r="F19" s="825"/>
      <c r="G19" s="826"/>
      <c r="H19" s="824"/>
      <c r="I19" s="824"/>
      <c r="J19" s="826"/>
      <c r="K19" s="826"/>
      <c r="L19" s="826"/>
      <c r="M19" s="828"/>
      <c r="N19" s="588"/>
      <c r="O19" s="831"/>
      <c r="P19" s="831"/>
      <c r="Q19" s="3661"/>
      <c r="R19" s="1357"/>
      <c r="S19" s="999" t="str">
        <f>RIGHT(E18,16)</f>
        <v>state, or trust.</v>
      </c>
      <c r="T19" s="60"/>
    </row>
    <row r="20" spans="1:28" ht="12.75" customHeight="1">
      <c r="A20" s="401"/>
      <c r="B20" s="3662"/>
      <c r="C20" s="824"/>
      <c r="D20" s="825" t="s">
        <v>724</v>
      </c>
      <c r="E20" s="825"/>
      <c r="F20" s="825"/>
      <c r="G20" s="826"/>
      <c r="H20" s="824"/>
      <c r="I20" s="824"/>
      <c r="J20" s="826"/>
      <c r="K20" s="826"/>
      <c r="L20" s="826"/>
      <c r="M20" s="828" t="str">
        <f>B19</f>
        <v>5.</v>
      </c>
      <c r="N20" s="2897">
        <f>SUM('Sch. D'!N48,P20)</f>
        <v>0</v>
      </c>
      <c r="O20" s="831"/>
      <c r="P20" s="3289"/>
      <c r="Q20" s="3661"/>
      <c r="R20" s="1357"/>
      <c r="S20" s="999" t="s">
        <v>72</v>
      </c>
      <c r="T20" s="83"/>
    </row>
    <row r="21" spans="1:28">
      <c r="A21" s="401"/>
      <c r="B21" s="3660" t="s">
        <v>125</v>
      </c>
      <c r="C21" s="827"/>
      <c r="D21" s="825" t="s">
        <v>441</v>
      </c>
      <c r="E21" s="825"/>
      <c r="F21" s="825"/>
      <c r="G21" s="826"/>
      <c r="H21" s="824"/>
      <c r="I21" s="824"/>
      <c r="J21" s="826"/>
      <c r="K21" s="826"/>
      <c r="L21" s="826"/>
      <c r="M21" s="828" t="str">
        <f>B21</f>
        <v>6.</v>
      </c>
      <c r="N21" s="2897">
        <f>IF('Sch. D'!N28&lt;0,'Sch. D'!N28,0)</f>
        <v>0</v>
      </c>
      <c r="O21" s="831"/>
      <c r="P21" s="831"/>
      <c r="Q21" s="3661"/>
      <c r="R21" s="1357"/>
      <c r="S21" s="1000"/>
      <c r="T21" s="83"/>
    </row>
    <row r="22" spans="1:28">
      <c r="A22" s="401"/>
      <c r="B22" s="3660" t="s">
        <v>126</v>
      </c>
      <c r="C22" s="827"/>
      <c r="D22" s="825" t="s">
        <v>442</v>
      </c>
      <c r="E22" s="825"/>
      <c r="F22" s="825"/>
      <c r="G22" s="826"/>
      <c r="H22" s="824"/>
      <c r="I22" s="824"/>
      <c r="J22" s="826"/>
      <c r="K22" s="826"/>
      <c r="L22" s="826"/>
      <c r="M22" s="828"/>
      <c r="N22" s="588"/>
      <c r="O22" s="831"/>
      <c r="P22" s="831"/>
      <c r="Q22" s="3661"/>
      <c r="R22" s="1357"/>
      <c r="S22" s="47"/>
      <c r="T22" s="83"/>
    </row>
    <row r="23" spans="1:28">
      <c r="A23" s="401"/>
      <c r="B23" s="3662"/>
      <c r="C23" s="824"/>
      <c r="D23" s="825" t="s">
        <v>443</v>
      </c>
      <c r="E23" s="825"/>
      <c r="F23" s="825"/>
      <c r="G23" s="826"/>
      <c r="H23" s="824"/>
      <c r="I23" s="824"/>
      <c r="J23" s="826"/>
      <c r="K23" s="826"/>
      <c r="L23" s="1002" t="s">
        <v>51</v>
      </c>
      <c r="M23" s="828" t="str">
        <f>B22</f>
        <v>7.</v>
      </c>
      <c r="N23" s="2897">
        <f>IF(SUM(N5:N21)&lt;=0,0,SUM(N5:N21))</f>
        <v>0</v>
      </c>
      <c r="O23" s="831"/>
      <c r="P23" s="831"/>
      <c r="Q23" s="3661"/>
      <c r="R23" s="1357"/>
      <c r="S23" s="47"/>
      <c r="T23" s="83"/>
    </row>
    <row r="24" spans="1:28" ht="13.5" thickBot="1">
      <c r="A24" s="401"/>
      <c r="B24" s="3664"/>
      <c r="C24" s="3665"/>
      <c r="D24" s="3665"/>
      <c r="E24" s="3665"/>
      <c r="F24" s="3665"/>
      <c r="G24" s="3665"/>
      <c r="H24" s="3665"/>
      <c r="I24" s="3665"/>
      <c r="J24" s="3665"/>
      <c r="K24" s="3665"/>
      <c r="L24" s="3665"/>
      <c r="M24" s="3665"/>
      <c r="N24" s="3665"/>
      <c r="O24" s="3665"/>
      <c r="P24" s="3665"/>
      <c r="Q24" s="3666"/>
      <c r="R24" s="1357"/>
      <c r="S24" s="47"/>
      <c r="T24" s="83"/>
    </row>
    <row r="25" spans="1:28">
      <c r="A25" s="401"/>
      <c r="B25" s="311"/>
      <c r="C25" s="311"/>
      <c r="D25" s="253"/>
      <c r="E25" s="253"/>
      <c r="F25" s="253"/>
      <c r="G25" s="307"/>
      <c r="H25" s="311"/>
      <c r="I25" s="311"/>
      <c r="J25" s="329" t="s">
        <v>1650</v>
      </c>
      <c r="K25" s="307"/>
      <c r="L25" s="307"/>
      <c r="M25" s="307"/>
      <c r="N25" s="582"/>
      <c r="O25" s="727"/>
      <c r="P25" s="727"/>
      <c r="Q25" s="727"/>
      <c r="R25" s="1359"/>
      <c r="S25" s="727"/>
      <c r="T25" s="83"/>
    </row>
    <row r="26" spans="1:28">
      <c r="A26" s="401"/>
      <c r="B26" s="303"/>
      <c r="C26" s="303"/>
      <c r="D26" s="303"/>
      <c r="E26" s="303"/>
      <c r="F26" s="303"/>
      <c r="G26" s="303"/>
      <c r="H26" s="303"/>
      <c r="I26" s="303"/>
      <c r="J26" s="304"/>
      <c r="K26" s="305"/>
      <c r="L26" s="304"/>
      <c r="M26" s="304"/>
      <c r="N26" s="304"/>
      <c r="O26" s="583"/>
      <c r="P26" s="583"/>
      <c r="Q26" s="583"/>
      <c r="R26" s="1360"/>
      <c r="S26" s="583"/>
      <c r="T26" s="83"/>
    </row>
    <row r="27" spans="1:28">
      <c r="A27" s="401"/>
      <c r="B27" s="38"/>
      <c r="C27" s="38"/>
      <c r="D27" s="371"/>
      <c r="E27" s="371"/>
      <c r="F27" s="371"/>
      <c r="G27" s="37"/>
      <c r="H27" s="37"/>
      <c r="I27" s="37"/>
      <c r="J27" s="175"/>
      <c r="K27" s="175"/>
      <c r="L27" s="175"/>
      <c r="M27" s="175"/>
      <c r="N27" s="175"/>
      <c r="O27" s="175"/>
      <c r="P27" s="175"/>
      <c r="Q27" s="175"/>
      <c r="R27" s="1361"/>
      <c r="S27" s="175"/>
      <c r="T27" s="175"/>
    </row>
    <row r="28" spans="1:28" ht="21" customHeight="1">
      <c r="A28" s="401"/>
      <c r="B28" s="371"/>
      <c r="C28" s="371"/>
      <c r="D28" s="371"/>
      <c r="E28" s="371"/>
      <c r="F28" s="371"/>
      <c r="G28" s="37"/>
      <c r="H28" s="37"/>
      <c r="I28" s="37"/>
      <c r="J28" s="175"/>
      <c r="K28" s="175"/>
      <c r="L28" s="175"/>
      <c r="M28" s="175"/>
      <c r="N28" s="175"/>
      <c r="O28" s="175"/>
      <c r="P28" s="175"/>
      <c r="Q28" s="175"/>
      <c r="R28" s="1362"/>
      <c r="S28" s="340"/>
      <c r="T28" s="60"/>
    </row>
    <row r="29" spans="1:28" ht="12.75" customHeight="1">
      <c r="A29" s="401"/>
      <c r="B29" s="668" t="s">
        <v>805</v>
      </c>
      <c r="C29" s="668"/>
      <c r="D29" s="836"/>
      <c r="E29" s="836"/>
      <c r="F29" s="836"/>
      <c r="G29" s="447"/>
      <c r="H29" s="447"/>
      <c r="I29" s="447"/>
      <c r="J29" s="447"/>
      <c r="K29" s="447"/>
      <c r="L29" s="447"/>
      <c r="M29" s="447"/>
      <c r="N29" s="447"/>
      <c r="O29" s="447"/>
      <c r="P29" s="837" t="s">
        <v>120</v>
      </c>
      <c r="Q29" s="340"/>
      <c r="R29" s="344"/>
      <c r="S29" s="1017"/>
      <c r="T29" s="60"/>
      <c r="W29" s="2828" t="s">
        <v>1662</v>
      </c>
      <c r="X29" s="2828" t="s">
        <v>1662</v>
      </c>
      <c r="Y29" s="2830" t="s">
        <v>1662</v>
      </c>
      <c r="Z29" s="2830" t="s">
        <v>1662</v>
      </c>
      <c r="AA29" s="2830" t="s">
        <v>1652</v>
      </c>
      <c r="AB29" s="2830" t="s">
        <v>1652</v>
      </c>
    </row>
    <row r="30" spans="1:28" ht="15" customHeight="1" thickBot="1">
      <c r="A30" s="401"/>
      <c r="B30" s="2834" t="s">
        <v>1669</v>
      </c>
      <c r="C30" s="233" t="s">
        <v>1482</v>
      </c>
      <c r="D30" s="253"/>
      <c r="E30" s="253"/>
      <c r="F30" s="253"/>
      <c r="G30" s="307"/>
      <c r="H30" s="307"/>
      <c r="I30" s="307"/>
      <c r="J30" s="307"/>
      <c r="K30" s="233" t="s">
        <v>1710</v>
      </c>
      <c r="L30" s="307"/>
      <c r="M30" s="307"/>
      <c r="N30" s="307"/>
      <c r="O30" s="307"/>
      <c r="P30" s="1006"/>
      <c r="Q30" s="820"/>
      <c r="R30" s="1363"/>
      <c r="S30" s="3654" t="s">
        <v>2708</v>
      </c>
      <c r="T30" s="60"/>
      <c r="W30" s="2829" t="s">
        <v>1663</v>
      </c>
      <c r="X30" s="2829" t="s">
        <v>1664</v>
      </c>
      <c r="Y30" s="2831" t="s">
        <v>1665</v>
      </c>
      <c r="Z30" s="2831" t="s">
        <v>1667</v>
      </c>
      <c r="AA30" s="2831" t="s">
        <v>1666</v>
      </c>
      <c r="AB30" s="2833" t="s">
        <v>1668</v>
      </c>
    </row>
    <row r="31" spans="1:28" ht="12.75" customHeight="1" thickBot="1">
      <c r="A31" s="401"/>
      <c r="B31" s="1005"/>
      <c r="C31" s="233" t="s">
        <v>1711</v>
      </c>
      <c r="D31" s="253"/>
      <c r="E31" s="253"/>
      <c r="F31" s="253"/>
      <c r="G31" s="307"/>
      <c r="H31" s="307"/>
      <c r="I31" s="307"/>
      <c r="J31" s="307"/>
      <c r="K31" s="307"/>
      <c r="L31" s="307"/>
      <c r="M31" s="307"/>
      <c r="N31" s="307"/>
      <c r="O31" s="307"/>
      <c r="P31" s="1006"/>
      <c r="Q31" s="340"/>
      <c r="R31" s="2275" t="b">
        <f>IF(S31="Yes",TRUE,FALSE)</f>
        <v>0</v>
      </c>
      <c r="S31" s="1309" t="str">
        <f>IF(U42&lt;&gt;"","Yes",IF(U31=0,"Yes","No"))</f>
        <v>No</v>
      </c>
      <c r="T31" s="60"/>
      <c r="U31" s="2819">
        <f>SUM(U33:U36)</f>
        <v>4</v>
      </c>
      <c r="W31" s="68" t="b">
        <f>IF(AND(SchDLine18&lt;&gt;"",SchDLine18&gt;0),TRUE,FALSE)</f>
        <v>0</v>
      </c>
      <c r="X31" s="68" t="b">
        <f>IF(AND(SchDLine19&lt;&gt;"",SchDLine19&gt;0),TRUE,FALSE)</f>
        <v>0</v>
      </c>
      <c r="Y31" t="b">
        <f>IF(SchDLine15&lt;=0,TRUE,FALSE)</f>
        <v>1</v>
      </c>
      <c r="Z31" t="b">
        <f>IF(SchDLine16&lt;=0,TRUE,FALSE)</f>
        <v>1</v>
      </c>
      <c r="AA31" t="b">
        <f>IF(OR(Qualified_Dividends="",Qualified_Dividends=0),TRUE,FALSE)</f>
        <v>1</v>
      </c>
      <c r="AB31" t="b">
        <f>IF(OR(Taxable_Inc="",Taxable_Inc&lt;=0),TRUE,FALSE)</f>
        <v>1</v>
      </c>
    </row>
    <row r="32" spans="1:28" ht="12.75" customHeight="1">
      <c r="A32" s="401"/>
      <c r="B32" s="1005"/>
      <c r="C32" s="233" t="s">
        <v>1712</v>
      </c>
      <c r="D32" s="2789"/>
      <c r="E32" s="2789"/>
      <c r="F32" s="2789"/>
      <c r="G32" s="2790"/>
      <c r="H32" s="2790"/>
      <c r="I32" s="2790"/>
      <c r="J32" s="2790"/>
      <c r="K32" s="2790"/>
      <c r="L32" s="2790"/>
      <c r="M32" s="2790"/>
      <c r="N32" s="2790"/>
      <c r="O32" s="2790"/>
      <c r="P32" s="1006"/>
      <c r="Q32" s="340"/>
      <c r="R32" s="2275"/>
      <c r="S32" s="4352" t="str">
        <f>IF(OR(W31,X31),"","Neither Sch. D, Line 18                 nor Line 19 are &gt;0")</f>
        <v>Neither Sch. D, Line 18                 nor Line 19 are &gt;0</v>
      </c>
      <c r="T32" s="60"/>
      <c r="U32" s="2819"/>
    </row>
    <row r="33" spans="1:23" s="950" customFormat="1" ht="17.25" customHeight="1">
      <c r="A33" s="517"/>
      <c r="B33" s="1005"/>
      <c r="C33" s="233" t="s">
        <v>1481</v>
      </c>
      <c r="D33" s="253"/>
      <c r="E33" s="253"/>
      <c r="F33" s="253"/>
      <c r="G33" s="307"/>
      <c r="H33" s="233"/>
      <c r="I33" s="307"/>
      <c r="J33" s="307"/>
      <c r="K33" s="307"/>
      <c r="L33" s="307"/>
      <c r="M33" s="307"/>
      <c r="N33" s="307"/>
      <c r="O33" s="307"/>
      <c r="P33" s="1006"/>
      <c r="Q33" s="340"/>
      <c r="R33" s="2276"/>
      <c r="S33" s="4353"/>
      <c r="T33" s="951"/>
      <c r="U33" s="2819">
        <f>IF(S32&lt;&gt;"",1,0)</f>
        <v>1</v>
      </c>
      <c r="V33" s="129"/>
      <c r="W33" s="129"/>
    </row>
    <row r="34" spans="1:23" ht="12" customHeight="1">
      <c r="A34" s="401"/>
      <c r="B34" s="4354" t="s">
        <v>1669</v>
      </c>
      <c r="C34" s="4355"/>
      <c r="D34" s="579" t="s">
        <v>585</v>
      </c>
      <c r="E34" s="535" t="s">
        <v>1024</v>
      </c>
      <c r="F34" s="253"/>
      <c r="G34" s="307"/>
      <c r="H34" s="233"/>
      <c r="I34" s="535"/>
      <c r="J34" s="307"/>
      <c r="K34" s="307"/>
      <c r="L34" s="307"/>
      <c r="M34" s="307"/>
      <c r="N34" s="1310"/>
      <c r="O34" s="1311"/>
      <c r="P34" s="1310"/>
      <c r="Q34" s="340"/>
      <c r="R34" s="2275" t="b">
        <f>IF(OR(SchDLine15&lt;=0,SchDLine16&lt;=0,SchDLine15="",SchDLine16=""),
                              TRUE,FALSE)</f>
        <v>1</v>
      </c>
      <c r="S34" s="2832" t="str">
        <f>IF(AND(Y31,AA31),"Line 15 is &lt;= 0 &amp; no Qual Divds","")</f>
        <v>Line 15 is &lt;= 0 &amp; no Qual Divds</v>
      </c>
      <c r="T34" s="60"/>
      <c r="U34" s="2819">
        <f>IF(S34&lt;&gt;"",1,0)</f>
        <v>1</v>
      </c>
    </row>
    <row r="35" spans="1:23" ht="12" customHeight="1">
      <c r="A35" s="401"/>
      <c r="B35" s="1392"/>
      <c r="C35" s="1400" t="s">
        <v>399</v>
      </c>
      <c r="D35" s="579"/>
      <c r="E35" s="535"/>
      <c r="F35" s="253"/>
      <c r="G35" s="307"/>
      <c r="H35" s="233"/>
      <c r="I35" s="535"/>
      <c r="J35" s="307"/>
      <c r="K35" s="307"/>
      <c r="L35" s="307"/>
      <c r="M35" s="307"/>
      <c r="N35" s="1310"/>
      <c r="O35" s="1311"/>
      <c r="P35" s="1310"/>
      <c r="Q35" s="340"/>
      <c r="R35" s="2277" t="b">
        <f>IF(OR(Qualified_Dividends="",Qualified_Dividends=0),TRUE,FALSE)</f>
        <v>1</v>
      </c>
      <c r="S35" s="2832" t="str">
        <f>IF(AND(Z31,AA31),"Line 16 is &lt;= 0 &amp; no Qual Divds","")</f>
        <v>Line 16 is &lt;= 0 &amp; no Qual Divds</v>
      </c>
      <c r="T35" s="60"/>
      <c r="U35" s="2819">
        <f>IF(S35&lt;&gt;"",1,0)</f>
        <v>1</v>
      </c>
    </row>
    <row r="36" spans="1:23" ht="12" customHeight="1">
      <c r="A36" s="401"/>
      <c r="B36" s="4354" t="s">
        <v>1669</v>
      </c>
      <c r="C36" s="4355"/>
      <c r="D36" s="579" t="s">
        <v>585</v>
      </c>
      <c r="E36" s="535" t="s">
        <v>1186</v>
      </c>
      <c r="F36" s="253"/>
      <c r="G36" s="307"/>
      <c r="H36" s="307"/>
      <c r="I36" s="307"/>
      <c r="J36" s="307"/>
      <c r="K36" s="307"/>
      <c r="L36" s="307"/>
      <c r="M36" s="307"/>
      <c r="N36" s="1310"/>
      <c r="O36" s="1311"/>
      <c r="P36" s="1006"/>
      <c r="Q36" s="340"/>
      <c r="R36" s="2277" t="b">
        <f>OR(Taxable_Inc="",Taxable_Inc&lt;=0)</f>
        <v>1</v>
      </c>
      <c r="S36" s="2832" t="str">
        <f>IF(AB31,"Form 1040, Line 43 is &lt;= 0","")</f>
        <v>Form 1040, Line 43 is &lt;= 0</v>
      </c>
      <c r="T36" s="60"/>
      <c r="U36" s="2819">
        <f>IF(S36&lt;&gt;"",1,0)</f>
        <v>1</v>
      </c>
    </row>
    <row r="37" spans="1:23" ht="15" customHeight="1">
      <c r="A37" s="401"/>
      <c r="B37" s="1008"/>
      <c r="C37" s="535" t="s">
        <v>1025</v>
      </c>
      <c r="D37" s="535"/>
      <c r="E37" s="535"/>
      <c r="F37" s="535"/>
      <c r="G37" s="535"/>
      <c r="H37" s="535"/>
      <c r="I37" s="535"/>
      <c r="J37" s="535"/>
      <c r="K37" s="535"/>
      <c r="L37" s="535"/>
      <c r="M37" s="535"/>
      <c r="N37" s="1310"/>
      <c r="O37" s="535"/>
      <c r="P37" s="1007"/>
      <c r="Q37" s="31"/>
      <c r="R37" s="1363"/>
      <c r="S37" s="822"/>
      <c r="T37" s="60"/>
    </row>
    <row r="38" spans="1:23" ht="6" customHeight="1">
      <c r="A38" s="401"/>
      <c r="B38" s="1009"/>
      <c r="C38" s="1010"/>
      <c r="D38" s="1010"/>
      <c r="E38" s="1010"/>
      <c r="F38" s="1010"/>
      <c r="G38" s="1010"/>
      <c r="H38" s="1010"/>
      <c r="I38" s="1010"/>
      <c r="J38" s="1010"/>
      <c r="K38" s="1010"/>
      <c r="L38" s="1010"/>
      <c r="M38" s="1010"/>
      <c r="N38" s="1010"/>
      <c r="O38" s="1010"/>
      <c r="P38" s="1011"/>
      <c r="Q38" s="1012"/>
      <c r="R38" s="1363"/>
      <c r="S38" s="822"/>
      <c r="T38" s="60"/>
    </row>
    <row r="39" spans="1:23" ht="6" customHeight="1">
      <c r="A39" s="401"/>
      <c r="B39" s="1008"/>
      <c r="C39" s="535"/>
      <c r="D39" s="535"/>
      <c r="E39" s="535"/>
      <c r="F39" s="535"/>
      <c r="G39" s="535"/>
      <c r="H39" s="535"/>
      <c r="I39" s="535"/>
      <c r="J39" s="535"/>
      <c r="K39" s="535"/>
      <c r="L39" s="535"/>
      <c r="M39" s="535"/>
      <c r="N39" s="535"/>
      <c r="O39" s="535"/>
      <c r="P39" s="1013"/>
      <c r="Q39" s="31"/>
      <c r="R39" s="1363"/>
      <c r="S39" s="822"/>
      <c r="T39" s="60"/>
    </row>
    <row r="40" spans="1:23" ht="12.75" customHeight="1">
      <c r="A40" s="401"/>
      <c r="B40" s="1280">
        <v>1</v>
      </c>
      <c r="C40" s="535"/>
      <c r="D40" s="535" t="s">
        <v>1187</v>
      </c>
      <c r="E40" s="535"/>
      <c r="F40" s="535"/>
      <c r="G40" s="535"/>
      <c r="H40" s="535"/>
      <c r="I40" s="535"/>
      <c r="J40" s="535"/>
      <c r="K40" s="535"/>
      <c r="L40" s="535"/>
      <c r="M40" s="535"/>
      <c r="N40" s="535"/>
      <c r="O40" s="535"/>
      <c r="P40" s="1007"/>
      <c r="Q40" s="31"/>
      <c r="R40" s="1363"/>
      <c r="S40" s="1072" t="s">
        <v>152</v>
      </c>
      <c r="T40" s="60"/>
    </row>
    <row r="41" spans="1:23" ht="12.75" customHeight="1" thickBot="1">
      <c r="A41" s="401"/>
      <c r="B41" s="1008"/>
      <c r="C41" s="535"/>
      <c r="D41" s="535" t="s">
        <v>1026</v>
      </c>
      <c r="E41" s="535"/>
      <c r="F41" s="535"/>
      <c r="G41" s="535"/>
      <c r="H41" s="535"/>
      <c r="I41" s="535"/>
      <c r="J41" s="535"/>
      <c r="K41" s="535"/>
      <c r="L41" s="535"/>
      <c r="M41" s="535"/>
      <c r="N41" s="535"/>
      <c r="O41" s="535"/>
      <c r="P41" s="1007"/>
      <c r="Q41" s="31"/>
      <c r="R41" s="1363"/>
      <c r="S41" s="1072" t="s">
        <v>706</v>
      </c>
      <c r="T41" s="60"/>
    </row>
    <row r="42" spans="1:23" s="950" customFormat="1" ht="12.75" customHeight="1" thickBot="1">
      <c r="A42" s="517"/>
      <c r="B42" s="1008"/>
      <c r="C42" s="311"/>
      <c r="D42" s="580" t="s">
        <v>1027</v>
      </c>
      <c r="E42" s="253"/>
      <c r="F42" s="253"/>
      <c r="G42" s="307"/>
      <c r="H42" s="307"/>
      <c r="I42" s="307"/>
      <c r="J42" s="308"/>
      <c r="K42" s="308"/>
      <c r="L42" s="308"/>
      <c r="M42" s="308"/>
      <c r="N42" s="340" t="s">
        <v>1030</v>
      </c>
      <c r="O42" s="1281">
        <f>B40</f>
        <v>1</v>
      </c>
      <c r="P42" s="669" t="str">
        <f>IF(S42&lt;&gt;"",S42,IF($S$31="No","",Taxable_Inc))</f>
        <v/>
      </c>
      <c r="Q42" s="342"/>
      <c r="R42" s="1004"/>
      <c r="S42" s="2898"/>
      <c r="T42" s="951"/>
      <c r="U42" s="2836"/>
      <c r="V42" s="129" t="s">
        <v>561</v>
      </c>
      <c r="W42" s="129"/>
    </row>
    <row r="43" spans="1:23" s="950" customFormat="1" ht="12.75" customHeight="1">
      <c r="A43" s="517"/>
      <c r="B43" s="1280">
        <v>2</v>
      </c>
      <c r="C43" s="311"/>
      <c r="D43" s="253" t="s">
        <v>430</v>
      </c>
      <c r="E43" s="253"/>
      <c r="F43" s="253"/>
      <c r="G43" s="307"/>
      <c r="H43" s="307"/>
      <c r="I43" s="307"/>
      <c r="J43" s="308"/>
      <c r="K43" s="308"/>
      <c r="L43" s="308"/>
      <c r="M43" s="308"/>
      <c r="N43" s="439"/>
      <c r="O43" s="439"/>
      <c r="P43" s="343"/>
      <c r="Q43" s="342"/>
      <c r="R43" s="1004"/>
      <c r="S43" s="822"/>
      <c r="T43" s="951"/>
      <c r="U43" s="68"/>
      <c r="V43" s="68" t="s">
        <v>559</v>
      </c>
      <c r="W43" s="129"/>
    </row>
    <row r="44" spans="1:23" ht="13.5" customHeight="1">
      <c r="A44" s="401"/>
      <c r="B44" s="1280"/>
      <c r="C44" s="311"/>
      <c r="D44" s="580" t="s">
        <v>1029</v>
      </c>
      <c r="E44" s="253"/>
      <c r="F44" s="253"/>
      <c r="G44" s="307"/>
      <c r="H44" s="307"/>
      <c r="I44" s="307"/>
      <c r="J44" s="340" t="s">
        <v>424</v>
      </c>
      <c r="K44" s="1281">
        <f>B43</f>
        <v>2</v>
      </c>
      <c r="L44" s="669" t="str">
        <f>IF($S$31="No","",Qualified_Dividends)</f>
        <v/>
      </c>
      <c r="M44" s="678"/>
      <c r="N44" s="678"/>
      <c r="O44" s="302"/>
      <c r="P44" s="343"/>
      <c r="Q44" s="343"/>
      <c r="R44" s="1364"/>
      <c r="S44" s="822"/>
      <c r="T44" s="60"/>
      <c r="V44" s="68" t="s">
        <v>560</v>
      </c>
    </row>
    <row r="45" spans="1:23" ht="40.5" customHeight="1">
      <c r="A45" s="401"/>
      <c r="B45" s="1846" t="s">
        <v>1</v>
      </c>
      <c r="C45" s="311"/>
      <c r="D45" s="4356" t="s">
        <v>1188</v>
      </c>
      <c r="E45" s="4357"/>
      <c r="F45" s="4357"/>
      <c r="G45" s="4357"/>
      <c r="H45" s="4357"/>
      <c r="I45" s="910" t="str">
        <f>B45</f>
        <v>3.</v>
      </c>
      <c r="J45" s="676"/>
      <c r="K45" s="307" t="s">
        <v>759</v>
      </c>
      <c r="L45" s="307"/>
      <c r="M45" s="311"/>
      <c r="N45" s="678"/>
      <c r="O45" s="302"/>
      <c r="P45" s="343"/>
      <c r="Q45" s="343"/>
      <c r="R45" s="1364"/>
      <c r="S45" s="822"/>
      <c r="T45" s="60"/>
    </row>
    <row r="46" spans="1:23" ht="14.25" customHeight="1">
      <c r="A46" s="401"/>
      <c r="B46" s="1282" t="s">
        <v>686</v>
      </c>
      <c r="C46" s="311"/>
      <c r="D46" s="253" t="s">
        <v>695</v>
      </c>
      <c r="E46" s="253"/>
      <c r="F46" s="253"/>
      <c r="G46" s="307"/>
      <c r="H46" s="307"/>
      <c r="I46" s="910" t="str">
        <f>B46</f>
        <v>4.</v>
      </c>
      <c r="J46" s="676"/>
      <c r="K46" s="311"/>
      <c r="L46" s="311"/>
      <c r="M46" s="311"/>
      <c r="N46" s="678"/>
      <c r="O46" s="302"/>
      <c r="P46" s="343"/>
      <c r="Q46" s="343"/>
      <c r="R46" s="1364"/>
      <c r="S46" s="822"/>
      <c r="T46" s="60"/>
    </row>
    <row r="47" spans="1:23">
      <c r="A47" s="401"/>
      <c r="B47" s="1282" t="s">
        <v>54</v>
      </c>
      <c r="C47" s="311"/>
      <c r="D47" s="253" t="s">
        <v>849</v>
      </c>
      <c r="E47" s="253"/>
      <c r="F47" s="253"/>
      <c r="G47" s="307"/>
      <c r="H47" s="307"/>
      <c r="I47" s="307"/>
      <c r="J47" s="973" t="s">
        <v>761</v>
      </c>
      <c r="K47" s="311" t="str">
        <f>B47</f>
        <v>5.</v>
      </c>
      <c r="L47" s="669" t="str">
        <f>IF($S$31="No","",IF(J45-J46&lt;=0,0,J45-J46))</f>
        <v/>
      </c>
      <c r="M47" s="678"/>
      <c r="N47" s="678"/>
      <c r="O47" s="302"/>
      <c r="P47" s="343"/>
      <c r="Q47" s="343"/>
      <c r="R47" s="1364"/>
      <c r="S47" s="822"/>
      <c r="T47" s="60"/>
    </row>
    <row r="48" spans="1:23">
      <c r="A48" s="401"/>
      <c r="B48" s="1282" t="s">
        <v>125</v>
      </c>
      <c r="C48" s="311"/>
      <c r="D48" s="253" t="s">
        <v>696</v>
      </c>
      <c r="E48" s="253"/>
      <c r="F48" s="253"/>
      <c r="G48" s="307"/>
      <c r="H48" s="307"/>
      <c r="I48" s="307"/>
      <c r="J48" s="308"/>
      <c r="K48" s="311"/>
      <c r="L48" s="582" t="s">
        <v>377</v>
      </c>
      <c r="M48" s="311" t="str">
        <f>B48</f>
        <v>6.</v>
      </c>
      <c r="N48" s="669" t="str">
        <f>IF($S$31="No","",IF(L44-L47&lt;=0,0,L44-L47))</f>
        <v/>
      </c>
      <c r="O48" s="302"/>
      <c r="P48" s="343"/>
      <c r="Q48" s="343"/>
      <c r="R48" s="1364"/>
      <c r="S48" s="822"/>
      <c r="T48" s="60"/>
    </row>
    <row r="49" spans="1:20">
      <c r="A49" s="401"/>
      <c r="B49" s="1282" t="s">
        <v>126</v>
      </c>
      <c r="C49" s="311"/>
      <c r="D49" s="253" t="s">
        <v>129</v>
      </c>
      <c r="E49" s="253"/>
      <c r="F49" s="253"/>
      <c r="G49" s="307"/>
      <c r="H49" s="307"/>
      <c r="I49" s="307"/>
      <c r="J49" s="973" t="s">
        <v>761</v>
      </c>
      <c r="K49" s="311" t="str">
        <f>B49</f>
        <v>7.</v>
      </c>
      <c r="L49" s="669" t="str">
        <f>IF($S$31="No","",MIN(SchDLine15,SchDLine16))</f>
        <v/>
      </c>
      <c r="M49" s="678"/>
      <c r="N49" s="671"/>
      <c r="O49" s="302"/>
      <c r="P49" s="343"/>
      <c r="Q49" s="343"/>
      <c r="R49" s="1364"/>
      <c r="S49" s="822"/>
      <c r="T49" s="60"/>
    </row>
    <row r="50" spans="1:20">
      <c r="A50" s="401"/>
      <c r="B50" s="1282" t="s">
        <v>352</v>
      </c>
      <c r="C50" s="311"/>
      <c r="D50" s="253" t="s">
        <v>824</v>
      </c>
      <c r="E50" s="253"/>
      <c r="F50" s="253"/>
      <c r="G50" s="307"/>
      <c r="H50" s="307"/>
      <c r="I50" s="307"/>
      <c r="J50" s="973" t="s">
        <v>416</v>
      </c>
      <c r="K50" s="311" t="str">
        <f>B50</f>
        <v>8.</v>
      </c>
      <c r="L50" s="669" t="str">
        <f>IF($S$31="No","",MIN(J45,J46))</f>
        <v/>
      </c>
      <c r="M50" s="678"/>
      <c r="N50" s="583"/>
      <c r="O50" s="302"/>
      <c r="P50" s="343"/>
      <c r="Q50" s="343"/>
      <c r="R50" s="1364"/>
      <c r="S50" s="822"/>
      <c r="T50" s="60"/>
    </row>
    <row r="51" spans="1:20">
      <c r="A51" s="401"/>
      <c r="B51" s="1282" t="s">
        <v>353</v>
      </c>
      <c r="C51" s="311"/>
      <c r="D51" s="253" t="s">
        <v>697</v>
      </c>
      <c r="E51" s="253"/>
      <c r="F51" s="253"/>
      <c r="G51" s="307"/>
      <c r="H51" s="307"/>
      <c r="I51" s="307"/>
      <c r="J51" s="308"/>
      <c r="K51" s="311"/>
      <c r="L51" s="582" t="s">
        <v>377</v>
      </c>
      <c r="M51" s="311" t="str">
        <f>B51</f>
        <v>9.</v>
      </c>
      <c r="N51" s="669" t="str">
        <f>IF($S$31="No","",IF(L49-L50&lt;=0,0,L49-L50))</f>
        <v/>
      </c>
      <c r="O51" s="302"/>
      <c r="P51" s="343"/>
      <c r="Q51" s="343"/>
      <c r="R51" s="1364"/>
      <c r="S51" s="1072" t="s">
        <v>152</v>
      </c>
      <c r="T51" s="60"/>
    </row>
    <row r="52" spans="1:20" ht="13.5" customHeight="1">
      <c r="A52" s="401"/>
      <c r="B52" s="1282" t="s">
        <v>507</v>
      </c>
      <c r="C52" s="311"/>
      <c r="D52" s="253" t="s">
        <v>138</v>
      </c>
      <c r="E52" s="253"/>
      <c r="F52" s="253"/>
      <c r="G52" s="307"/>
      <c r="H52" s="307"/>
      <c r="I52" s="307"/>
      <c r="J52" s="973" t="s">
        <v>541</v>
      </c>
      <c r="K52" s="311" t="str">
        <f>B52</f>
        <v>10.</v>
      </c>
      <c r="L52" s="675" t="str">
        <f>IF($S$31="No","",N48+N51)</f>
        <v/>
      </c>
      <c r="M52" s="343"/>
      <c r="N52" s="672"/>
      <c r="O52" s="343"/>
      <c r="P52" s="343"/>
      <c r="Q52" s="343"/>
      <c r="R52" s="1364"/>
      <c r="S52" s="1072" t="s">
        <v>706</v>
      </c>
      <c r="T52" s="60"/>
    </row>
    <row r="53" spans="1:20">
      <c r="A53" s="401"/>
      <c r="B53" s="1282" t="s">
        <v>508</v>
      </c>
      <c r="C53" s="311"/>
      <c r="D53" s="253" t="s">
        <v>698</v>
      </c>
      <c r="E53" s="253"/>
      <c r="F53" s="253"/>
      <c r="G53" s="307"/>
      <c r="H53" s="307"/>
      <c r="I53" s="307"/>
      <c r="J53" s="308"/>
      <c r="K53" s="308"/>
      <c r="L53" s="582" t="s">
        <v>358</v>
      </c>
      <c r="M53" s="311" t="str">
        <f>B53</f>
        <v>11.</v>
      </c>
      <c r="N53" s="675" t="str">
        <f>IF(S53&lt;&gt;"",S53,IF($S$31="No","",SUM('Sch. D'!N72,'Sch. D'!N75)))</f>
        <v/>
      </c>
      <c r="O53" s="302"/>
      <c r="P53" s="343"/>
      <c r="Q53" s="343"/>
      <c r="R53" s="1364"/>
      <c r="S53" s="2898"/>
      <c r="T53" s="60"/>
    </row>
    <row r="54" spans="1:20">
      <c r="A54" s="401"/>
      <c r="B54" s="1282" t="s">
        <v>509</v>
      </c>
      <c r="C54" s="311"/>
      <c r="D54" s="253" t="s">
        <v>309</v>
      </c>
      <c r="E54" s="253"/>
      <c r="F54" s="253"/>
      <c r="G54" s="307"/>
      <c r="H54" s="307"/>
      <c r="I54" s="307"/>
      <c r="J54" s="308"/>
      <c r="K54" s="311" t="str">
        <f>B54</f>
        <v>12.</v>
      </c>
      <c r="L54" s="669" t="str">
        <f>IF($S$31="No","",MIN(N51,N53))</f>
        <v/>
      </c>
      <c r="M54" s="311"/>
      <c r="N54" s="670"/>
      <c r="O54" s="302"/>
      <c r="P54" s="343"/>
      <c r="Q54" s="343"/>
      <c r="R54" s="1364"/>
      <c r="S54" s="822"/>
      <c r="T54" s="60"/>
    </row>
    <row r="55" spans="1:20">
      <c r="A55" s="401"/>
      <c r="B55" s="1282" t="s">
        <v>740</v>
      </c>
      <c r="C55" s="311"/>
      <c r="D55" s="580" t="s">
        <v>375</v>
      </c>
      <c r="E55" s="535"/>
      <c r="F55" s="535"/>
      <c r="G55" s="307"/>
      <c r="H55" s="307"/>
      <c r="I55" s="307"/>
      <c r="J55" s="308"/>
      <c r="K55" s="311"/>
      <c r="L55" s="311"/>
      <c r="M55" s="311"/>
      <c r="N55" s="582" t="s">
        <v>797</v>
      </c>
      <c r="O55" s="582" t="str">
        <f>B55</f>
        <v>13.</v>
      </c>
      <c r="P55" s="669" t="str">
        <f>IF($S$31="No","",L52-L54)</f>
        <v/>
      </c>
      <c r="Q55" s="343"/>
      <c r="R55" s="1364"/>
      <c r="S55" s="839"/>
      <c r="T55" s="60"/>
    </row>
    <row r="56" spans="1:20" ht="12.75" customHeight="1">
      <c r="A56" s="401"/>
      <c r="B56" s="1282" t="s">
        <v>741</v>
      </c>
      <c r="C56" s="311"/>
      <c r="D56" s="580" t="s">
        <v>376</v>
      </c>
      <c r="E56" s="535"/>
      <c r="F56" s="535"/>
      <c r="G56" s="307"/>
      <c r="H56" s="307"/>
      <c r="I56" s="307"/>
      <c r="J56" s="308"/>
      <c r="K56" s="311"/>
      <c r="L56" s="311"/>
      <c r="M56" s="311"/>
      <c r="N56" s="2899" t="s">
        <v>1177</v>
      </c>
      <c r="O56" s="582" t="str">
        <f>B56</f>
        <v>14.</v>
      </c>
      <c r="P56" s="673" t="str">
        <f>IF($S$31="No","",IF(SchDTW_Line1-P55&lt;0,0,SchDTW_Line1-P55))</f>
        <v/>
      </c>
      <c r="Q56" s="343"/>
      <c r="R56" s="1364"/>
      <c r="S56" s="896"/>
      <c r="T56" s="60"/>
    </row>
    <row r="57" spans="1:20" ht="14.25" customHeight="1">
      <c r="A57" s="401"/>
      <c r="B57" s="1282" t="s">
        <v>742</v>
      </c>
      <c r="C57" s="311"/>
      <c r="D57" s="580" t="s">
        <v>1844</v>
      </c>
      <c r="E57" s="253"/>
      <c r="F57" s="253"/>
      <c r="G57" s="307"/>
      <c r="H57" s="307"/>
      <c r="I57" s="307"/>
      <c r="J57" s="308"/>
      <c r="K57" s="308"/>
      <c r="L57" s="308"/>
      <c r="M57" s="308"/>
      <c r="N57" s="670"/>
      <c r="O57" s="670"/>
      <c r="P57" s="670"/>
      <c r="Q57" s="344"/>
      <c r="R57" s="1004"/>
      <c r="S57" s="896"/>
      <c r="T57" s="60"/>
    </row>
    <row r="58" spans="1:20">
      <c r="A58" s="401"/>
      <c r="B58" s="310"/>
      <c r="C58" s="311"/>
      <c r="D58" s="579" t="s">
        <v>585</v>
      </c>
      <c r="E58" s="253" t="str">
        <f>TEXT(N58,"$0,000")&amp;" if single or married filing separately;"</f>
        <v>$36,900 if single or married filing separately;</v>
      </c>
      <c r="F58" s="579"/>
      <c r="G58" s="307"/>
      <c r="H58" s="307"/>
      <c r="I58" s="307"/>
      <c r="J58" s="308"/>
      <c r="K58" s="308"/>
      <c r="L58" s="1015" t="str">
        <f>IF(OR(File_Single&lt;&gt;"",File_Marr_Sep&lt;&gt;""),N58,IF(OR(File_Marr_Joint&lt;&gt;"",File_Qual_Widow&lt;&gt;""),N59,IF(File_Head&lt;&gt;"",N60,"Filing status?")))</f>
        <v>Filing status?</v>
      </c>
      <c r="M58" s="677"/>
      <c r="N58" s="1015">
        <v>36900</v>
      </c>
      <c r="O58" s="670"/>
      <c r="P58" s="670"/>
      <c r="Q58" s="344"/>
      <c r="R58" s="1004"/>
      <c r="S58" s="822"/>
      <c r="T58" s="60"/>
    </row>
    <row r="59" spans="1:20" ht="13.5" customHeight="1">
      <c r="A59" s="401"/>
      <c r="B59" s="310"/>
      <c r="C59" s="311"/>
      <c r="D59" s="579"/>
      <c r="E59" s="253" t="str">
        <f>TEXT(N59,"$0,000")&amp;" if married filing jointly or qualifying widow(er); or"</f>
        <v>$73,800 if married filing jointly or qualifying widow(er); or</v>
      </c>
      <c r="F59" s="579"/>
      <c r="G59" s="307"/>
      <c r="H59" s="307"/>
      <c r="I59" s="307"/>
      <c r="J59" s="439" t="s">
        <v>226</v>
      </c>
      <c r="K59" s="1281" t="str">
        <f>B57</f>
        <v>15.</v>
      </c>
      <c r="L59" s="669" t="str">
        <f>IF($S$31="No","",L58)</f>
        <v/>
      </c>
      <c r="M59" s="678"/>
      <c r="N59" s="1015">
        <v>73800</v>
      </c>
      <c r="O59" s="670"/>
      <c r="P59" s="670"/>
      <c r="Q59" s="344"/>
      <c r="R59" s="1004"/>
      <c r="S59" s="839"/>
      <c r="T59" s="60"/>
    </row>
    <row r="60" spans="1:20" ht="13.5" customHeight="1">
      <c r="A60" s="401"/>
      <c r="B60" s="310"/>
      <c r="C60" s="311"/>
      <c r="D60" s="579"/>
      <c r="E60" s="253" t="str">
        <f>TEXT(N60,"$0,000")&amp;" if head of household."</f>
        <v>$49,400 if head of household.</v>
      </c>
      <c r="F60" s="579"/>
      <c r="G60" s="307"/>
      <c r="H60" s="307"/>
      <c r="I60" s="307"/>
      <c r="J60" s="308"/>
      <c r="K60" s="308"/>
      <c r="L60" s="308"/>
      <c r="M60" s="308"/>
      <c r="N60" s="1015">
        <v>49400</v>
      </c>
      <c r="O60" s="670"/>
      <c r="P60" s="670"/>
      <c r="Q60" s="344"/>
      <c r="R60" s="1004"/>
      <c r="S60" s="822"/>
      <c r="T60" s="60"/>
    </row>
    <row r="61" spans="1:20" ht="12.75" customHeight="1">
      <c r="A61" s="401"/>
      <c r="B61" s="1283" t="s">
        <v>325</v>
      </c>
      <c r="C61" s="311"/>
      <c r="D61" s="580" t="s">
        <v>1033</v>
      </c>
      <c r="E61" s="580"/>
      <c r="F61" s="580"/>
      <c r="G61" s="307"/>
      <c r="H61" s="307"/>
      <c r="I61" s="307"/>
      <c r="J61" s="308"/>
      <c r="K61" s="308"/>
      <c r="L61" s="582" t="s">
        <v>358</v>
      </c>
      <c r="M61" s="311" t="str">
        <f>B61</f>
        <v>16.</v>
      </c>
      <c r="N61" s="669" t="str">
        <f>IF($S$31="No","",MIN(SchDTW_Line1,L59))</f>
        <v/>
      </c>
      <c r="O61" s="582"/>
      <c r="P61" s="670"/>
      <c r="Q61" s="343"/>
      <c r="R61" s="1364"/>
      <c r="S61" s="839"/>
      <c r="T61" s="60"/>
    </row>
    <row r="62" spans="1:20" ht="12.75" customHeight="1">
      <c r="A62" s="401"/>
      <c r="B62" s="1284" t="s">
        <v>818</v>
      </c>
      <c r="C62" s="311"/>
      <c r="D62" s="580" t="s">
        <v>1034</v>
      </c>
      <c r="E62" s="253"/>
      <c r="F62" s="253"/>
      <c r="G62" s="307"/>
      <c r="H62" s="307"/>
      <c r="I62" s="307"/>
      <c r="J62" s="582" t="s">
        <v>466</v>
      </c>
      <c r="K62" s="311" t="str">
        <f>B62</f>
        <v>17.</v>
      </c>
      <c r="L62" s="669" t="str">
        <f>IF($S$31="No","",MIN(P56,N61))</f>
        <v/>
      </c>
      <c r="M62" s="678"/>
      <c r="N62" s="1014"/>
      <c r="O62" s="670"/>
      <c r="P62" s="670"/>
      <c r="Q62" s="342"/>
      <c r="R62" s="1004"/>
      <c r="S62" s="839"/>
      <c r="T62" s="60"/>
    </row>
    <row r="63" spans="1:20" ht="12.75" customHeight="1">
      <c r="A63" s="401"/>
      <c r="B63" s="1283" t="s">
        <v>819</v>
      </c>
      <c r="C63" s="246"/>
      <c r="D63" s="580" t="s">
        <v>49</v>
      </c>
      <c r="E63" s="580"/>
      <c r="F63" s="580"/>
      <c r="G63" s="307"/>
      <c r="H63" s="307"/>
      <c r="I63" s="307"/>
      <c r="J63" s="582" t="s">
        <v>1042</v>
      </c>
      <c r="K63" s="311" t="str">
        <f>B63</f>
        <v>18.</v>
      </c>
      <c r="L63" s="669" t="str">
        <f>IF($S$31="No","",IF(SchDTW_Line1-L52&lt;0,0,SUM(SchDTW_Line1,-L52)))</f>
        <v/>
      </c>
      <c r="M63" s="678"/>
      <c r="N63" s="670"/>
      <c r="O63" s="670"/>
      <c r="P63" s="670"/>
      <c r="Q63" s="343"/>
      <c r="R63" s="1364"/>
      <c r="S63" s="822"/>
      <c r="T63" s="60"/>
    </row>
    <row r="64" spans="1:20" ht="12.75" customHeight="1">
      <c r="A64" s="401"/>
      <c r="B64" s="1283" t="s">
        <v>820</v>
      </c>
      <c r="C64" s="311"/>
      <c r="D64" s="580" t="s">
        <v>1036</v>
      </c>
      <c r="E64" s="580"/>
      <c r="F64" s="580"/>
      <c r="G64" s="307"/>
      <c r="H64" s="307"/>
      <c r="I64" s="307"/>
      <c r="J64" s="308"/>
      <c r="K64" s="308"/>
      <c r="L64" s="582" t="s">
        <v>1225</v>
      </c>
      <c r="M64" s="311" t="str">
        <f>B64</f>
        <v>19.</v>
      </c>
      <c r="N64" s="669" t="str">
        <f>IF($S$31="No","",MAX(L62,L63))</f>
        <v/>
      </c>
      <c r="O64" s="582"/>
      <c r="P64" s="670"/>
      <c r="Q64" s="343"/>
      <c r="R64" s="1364"/>
      <c r="S64" s="822"/>
      <c r="T64" s="60"/>
    </row>
    <row r="65" spans="1:23" ht="12.75" customHeight="1">
      <c r="A65" s="401"/>
      <c r="B65" s="1283" t="s">
        <v>595</v>
      </c>
      <c r="C65" s="311"/>
      <c r="D65" s="580" t="s">
        <v>1037</v>
      </c>
      <c r="E65" s="580"/>
      <c r="F65" s="580"/>
      <c r="G65" s="307"/>
      <c r="H65" s="307"/>
      <c r="I65" s="307"/>
      <c r="J65" s="308"/>
      <c r="K65" s="308"/>
      <c r="L65" s="582" t="s">
        <v>632</v>
      </c>
      <c r="M65" s="311" t="str">
        <f>B65</f>
        <v>20.</v>
      </c>
      <c r="N65" s="669" t="str">
        <f>IF($S$31="No","",SUM(N61,-L62))</f>
        <v/>
      </c>
      <c r="O65" s="582"/>
      <c r="P65" s="940">
        <f>IF(N65&lt;&gt;"",N65,0)</f>
        <v>0</v>
      </c>
      <c r="Q65" s="342"/>
      <c r="R65" s="1004"/>
      <c r="S65" s="1682" t="b">
        <f>IF(SchDTW_Line1=N61,TRUE,FALSE)</f>
        <v>1</v>
      </c>
      <c r="T65" s="60"/>
    </row>
    <row r="66" spans="1:23" s="1491" customFormat="1" ht="12.75" customHeight="1">
      <c r="A66" s="401"/>
      <c r="B66" s="310"/>
      <c r="C66" s="311"/>
      <c r="D66" s="294" t="s">
        <v>1864</v>
      </c>
      <c r="E66" s="294"/>
      <c r="F66" s="294"/>
      <c r="G66" s="307"/>
      <c r="H66" s="307"/>
      <c r="I66" s="307"/>
      <c r="J66" s="308"/>
      <c r="K66" s="308"/>
      <c r="L66" s="308"/>
      <c r="M66" s="308"/>
      <c r="N66" s="674"/>
      <c r="O66" s="582"/>
      <c r="P66" s="1488"/>
      <c r="Q66" s="342"/>
      <c r="R66" s="1489"/>
      <c r="S66" s="2791" t="str">
        <f>IF($S$31="No","",IF(Skip2141,"Skip lines 21 through 41.","Go to Line 21."))</f>
        <v/>
      </c>
      <c r="T66" s="60"/>
      <c r="U66" s="1490"/>
      <c r="V66" s="1490"/>
      <c r="W66" s="1490"/>
    </row>
    <row r="67" spans="1:23" ht="12.75" customHeight="1">
      <c r="A67" s="401"/>
      <c r="B67" s="1284" t="s">
        <v>596</v>
      </c>
      <c r="C67" s="311"/>
      <c r="D67" s="580" t="s">
        <v>1039</v>
      </c>
      <c r="E67" s="253"/>
      <c r="F67" s="253"/>
      <c r="G67" s="307"/>
      <c r="H67" s="307"/>
      <c r="I67" s="307"/>
      <c r="J67" s="582" t="s">
        <v>388</v>
      </c>
      <c r="K67" s="311" t="str">
        <f>B67</f>
        <v>21.</v>
      </c>
      <c r="L67" s="669" t="str">
        <f>IF($S$31="No","",IF(Skip2141,"",MIN(SchDTW_Line1,P55)))</f>
        <v/>
      </c>
      <c r="M67" s="678"/>
      <c r="N67" s="1014"/>
      <c r="O67" s="670"/>
      <c r="P67" s="670"/>
      <c r="Q67" s="342"/>
      <c r="R67" s="1004"/>
      <c r="S67" s="822"/>
      <c r="T67" s="60"/>
    </row>
    <row r="68" spans="1:23" ht="12.75" customHeight="1">
      <c r="A68" s="401"/>
      <c r="B68" s="1283" t="s">
        <v>597</v>
      </c>
      <c r="C68" s="246"/>
      <c r="D68" s="580" t="s">
        <v>1040</v>
      </c>
      <c r="E68" s="580"/>
      <c r="F68" s="580"/>
      <c r="G68" s="307"/>
      <c r="H68" s="307"/>
      <c r="I68" s="307"/>
      <c r="J68" s="973" t="s">
        <v>563</v>
      </c>
      <c r="K68" s="311" t="str">
        <f>B68</f>
        <v>22.</v>
      </c>
      <c r="L68" s="669" t="str">
        <f>IF($S$31="No","",IF(Skip2141,"",IF(N65="",0,N65)))</f>
        <v/>
      </c>
      <c r="M68" s="678"/>
      <c r="N68" s="670"/>
      <c r="O68" s="670"/>
      <c r="P68" s="670"/>
      <c r="Q68" s="343"/>
      <c r="R68" s="1364"/>
      <c r="S68" s="1072"/>
      <c r="T68" s="60"/>
    </row>
    <row r="69" spans="1:23" ht="12.75" customHeight="1">
      <c r="A69" s="401"/>
      <c r="B69" s="1283" t="s">
        <v>598</v>
      </c>
      <c r="C69" s="311"/>
      <c r="D69" s="580" t="s">
        <v>1041</v>
      </c>
      <c r="E69" s="580"/>
      <c r="F69" s="580"/>
      <c r="G69" s="307"/>
      <c r="H69" s="307"/>
      <c r="I69" s="307"/>
      <c r="J69" s="308"/>
      <c r="K69" s="308"/>
      <c r="L69" s="582" t="s">
        <v>240</v>
      </c>
      <c r="M69" s="311" t="str">
        <f>B69</f>
        <v>23.</v>
      </c>
      <c r="N69" s="669" t="str">
        <f>IF(OR($S$31="No",Skip2141),"",SUM(L67,-L68))</f>
        <v/>
      </c>
      <c r="O69" s="582"/>
      <c r="P69" s="680"/>
      <c r="Q69" s="343"/>
      <c r="R69" s="1364"/>
      <c r="S69" s="1072"/>
      <c r="T69" s="60"/>
    </row>
    <row r="70" spans="1:23" ht="14.25" customHeight="1">
      <c r="A70" s="401"/>
      <c r="B70" s="1282">
        <v>24</v>
      </c>
      <c r="C70" s="311"/>
      <c r="D70" s="580" t="s">
        <v>1844</v>
      </c>
      <c r="E70" s="3030"/>
      <c r="F70" s="3030"/>
      <c r="G70" s="3031"/>
      <c r="H70" s="3031"/>
      <c r="I70" s="3031"/>
      <c r="J70" s="308"/>
      <c r="K70" s="308"/>
      <c r="L70" s="308"/>
      <c r="M70" s="308"/>
      <c r="N70" s="670"/>
      <c r="O70" s="670"/>
      <c r="P70" s="670"/>
      <c r="Q70" s="344"/>
      <c r="R70" s="1004"/>
      <c r="S70" s="896"/>
      <c r="T70" s="60"/>
    </row>
    <row r="71" spans="1:23" ht="14.25" customHeight="1">
      <c r="A71" s="401"/>
      <c r="B71" s="310"/>
      <c r="C71" s="311"/>
      <c r="D71" s="579" t="s">
        <v>585</v>
      </c>
      <c r="E71" s="3030" t="str">
        <f>TEXT(N71,"$0,000")&amp;" if single;"</f>
        <v>$406,750 if single;</v>
      </c>
      <c r="F71" s="3030"/>
      <c r="G71" s="3030"/>
      <c r="H71" s="3031"/>
      <c r="I71" s="3031"/>
      <c r="J71" s="308"/>
      <c r="K71" s="308"/>
      <c r="L71" s="308"/>
      <c r="M71" s="308"/>
      <c r="N71" s="1015">
        <v>406750</v>
      </c>
      <c r="O71" s="670"/>
      <c r="P71" s="670"/>
      <c r="Q71" s="344"/>
      <c r="R71" s="1004"/>
      <c r="S71" s="822"/>
      <c r="T71" s="60"/>
    </row>
    <row r="72" spans="1:23">
      <c r="A72" s="401"/>
      <c r="B72" s="310"/>
      <c r="C72" s="311"/>
      <c r="D72" s="579" t="s">
        <v>585</v>
      </c>
      <c r="E72" s="3030" t="str">
        <f>TEXT(N72,"$0,000")&amp;" if married filing separately;"</f>
        <v>$228,800 if married filing separately;</v>
      </c>
      <c r="F72" s="579"/>
      <c r="G72" s="3031"/>
      <c r="H72" s="3031"/>
      <c r="I72" s="3031"/>
      <c r="J72" s="308"/>
      <c r="K72" s="308"/>
      <c r="L72" s="1015" t="str">
        <f>IF(File_Single&lt;&gt;"",N71,IF(File_Marr_Sep&lt;&gt;"",N72,IF(OR(File_Marr_Joint&lt;&gt;"",File_Qual_Widow),N73,IF(File_Head&lt;&gt;"",N74,"Filing status?"))))</f>
        <v>Filing status?</v>
      </c>
      <c r="M72" s="677"/>
      <c r="N72" s="1015">
        <v>228800</v>
      </c>
      <c r="O72" s="670"/>
      <c r="P72" s="670"/>
      <c r="Q72" s="344"/>
      <c r="R72" s="1004"/>
      <c r="S72" s="822"/>
      <c r="T72" s="60"/>
    </row>
    <row r="73" spans="1:23" ht="13.5" customHeight="1">
      <c r="A73" s="401"/>
      <c r="B73" s="310"/>
      <c r="C73" s="311"/>
      <c r="D73" s="579"/>
      <c r="E73" s="3030" t="str">
        <f>TEXT(N73,"$0,000")&amp;" if married filing jointly or qualifying widow(er); or"</f>
        <v>$457,600 if married filing jointly or qualifying widow(er); or</v>
      </c>
      <c r="F73" s="579"/>
      <c r="G73" s="3031"/>
      <c r="H73" s="3031"/>
      <c r="I73" s="3031"/>
      <c r="J73" s="439" t="s">
        <v>226</v>
      </c>
      <c r="K73" s="1281">
        <f>B70</f>
        <v>24</v>
      </c>
      <c r="L73" s="669" t="str">
        <f>IF(OR($S$31="No",Skip2141),"",L72)</f>
        <v/>
      </c>
      <c r="M73" s="678"/>
      <c r="N73" s="1015">
        <v>457600</v>
      </c>
      <c r="O73" s="670"/>
      <c r="P73" s="670"/>
      <c r="Q73" s="344"/>
      <c r="R73" s="1004"/>
      <c r="S73" s="839"/>
      <c r="T73" s="60"/>
    </row>
    <row r="74" spans="1:23" ht="13.5" customHeight="1">
      <c r="A74" s="401"/>
      <c r="B74" s="310"/>
      <c r="C74" s="311"/>
      <c r="D74" s="579"/>
      <c r="E74" s="3030" t="str">
        <f>TEXT(N74,"$0,000")&amp;" if head of household."</f>
        <v>$432,200 if head of household.</v>
      </c>
      <c r="F74" s="579"/>
      <c r="G74" s="3031"/>
      <c r="H74" s="3031"/>
      <c r="I74" s="3031"/>
      <c r="J74" s="308"/>
      <c r="K74" s="308"/>
      <c r="L74" s="308"/>
      <c r="M74" s="308"/>
      <c r="N74" s="1015">
        <v>432200</v>
      </c>
      <c r="O74" s="670"/>
      <c r="P74" s="670"/>
      <c r="Q74" s="344"/>
      <c r="R74" s="1004"/>
      <c r="S74" s="822"/>
      <c r="T74" s="60"/>
    </row>
    <row r="75" spans="1:23" ht="13.5" customHeight="1">
      <c r="A75" s="401"/>
      <c r="B75" s="1282">
        <v>25</v>
      </c>
      <c r="C75" s="311"/>
      <c r="D75" s="580" t="s">
        <v>1845</v>
      </c>
      <c r="E75" s="3030"/>
      <c r="F75" s="579"/>
      <c r="G75" s="3031"/>
      <c r="H75" s="3031"/>
      <c r="I75" s="3031"/>
      <c r="J75" s="308"/>
      <c r="K75" s="1281">
        <f>B75</f>
        <v>25</v>
      </c>
      <c r="L75" s="669" t="str">
        <f>IF(OR($S$31="No",Skip2141),"",MIN(SchDTW_Line1,L73))</f>
        <v/>
      </c>
      <c r="M75" s="308"/>
      <c r="N75" s="1015"/>
      <c r="O75" s="670"/>
      <c r="P75" s="670"/>
      <c r="Q75" s="344"/>
      <c r="R75" s="1004"/>
      <c r="S75" s="822"/>
      <c r="T75" s="60"/>
    </row>
    <row r="76" spans="1:23" ht="13.5" customHeight="1">
      <c r="A76" s="401"/>
      <c r="B76" s="1282">
        <v>26</v>
      </c>
      <c r="C76" s="311"/>
      <c r="D76" s="580" t="s">
        <v>1846</v>
      </c>
      <c r="E76" s="3030"/>
      <c r="F76" s="579"/>
      <c r="G76" s="3031"/>
      <c r="H76" s="3031"/>
      <c r="I76" s="3031"/>
      <c r="J76" s="308"/>
      <c r="K76" s="1281">
        <f>B76</f>
        <v>26</v>
      </c>
      <c r="L76" s="669" t="str">
        <f>IF(OR($S$31="No",Skip2141),"",SUM(SchDTW_Line19,N65))</f>
        <v/>
      </c>
      <c r="M76" s="308"/>
      <c r="N76" s="1015"/>
      <c r="O76" s="670"/>
      <c r="P76" s="670"/>
      <c r="Q76" s="344"/>
      <c r="R76" s="1004"/>
      <c r="S76" s="822"/>
      <c r="T76" s="60"/>
    </row>
    <row r="77" spans="1:23" ht="13.5" customHeight="1">
      <c r="A77" s="401"/>
      <c r="B77" s="1282">
        <v>27</v>
      </c>
      <c r="C77" s="311"/>
      <c r="D77" s="580" t="s">
        <v>1847</v>
      </c>
      <c r="E77" s="3030"/>
      <c r="F77" s="579"/>
      <c r="G77" s="3031"/>
      <c r="H77" s="3031"/>
      <c r="I77" s="3031"/>
      <c r="J77" s="308"/>
      <c r="K77" s="1281">
        <f>B77</f>
        <v>27</v>
      </c>
      <c r="L77" s="669" t="str">
        <f>IF(OR($S$31="No",Skip2141),"",IF(SUM(L75,-L76)&lt;=0,0,SUM(L75,-L76)))</f>
        <v/>
      </c>
      <c r="M77" s="308"/>
      <c r="N77" s="1015"/>
      <c r="O77" s="670"/>
      <c r="P77" s="670"/>
      <c r="Q77" s="344"/>
      <c r="R77" s="1004"/>
      <c r="S77" s="822"/>
      <c r="T77" s="60"/>
    </row>
    <row r="78" spans="1:23" ht="13.5" customHeight="1">
      <c r="A78" s="401"/>
      <c r="B78" s="1282">
        <v>28</v>
      </c>
      <c r="C78" s="311"/>
      <c r="D78" s="580" t="s">
        <v>1848</v>
      </c>
      <c r="E78" s="3030"/>
      <c r="F78" s="579"/>
      <c r="G78" s="3031"/>
      <c r="H78" s="3031"/>
      <c r="I78" s="3031"/>
      <c r="J78" s="308"/>
      <c r="K78" s="1281"/>
      <c r="L78" s="308"/>
      <c r="M78" s="1281">
        <f>B78</f>
        <v>28</v>
      </c>
      <c r="N78" s="669" t="str">
        <f>IF(OR($S$31="No",Skip2141),"",MIN(N69,L77))</f>
        <v/>
      </c>
      <c r="O78" s="670"/>
      <c r="P78" s="670"/>
      <c r="Q78" s="344"/>
      <c r="R78" s="1004"/>
      <c r="S78" s="822"/>
      <c r="T78" s="60"/>
    </row>
    <row r="79" spans="1:23" ht="13.5" customHeight="1">
      <c r="A79" s="401"/>
      <c r="B79" s="1282">
        <v>29</v>
      </c>
      <c r="C79" s="311"/>
      <c r="D79" s="580" t="str">
        <f>"Multiply line 28 by "&amp;TEXT(R79,"0%")&amp;" ("&amp;TEXT(R79,".00")&amp;")"</f>
        <v>Multiply line 28 by 15% (.15)</v>
      </c>
      <c r="E79" s="3030"/>
      <c r="F79" s="579"/>
      <c r="G79" s="3031"/>
      <c r="H79" s="3031"/>
      <c r="I79" s="3031"/>
      <c r="J79" s="308"/>
      <c r="K79" s="308"/>
      <c r="L79" s="308"/>
      <c r="M79" s="308"/>
      <c r="N79" s="1015"/>
      <c r="O79" s="1281">
        <f>B79</f>
        <v>29</v>
      </c>
      <c r="P79" s="669" t="str">
        <f>IF(OR($S$31="No",Skip2141),"",ROUND(N78*R79,0))</f>
        <v/>
      </c>
      <c r="Q79" s="344"/>
      <c r="R79" s="1004">
        <v>0.15</v>
      </c>
      <c r="S79" s="822"/>
      <c r="T79" s="60"/>
    </row>
    <row r="80" spans="1:23" ht="13.5" customHeight="1">
      <c r="A80" s="401"/>
      <c r="B80" s="1282">
        <v>30</v>
      </c>
      <c r="C80" s="311"/>
      <c r="D80" s="580" t="s">
        <v>1849</v>
      </c>
      <c r="E80" s="3030"/>
      <c r="F80" s="579"/>
      <c r="G80" s="3031"/>
      <c r="H80" s="3031"/>
      <c r="I80" s="3031"/>
      <c r="J80" s="308"/>
      <c r="K80" s="1281">
        <f>B80</f>
        <v>30</v>
      </c>
      <c r="L80" s="669" t="str">
        <f>IF(OR($S$31="No",Skip2141),"",SUM(L68,N78))</f>
        <v/>
      </c>
      <c r="M80" s="308"/>
      <c r="N80" s="1015"/>
      <c r="O80" s="670"/>
      <c r="P80" s="670"/>
      <c r="Q80" s="344"/>
      <c r="R80" s="1004"/>
      <c r="S80" s="1682" t="b">
        <f>IF(OR(S31="No",Skip2141),FALSE,IF(SchDTW_Line1=L80,TRUE,FALSE))</f>
        <v>0</v>
      </c>
      <c r="T80" s="60"/>
    </row>
    <row r="81" spans="1:31" ht="13.5" customHeight="1">
      <c r="A81" s="401"/>
      <c r="B81" s="310"/>
      <c r="C81" s="311"/>
      <c r="D81" s="294" t="s">
        <v>1850</v>
      </c>
      <c r="E81" s="3030"/>
      <c r="F81" s="579"/>
      <c r="G81" s="3031"/>
      <c r="H81" s="3031"/>
      <c r="I81" s="3031"/>
      <c r="J81" s="308"/>
      <c r="K81" s="308"/>
      <c r="L81" s="308"/>
      <c r="M81" s="308"/>
      <c r="N81" s="1015"/>
      <c r="O81" s="670"/>
      <c r="P81" s="670"/>
      <c r="Q81" s="344"/>
      <c r="R81" s="1004"/>
      <c r="S81" s="2791" t="str">
        <f>IF(OR($S$31="No",Skip2141),"",IF(Skip3141,"Skip lines 31 through 41.","Go to Line 31."))</f>
        <v/>
      </c>
      <c r="T81" s="60"/>
    </row>
    <row r="82" spans="1:31" ht="13.5" customHeight="1">
      <c r="A82" s="401"/>
      <c r="B82" s="1282">
        <v>31</v>
      </c>
      <c r="C82" s="311"/>
      <c r="D82" s="580" t="s">
        <v>1854</v>
      </c>
      <c r="E82" s="3030"/>
      <c r="F82" s="579"/>
      <c r="G82" s="3031"/>
      <c r="H82" s="3031"/>
      <c r="I82" s="3031"/>
      <c r="J82" s="308"/>
      <c r="K82" s="308"/>
      <c r="L82" s="308"/>
      <c r="M82" s="1281">
        <f>B82</f>
        <v>31</v>
      </c>
      <c r="N82" s="669" t="str">
        <f>IF(OR($S$31="No",Skip2141,Skip3141),"",IF(L67-L80&lt;=0,0,SUM(L67,-L80)))</f>
        <v/>
      </c>
      <c r="O82" s="670"/>
      <c r="P82" s="670"/>
      <c r="Q82" s="344"/>
      <c r="R82" s="1004"/>
      <c r="S82" s="822"/>
      <c r="T82" s="60"/>
    </row>
    <row r="83" spans="1:31" ht="12.75" customHeight="1">
      <c r="A83" s="401"/>
      <c r="B83" s="1284" t="s">
        <v>603</v>
      </c>
      <c r="C83" s="311"/>
      <c r="D83" s="253" t="str">
        <f>"Multiply line 31 by "&amp;TEXT(R83,"0%")&amp;" ("&amp;TEXT(R83,".00")&amp;")"</f>
        <v>Multiply line 31 by 20% (.20)</v>
      </c>
      <c r="E83" s="253"/>
      <c r="F83" s="253"/>
      <c r="G83" s="307"/>
      <c r="H83" s="307"/>
      <c r="I83" s="307"/>
      <c r="J83" s="308"/>
      <c r="K83" s="311"/>
      <c r="L83" s="311"/>
      <c r="M83" s="311"/>
      <c r="N83" s="582" t="s">
        <v>1069</v>
      </c>
      <c r="O83" s="582" t="str">
        <f>B83</f>
        <v>32.</v>
      </c>
      <c r="P83" s="669" t="str">
        <f>IF(OR($S$31="No",Skip2141,Skip3141),"",ROUND((N82*R83),0))</f>
        <v/>
      </c>
      <c r="Q83" s="343"/>
      <c r="R83" s="1004">
        <v>0.2</v>
      </c>
      <c r="S83" s="1682" t="b">
        <f>IF(OR(SchDLine19=0,SchDLine19=""),TRUE,FALSE)</f>
        <v>1</v>
      </c>
      <c r="T83" s="60"/>
    </row>
    <row r="84" spans="1:31" ht="12.75" customHeight="1">
      <c r="A84" s="401"/>
      <c r="B84" s="310"/>
      <c r="C84" s="311"/>
      <c r="D84" s="294" t="s">
        <v>1853</v>
      </c>
      <c r="E84" s="294"/>
      <c r="F84" s="294"/>
      <c r="G84" s="307"/>
      <c r="H84" s="307"/>
      <c r="I84" s="307"/>
      <c r="J84" s="308"/>
      <c r="K84" s="308"/>
      <c r="L84" s="308"/>
      <c r="M84" s="308"/>
      <c r="N84" s="674"/>
      <c r="O84" s="582"/>
      <c r="P84" s="679"/>
      <c r="Q84" s="342"/>
      <c r="R84" s="1004"/>
      <c r="S84" s="839" t="str">
        <f>IF(OR($S$31="No",Skip2141,Skip3141),"",IF(Skip3338,"Skip lines 33 through 38.","Go to line 33."))</f>
        <v/>
      </c>
      <c r="T84" s="60"/>
    </row>
    <row r="85" spans="1:31" ht="12.75" customHeight="1">
      <c r="A85" s="401"/>
      <c r="B85" s="1284" t="s">
        <v>604</v>
      </c>
      <c r="C85" s="311"/>
      <c r="D85" s="253" t="s">
        <v>393</v>
      </c>
      <c r="E85" s="253"/>
      <c r="F85" s="253"/>
      <c r="G85" s="307"/>
      <c r="H85" s="307"/>
      <c r="I85" s="307"/>
      <c r="J85" s="973" t="s">
        <v>959</v>
      </c>
      <c r="K85" s="311" t="str">
        <f>B85</f>
        <v>33.</v>
      </c>
      <c r="L85" s="669" t="str">
        <f>IF(OR($S$31="No",Skip2141,Skip3141,Skip3338),"",MIN(N51,'Sch. D'!N75))</f>
        <v/>
      </c>
      <c r="M85" s="678"/>
      <c r="N85" s="678"/>
      <c r="O85" s="582"/>
      <c r="P85" s="583"/>
      <c r="Q85" s="342"/>
      <c r="R85" s="1004"/>
      <c r="S85" s="839"/>
      <c r="T85" s="60"/>
    </row>
    <row r="86" spans="1:31" ht="12.75" customHeight="1">
      <c r="A86" s="401"/>
      <c r="B86" s="1282">
        <v>34</v>
      </c>
      <c r="C86" s="311"/>
      <c r="D86" s="580" t="s">
        <v>1043</v>
      </c>
      <c r="E86" s="253"/>
      <c r="F86" s="253"/>
      <c r="G86" s="307"/>
      <c r="H86" s="311" t="s">
        <v>1063</v>
      </c>
      <c r="I86" s="311">
        <f>B86</f>
        <v>34</v>
      </c>
      <c r="J86" s="669" t="str">
        <f>IF(OR($S$31="No",Skip2141,Skip3141,Skip3338),"",SUM(L52,SchDTW_Line19))</f>
        <v/>
      </c>
      <c r="K86" s="311"/>
      <c r="L86" s="674"/>
      <c r="M86" s="674"/>
      <c r="N86" s="674"/>
      <c r="O86" s="582"/>
      <c r="P86" s="583"/>
      <c r="Q86" s="342"/>
      <c r="R86" s="1004"/>
      <c r="S86" s="839"/>
      <c r="T86" s="60"/>
    </row>
    <row r="87" spans="1:31" ht="12.75" customHeight="1">
      <c r="A87" s="401"/>
      <c r="B87" s="1282">
        <v>35</v>
      </c>
      <c r="C87" s="311"/>
      <c r="D87" s="580" t="s">
        <v>1044</v>
      </c>
      <c r="E87" s="253"/>
      <c r="F87" s="253"/>
      <c r="G87" s="307"/>
      <c r="H87" s="311" t="s">
        <v>975</v>
      </c>
      <c r="I87" s="311">
        <f>B87</f>
        <v>35</v>
      </c>
      <c r="J87" s="669" t="str">
        <f>IF(OR($S$31="No",Skip2141,Skip3141,Skip3338),"",SchDTW_Line1)</f>
        <v/>
      </c>
      <c r="K87" s="311"/>
      <c r="L87" s="674"/>
      <c r="M87" s="674"/>
      <c r="N87" s="674"/>
      <c r="O87" s="582"/>
      <c r="P87" s="583"/>
      <c r="Q87" s="342"/>
      <c r="R87" s="1004"/>
      <c r="S87" s="839"/>
      <c r="T87" s="60"/>
    </row>
    <row r="88" spans="1:31" ht="12.75" customHeight="1">
      <c r="A88" s="401"/>
      <c r="B88" s="1282">
        <v>36</v>
      </c>
      <c r="C88" s="311"/>
      <c r="D88" s="580" t="s">
        <v>1852</v>
      </c>
      <c r="E88" s="253"/>
      <c r="F88" s="253"/>
      <c r="G88" s="307"/>
      <c r="H88" s="307"/>
      <c r="I88" s="307"/>
      <c r="J88" s="582" t="s">
        <v>675</v>
      </c>
      <c r="K88" s="311">
        <f>B88</f>
        <v>36</v>
      </c>
      <c r="L88" s="669" t="str">
        <f>IF(OR($S$31="No",Skip2141,Skip3141,Skip3338),"",IF(SUM(J86,-J87)&lt;=0,0,SUM(J86,-J87)))</f>
        <v/>
      </c>
      <c r="M88" s="678"/>
      <c r="N88" s="678"/>
      <c r="O88" s="582"/>
      <c r="P88" s="583"/>
      <c r="Q88" s="342"/>
      <c r="R88" s="1004"/>
      <c r="S88" s="839"/>
      <c r="T88" s="60"/>
    </row>
    <row r="89" spans="1:31" ht="12.75" customHeight="1">
      <c r="B89" s="1282">
        <v>37</v>
      </c>
      <c r="C89" s="311"/>
      <c r="D89" s="580" t="s">
        <v>1851</v>
      </c>
      <c r="E89" s="253"/>
      <c r="F89" s="253"/>
      <c r="G89" s="307"/>
      <c r="H89" s="307"/>
      <c r="I89" s="307"/>
      <c r="J89" s="308"/>
      <c r="K89" s="308"/>
      <c r="L89" s="582" t="s">
        <v>775</v>
      </c>
      <c r="M89" s="582">
        <f>B89</f>
        <v>37</v>
      </c>
      <c r="N89" s="669" t="str">
        <f>IF(OR($S$31="No",Skip2141,Skip3141,Skip3338),"",IF(L85-L88&lt;=0,0,SUM(L85,-L88)))</f>
        <v/>
      </c>
      <c r="O89" s="582"/>
      <c r="P89" s="583"/>
      <c r="Q89" s="342"/>
      <c r="R89" s="1004"/>
      <c r="S89" s="839"/>
      <c r="T89" s="60"/>
    </row>
    <row r="90" spans="1:31" ht="12.75" customHeight="1">
      <c r="A90" s="1674"/>
      <c r="B90" s="1282">
        <v>38</v>
      </c>
      <c r="C90" s="311"/>
      <c r="D90" s="253" t="str">
        <f>"Multiply line 37 by "&amp;TEXT(R90,"0%")&amp;" ("&amp;TEXT(R90,".00")&amp;")"</f>
        <v>Multiply line 37 by 25% (.25)</v>
      </c>
      <c r="E90" s="253"/>
      <c r="F90" s="253"/>
      <c r="G90" s="307"/>
      <c r="H90" s="307"/>
      <c r="I90" s="307"/>
      <c r="J90" s="308"/>
      <c r="K90" s="308"/>
      <c r="L90" s="308"/>
      <c r="M90" s="308"/>
      <c r="N90" s="582" t="s">
        <v>1047</v>
      </c>
      <c r="O90" s="582">
        <f>B90</f>
        <v>38</v>
      </c>
      <c r="P90" s="675" t="str">
        <f>IF(OR($S$31="No",Skip2141,Skip3141,Skip3338),"",ROUND((N89*R90),0))</f>
        <v/>
      </c>
      <c r="Q90" s="342"/>
      <c r="R90" s="1004">
        <v>0.25</v>
      </c>
      <c r="S90" s="1682" t="b">
        <f>IF(OR(SchDLine18=0,SchDLine18=""),TRUE,FALSE)</f>
        <v>1</v>
      </c>
      <c r="T90" s="60"/>
    </row>
    <row r="91" spans="1:31" ht="12.75" customHeight="1" thickBot="1">
      <c r="A91" s="1674"/>
      <c r="B91" s="310"/>
      <c r="C91" s="311"/>
      <c r="D91" s="294" t="s">
        <v>1865</v>
      </c>
      <c r="E91" s="294"/>
      <c r="F91" s="294"/>
      <c r="G91" s="307"/>
      <c r="H91" s="307"/>
      <c r="I91" s="307"/>
      <c r="J91" s="308"/>
      <c r="K91" s="308"/>
      <c r="L91" s="308"/>
      <c r="M91" s="308"/>
      <c r="N91" s="674"/>
      <c r="O91" s="582"/>
      <c r="P91" s="679"/>
      <c r="Q91" s="342"/>
      <c r="R91" s="1004"/>
      <c r="S91" s="839" t="str">
        <f>IF(OR($S$31="No",Skip2141,Skip3141,Skip3338),"",IF(Skip3941,"Skip lines 39 through 41.","Go to line 39."))</f>
        <v/>
      </c>
      <c r="T91" s="60"/>
      <c r="W91" s="1618" t="s">
        <v>1048</v>
      </c>
    </row>
    <row r="92" spans="1:31" ht="12.75" customHeight="1">
      <c r="A92" s="1674"/>
      <c r="B92" s="1284" t="s">
        <v>1856</v>
      </c>
      <c r="C92" s="311"/>
      <c r="D92" s="580" t="s">
        <v>1855</v>
      </c>
      <c r="E92" s="253"/>
      <c r="F92" s="253"/>
      <c r="G92" s="307"/>
      <c r="H92" s="307"/>
      <c r="I92" s="307"/>
      <c r="J92" s="308"/>
      <c r="K92" s="308"/>
      <c r="L92" s="2899" t="s">
        <v>514</v>
      </c>
      <c r="M92" s="582" t="str">
        <f>B92</f>
        <v>39.</v>
      </c>
      <c r="N92" s="669" t="str">
        <f>IF(OR($S$31="No",Skip2141,Skip3141,Skip3941),"",SUM(SchDTW_Line19,N65,N78,N82,N89))</f>
        <v/>
      </c>
      <c r="O92" s="582"/>
      <c r="P92" s="680"/>
      <c r="Q92" s="342"/>
      <c r="R92" s="1004"/>
      <c r="S92" s="839"/>
      <c r="T92" s="60"/>
      <c r="W92" s="841" t="str">
        <f>SchDTW_Line19</f>
        <v/>
      </c>
      <c r="X92" s="842"/>
      <c r="Y92" s="842"/>
      <c r="Z92" s="842"/>
      <c r="AA92" s="842"/>
      <c r="AB92" s="842"/>
      <c r="AC92" s="842"/>
      <c r="AD92" s="842"/>
      <c r="AE92" s="843"/>
    </row>
    <row r="93" spans="1:31" ht="12.75" customHeight="1">
      <c r="A93" s="1674"/>
      <c r="B93" s="1284" t="s">
        <v>1858</v>
      </c>
      <c r="C93" s="311"/>
      <c r="D93" s="580" t="s">
        <v>1857</v>
      </c>
      <c r="E93" s="253"/>
      <c r="F93" s="253"/>
      <c r="G93" s="307"/>
      <c r="H93" s="307"/>
      <c r="I93" s="307"/>
      <c r="J93" s="308"/>
      <c r="K93" s="308"/>
      <c r="L93" s="2899" t="s">
        <v>1226</v>
      </c>
      <c r="M93" s="582" t="str">
        <f>B93</f>
        <v>40.</v>
      </c>
      <c r="N93" s="669" t="str">
        <f>IF(OR($S$31="No",Skip2141,Skip3141,Skip3941),"",SUM(SchDTW_Line1,-N92))</f>
        <v/>
      </c>
      <c r="O93" s="582"/>
      <c r="P93" s="835"/>
      <c r="Q93" s="342"/>
      <c r="R93" s="1004"/>
      <c r="S93" s="839"/>
      <c r="T93" s="60"/>
      <c r="W93" s="844" t="str">
        <f>IF(W92&lt;&gt;"",ROUND(W92,0),"")</f>
        <v/>
      </c>
      <c r="X93" s="845" t="s">
        <v>127</v>
      </c>
      <c r="Y93" s="1637" t="s">
        <v>945</v>
      </c>
      <c r="Z93" s="696" t="s">
        <v>784</v>
      </c>
      <c r="AA93" s="696" t="s">
        <v>785</v>
      </c>
      <c r="AB93" s="696" t="s">
        <v>127</v>
      </c>
      <c r="AC93" s="1637" t="s">
        <v>945</v>
      </c>
      <c r="AD93" s="696" t="s">
        <v>784</v>
      </c>
      <c r="AE93" s="699" t="s">
        <v>785</v>
      </c>
    </row>
    <row r="94" spans="1:31" ht="12.75" customHeight="1">
      <c r="A94" s="1674"/>
      <c r="B94" s="1284" t="s">
        <v>1859</v>
      </c>
      <c r="C94" s="311"/>
      <c r="D94" s="253" t="str">
        <f>"Multiply line 40 by "&amp;TEXT(R94,"0%")&amp;" ("&amp;TEXT(R94,".00")&amp;")"</f>
        <v>Multiply line 40 by 28% (.28)</v>
      </c>
      <c r="E94" s="253"/>
      <c r="F94" s="253"/>
      <c r="G94" s="307"/>
      <c r="H94" s="307"/>
      <c r="I94" s="307"/>
      <c r="J94" s="308"/>
      <c r="K94" s="308"/>
      <c r="L94" s="308"/>
      <c r="M94" s="308"/>
      <c r="N94" s="582" t="s">
        <v>1069</v>
      </c>
      <c r="O94" s="582" t="str">
        <f>B94</f>
        <v>41.</v>
      </c>
      <c r="P94" s="675" t="str">
        <f>IF(OR($S$31="No",Skip2141,Skip3141,Skip3941),"",ROUND(N93*R94,0))</f>
        <v/>
      </c>
      <c r="Q94" s="342"/>
      <c r="R94" s="1004">
        <v>0.28000000000000003</v>
      </c>
      <c r="S94" s="839"/>
      <c r="T94" s="951"/>
      <c r="W94" s="844" t="str">
        <f>IF(W92="","",IF(W92&gt;=3000,INT(W93/50),IF(W92&gt;=25,INT(W93/25),IF(W92&gt;=5,INT((W93+5)/10),0))))</f>
        <v/>
      </c>
      <c r="X94" s="961" t="e">
        <f>LOOKUP(W95,'Tax Table'!$A$2:$A$2063,'Tax Table'!$C$2:$C$2063)</f>
        <v>#N/A</v>
      </c>
      <c r="Y94" s="961" t="e">
        <f>LOOKUP(W95,'Tax Table'!$A$2:$A$2063,'Tax Table'!$D$2:$D$2063)</f>
        <v>#N/A</v>
      </c>
      <c r="Z94" s="961" t="e">
        <f>LOOKUP(W95,'Tax Table'!$A$2:$A$2063,'Tax Table'!$E$2:$E$2063)</f>
        <v>#N/A</v>
      </c>
      <c r="AA94" s="961" t="e">
        <f>LOOKUP(W95,'Tax Table'!$A$2:$A$2063,'Tax Table'!$F$2:$F$2063)</f>
        <v>#N/A</v>
      </c>
      <c r="AB94" s="961" t="str">
        <f>"---"</f>
        <v>---</v>
      </c>
      <c r="AC94" s="961" t="str">
        <f>"---"</f>
        <v>---</v>
      </c>
      <c r="AD94" s="961" t="str">
        <f>"---"</f>
        <v>---</v>
      </c>
      <c r="AE94" s="962" t="str">
        <f>"---"</f>
        <v>---</v>
      </c>
    </row>
    <row r="95" spans="1:31" ht="12.75" customHeight="1">
      <c r="A95" s="1674"/>
      <c r="B95" s="1284" t="s">
        <v>1860</v>
      </c>
      <c r="C95" s="311"/>
      <c r="D95" s="535" t="s">
        <v>1045</v>
      </c>
      <c r="E95" s="253"/>
      <c r="F95" s="253"/>
      <c r="G95" s="307"/>
      <c r="H95" s="307"/>
      <c r="I95" s="307"/>
      <c r="J95" s="308"/>
      <c r="K95" s="308"/>
      <c r="L95" s="308"/>
      <c r="M95" s="308"/>
      <c r="N95" s="582"/>
      <c r="O95" s="582"/>
      <c r="P95" s="671"/>
      <c r="Q95" s="342"/>
      <c r="R95" s="1004"/>
      <c r="S95" s="1072"/>
      <c r="T95" s="951"/>
      <c r="W95" s="846" t="str">
        <f>IF(W94="","",IF(W93&gt;=3000,50*W94,IF(W93&gt;=25,25*W94,IF(W93&gt;=5,(10*W94)-5,W93))))</f>
        <v/>
      </c>
      <c r="X95" s="961" t="e">
        <f>LOOKUP(W95,'Tax Table'!$A$2:$A$2063,'Tax Table'!$C$2:$C$2063)</f>
        <v>#N/A</v>
      </c>
      <c r="Y95" s="961" t="e">
        <f>LOOKUP(W95,'Tax Table'!$A$2:$A$2063,'Tax Table'!$D$2:$D$2063)</f>
        <v>#N/A</v>
      </c>
      <c r="Z95" s="961" t="e">
        <f>LOOKUP(W95,'Tax Table'!$A$2:$A$2063,'Tax Table'!$E$2:$E$2063)</f>
        <v>#N/A</v>
      </c>
      <c r="AA95" s="961" t="e">
        <f>LOOKUP(W95,'Tax Table'!$A$2:$A$2063,'Tax Table'!$F$2:$F$2063)</f>
        <v>#N/A</v>
      </c>
      <c r="AB95" s="961" t="e">
        <f>IF(W92&lt;SectA_a3,"---",IF(W92&lt;=SectA_a4,ROUND((W92*(SectA_b4/100)-SectA_d4),0),IF(W92&lt;=SectA_a5,ROUND((W92*(SectA_b5/100)-SectA_d5),0),IF(W92&lt;=SectA_a6,ROUND((W92*(SectA_b6/100)-SectA_d6),0),ROUND((W92*(SectA_b7/100)-SectA_d7),0)))))</f>
        <v>#VALUE!</v>
      </c>
      <c r="AC95" s="961" t="e">
        <f>IF(W92&lt;SectB_a2,"---",IF(W92&lt;=SectB_a3,ROUND((W92*(SectB_b3/100)-SectB_d3),0),IF(W92&lt;=SectB_a4,ROUND((W92*(SectB_b4/100)-SectB_d4),0),IF(W92&lt;=SectB_a5,ROUND((W92*(SectB_b5/100)-SectB_d5),0),IF(W92&lt;=SectB_a6,ROUND((W92*(SectB_b6/100)-SectB_d6),0),ROUND((W92*(SectB_b7/100)-SectB_d7),0))))))</f>
        <v>#VALUE!</v>
      </c>
      <c r="AD95" s="961" t="e">
        <f>IF(W92&lt;SectC_a2,"---",IF(W92&lt;=SectC_a3,ROUND((W92*(SectC_b3/100)-SectC_d3),0),IF(W92&lt;=SectC_a4,ROUND((W92*(SectC_b4/100)-SectC_d4),0),IF(W92&lt;=SectC_a5,ROUND((W92*(SectC_b5/100)-SectC_d5),0),ROUND((W92*(SectC_b6/100)-SectC_d6),0)))))</f>
        <v>#VALUE!</v>
      </c>
      <c r="AE95" s="962" t="e">
        <f>IF(W92&lt;SectD_a2,"---",IF(W92&lt;=SectD_a3,ROUND((W92*(SectD_b3/100)-SectD_d3),0),IF(W92&lt;=SectD_a4,ROUND((W92*(SectD_b4/100)-SectD_d4),0),IF(W92&lt;=SectD_a5,ROUND((W92*(SectD_b5/100)-SectD_d5),0),IF(W92&lt;=SectD_a6,ROUND((W92*(SectD_b6/100)-SectD_d6),0),ROUND((W92*(SectD_b7/100)-SectD_d7),0))))))</f>
        <v>#VALUE!</v>
      </c>
    </row>
    <row r="96" spans="1:31" ht="12.75" customHeight="1">
      <c r="A96" s="1674"/>
      <c r="B96" s="1283"/>
      <c r="C96" s="311"/>
      <c r="D96" s="535" t="s">
        <v>1046</v>
      </c>
      <c r="E96" s="253"/>
      <c r="F96" s="253"/>
      <c r="G96" s="307"/>
      <c r="H96" s="307"/>
      <c r="I96" s="307"/>
      <c r="J96" s="308"/>
      <c r="K96" s="308"/>
      <c r="L96" s="311"/>
      <c r="M96" s="311"/>
      <c r="N96" s="582" t="s">
        <v>775</v>
      </c>
      <c r="O96" s="582" t="str">
        <f>B95</f>
        <v>42.</v>
      </c>
      <c r="P96" s="675" t="str">
        <f>IF(S96&lt;&gt;"",S96,IF($S$31="No","",IF(SchDTW_Line19&lt;100000,W96,W97)))</f>
        <v/>
      </c>
      <c r="Q96" s="342"/>
      <c r="R96" s="1004"/>
      <c r="S96" s="2898"/>
      <c r="T96" s="951"/>
      <c r="W96" s="698" t="str">
        <f>IF(File_Single&lt;&gt;"",X95,IF(File_Marr_Joint&lt;&gt;"",Y95,IF(File_Marr_Sep&lt;&gt;"", Z95,IF(File_Head&lt;&gt;"",AA95,IF(File_Qual_Widow&lt;&gt;"",Y95,"Filing status?")))))</f>
        <v>Filing status?</v>
      </c>
      <c r="X96" s="696" t="str">
        <f>"&lt;100k"</f>
        <v>&lt;100k</v>
      </c>
      <c r="Y96" s="1308"/>
      <c r="Z96" s="1308"/>
      <c r="AA96" s="1308"/>
      <c r="AB96" s="1308"/>
      <c r="AC96" s="1308"/>
      <c r="AD96" s="696"/>
      <c r="AE96" s="699"/>
    </row>
    <row r="97" spans="1:31" ht="12.75" customHeight="1" thickBot="1">
      <c r="A97" s="1674"/>
      <c r="B97" s="1284" t="s">
        <v>1861</v>
      </c>
      <c r="C97" s="311"/>
      <c r="D97" s="580" t="s">
        <v>1866</v>
      </c>
      <c r="E97" s="253"/>
      <c r="F97" s="253"/>
      <c r="G97" s="307"/>
      <c r="H97" s="311"/>
      <c r="I97" s="311"/>
      <c r="J97" s="307"/>
      <c r="K97" s="307"/>
      <c r="L97" s="307"/>
      <c r="M97" s="307"/>
      <c r="N97" s="582" t="s">
        <v>1069</v>
      </c>
      <c r="O97" s="582" t="str">
        <f>B97</f>
        <v>43.</v>
      </c>
      <c r="P97" s="675" t="str">
        <f>IF($S$31="No","",SUM(P79,P83,P90,P94,P96))</f>
        <v/>
      </c>
      <c r="Q97" s="342"/>
      <c r="R97" s="1004"/>
      <c r="S97" s="840"/>
      <c r="T97" s="951"/>
      <c r="W97" s="697" t="str">
        <f>IF(File_Single&lt;&gt;"",AB95,IF(OR(File_Marr_Joint&lt;&gt;"",File_Qual_Widow&lt;&gt;""),AC95,IF(File_Marr_Sep&lt;&gt;"", AD95,IF(File_Head&lt;&gt;"",AE95,"Filing status?"))))</f>
        <v>Filing status?</v>
      </c>
      <c r="X97" s="847" t="str">
        <f>"&gt;=100k"</f>
        <v>&gt;=100k</v>
      </c>
      <c r="Y97" s="847"/>
      <c r="Z97" s="847"/>
      <c r="AA97" s="847"/>
      <c r="AB97" s="847"/>
      <c r="AC97" s="847"/>
      <c r="AD97" s="847"/>
      <c r="AE97" s="848"/>
    </row>
    <row r="98" spans="1:31" ht="12.75" customHeight="1">
      <c r="A98" s="1674"/>
      <c r="B98" s="1284" t="s">
        <v>1862</v>
      </c>
      <c r="C98" s="311"/>
      <c r="D98" s="580" t="s">
        <v>1050</v>
      </c>
      <c r="E98" s="253"/>
      <c r="F98" s="253"/>
      <c r="G98" s="307"/>
      <c r="H98" s="311"/>
      <c r="I98" s="311"/>
      <c r="J98" s="307"/>
      <c r="K98" s="307"/>
      <c r="L98" s="307"/>
      <c r="M98" s="307"/>
      <c r="N98" s="582"/>
      <c r="O98" s="582"/>
      <c r="P98" s="671"/>
      <c r="Q98" s="342"/>
      <c r="R98" s="1004"/>
      <c r="S98" s="840"/>
      <c r="T98" s="951"/>
      <c r="W98" s="317"/>
      <c r="X98" s="696"/>
      <c r="Y98" s="696"/>
      <c r="Z98" s="696"/>
      <c r="AA98" s="696"/>
      <c r="AB98" s="696"/>
      <c r="AC98" s="696"/>
      <c r="AD98" s="696"/>
      <c r="AE98" s="696"/>
    </row>
    <row r="99" spans="1:31" ht="12.75" customHeight="1">
      <c r="A99" s="401"/>
      <c r="B99" s="1283"/>
      <c r="C99" s="311"/>
      <c r="D99" s="253" t="s">
        <v>1051</v>
      </c>
      <c r="E99" s="253"/>
      <c r="F99" s="253"/>
      <c r="G99" s="307"/>
      <c r="H99" s="307"/>
      <c r="I99" s="307"/>
      <c r="J99" s="308"/>
      <c r="K99" s="308"/>
      <c r="L99" s="311"/>
      <c r="M99" s="311"/>
      <c r="N99" s="582" t="s">
        <v>632</v>
      </c>
      <c r="O99" s="582" t="str">
        <f>B98</f>
        <v>44.</v>
      </c>
      <c r="P99" s="675" t="str">
        <f>IF(S99&lt;&gt;"",S99,IF($S$31="No","",IF(SchDTW_Line1&lt;100000,W106,W107)))</f>
        <v/>
      </c>
      <c r="Q99" s="342"/>
      <c r="R99" s="1004"/>
      <c r="S99" s="2898"/>
      <c r="T99" s="951"/>
    </row>
    <row r="100" spans="1:31" ht="12.75" customHeight="1">
      <c r="A100" s="401"/>
      <c r="B100" s="1284" t="s">
        <v>1863</v>
      </c>
      <c r="C100" s="311"/>
      <c r="D100" s="294" t="s">
        <v>1867</v>
      </c>
      <c r="E100" s="546"/>
      <c r="F100" s="546"/>
      <c r="G100" s="307"/>
      <c r="H100" s="307"/>
      <c r="I100" s="307"/>
      <c r="J100" s="308"/>
      <c r="K100" s="308"/>
      <c r="L100" s="311"/>
      <c r="M100" s="311"/>
      <c r="N100" s="674"/>
      <c r="O100" s="582"/>
      <c r="P100" s="583"/>
      <c r="Q100" s="342"/>
      <c r="R100" s="1004"/>
      <c r="S100" s="840"/>
      <c r="T100" s="951"/>
    </row>
    <row r="101" spans="1:31" ht="12.75" customHeight="1" thickBot="1">
      <c r="A101" s="1674"/>
      <c r="B101" s="1283"/>
      <c r="C101" s="311"/>
      <c r="D101" s="535" t="s">
        <v>1052</v>
      </c>
      <c r="E101" s="546"/>
      <c r="F101" s="546"/>
      <c r="G101" s="307"/>
      <c r="H101" s="307"/>
      <c r="I101" s="307"/>
      <c r="J101" s="308"/>
      <c r="K101" s="308"/>
      <c r="L101" s="311"/>
      <c r="M101" s="311"/>
      <c r="N101" s="674"/>
      <c r="O101" s="582"/>
      <c r="P101" s="583"/>
      <c r="Q101" s="342"/>
      <c r="R101" s="1004"/>
      <c r="S101" s="840"/>
      <c r="T101" s="951"/>
      <c r="W101" s="68" t="s">
        <v>1049</v>
      </c>
    </row>
    <row r="102" spans="1:31" ht="12" customHeight="1">
      <c r="A102" s="401"/>
      <c r="B102" s="310"/>
      <c r="C102" s="311"/>
      <c r="D102" s="535" t="s">
        <v>1053</v>
      </c>
      <c r="E102" s="253"/>
      <c r="F102" s="253"/>
      <c r="G102" s="307"/>
      <c r="H102" s="307"/>
      <c r="I102" s="307"/>
      <c r="J102" s="308"/>
      <c r="K102" s="308"/>
      <c r="L102" s="311"/>
      <c r="M102" s="311"/>
      <c r="N102" s="582"/>
      <c r="O102" s="582" t="str">
        <f>B100</f>
        <v>45.</v>
      </c>
      <c r="P102" s="675" t="str">
        <f>IF(S102&lt;&gt;"",S102,IF($S$31="No","",MIN(P97,P99)))</f>
        <v/>
      </c>
      <c r="Q102" s="342"/>
      <c r="R102" s="1004"/>
      <c r="S102" s="2898"/>
      <c r="T102" s="951"/>
      <c r="W102" s="841" t="str">
        <f>SchDTW_Line1</f>
        <v/>
      </c>
      <c r="X102" s="842"/>
      <c r="Y102" s="842"/>
      <c r="Z102" s="842"/>
      <c r="AA102" s="842"/>
      <c r="AB102" s="842"/>
      <c r="AC102" s="842"/>
      <c r="AD102" s="842"/>
      <c r="AE102" s="843"/>
    </row>
    <row r="103" spans="1:31" ht="14.25" customHeight="1">
      <c r="A103" s="401"/>
      <c r="B103" s="310"/>
      <c r="C103" s="311"/>
      <c r="D103" s="272"/>
      <c r="E103" s="272"/>
      <c r="F103" s="272"/>
      <c r="G103" s="447"/>
      <c r="H103" s="447"/>
      <c r="I103" s="447"/>
      <c r="J103" s="337"/>
      <c r="K103" s="337"/>
      <c r="L103" s="833"/>
      <c r="M103" s="833"/>
      <c r="N103" s="834"/>
      <c r="O103" s="582"/>
      <c r="P103" s="583"/>
      <c r="Q103" s="342"/>
      <c r="R103" s="1004"/>
      <c r="S103" s="840"/>
      <c r="T103" s="951"/>
      <c r="W103" s="844" t="str">
        <f>IF(W102&lt;&gt;"",ROUND(W102,0),"")</f>
        <v/>
      </c>
      <c r="X103" s="845" t="s">
        <v>127</v>
      </c>
      <c r="Y103" s="1637" t="s">
        <v>945</v>
      </c>
      <c r="Z103" s="696" t="s">
        <v>784</v>
      </c>
      <c r="AA103" s="696" t="s">
        <v>785</v>
      </c>
      <c r="AB103" s="696" t="s">
        <v>127</v>
      </c>
      <c r="AC103" s="1637" t="s">
        <v>945</v>
      </c>
      <c r="AD103" s="696" t="s">
        <v>784</v>
      </c>
      <c r="AE103" s="699" t="s">
        <v>785</v>
      </c>
    </row>
    <row r="104" spans="1:31" ht="15.75">
      <c r="A104" s="401"/>
      <c r="B104" s="310"/>
      <c r="C104" s="311"/>
      <c r="D104" s="580" t="s">
        <v>1028</v>
      </c>
      <c r="E104" s="253"/>
      <c r="F104" s="253"/>
      <c r="G104" s="307"/>
      <c r="H104" s="307"/>
      <c r="I104" s="307"/>
      <c r="J104" s="308"/>
      <c r="K104" s="308"/>
      <c r="L104" s="311"/>
      <c r="M104" s="311"/>
      <c r="N104" s="674"/>
      <c r="O104" s="582"/>
      <c r="P104" s="583"/>
      <c r="Q104" s="342"/>
      <c r="R104" s="1004"/>
      <c r="S104" s="822"/>
      <c r="T104" s="60"/>
      <c r="W104" s="844" t="str">
        <f>IF(W102="","",IF(W102&gt;=3000,INT(W103/50),IF(W102&gt;=25,INT(W103/25),IF(W102&gt;=5,INT((W103+5)/10),0))))</f>
        <v/>
      </c>
      <c r="X104" s="961" t="e">
        <f>LOOKUP(W105,'Tax Table'!$A$2:$A$2063,'Tax Table'!$C$2:$C$2063)</f>
        <v>#N/A</v>
      </c>
      <c r="Y104" s="961" t="e">
        <f>LOOKUP(W105,'Tax Table'!$A$2:$A$2063,'Tax Table'!$D$2:$D$2063)</f>
        <v>#N/A</v>
      </c>
      <c r="Z104" s="961" t="e">
        <f>LOOKUP(W105,'Tax Table'!$A$2:$A$2063,'Tax Table'!$E$2:$E$2063)</f>
        <v>#N/A</v>
      </c>
      <c r="AA104" s="961" t="e">
        <f>LOOKUP(W105,'Tax Table'!$A$2:$A$2063,'Tax Table'!$F$2:$F$2063)</f>
        <v>#N/A</v>
      </c>
      <c r="AB104" s="961" t="str">
        <f>"---"</f>
        <v>---</v>
      </c>
      <c r="AC104" s="961" t="str">
        <f>"---"</f>
        <v>---</v>
      </c>
      <c r="AD104" s="961" t="str">
        <f>"---"</f>
        <v>---</v>
      </c>
      <c r="AE104" s="962" t="str">
        <f>"---"</f>
        <v>---</v>
      </c>
    </row>
    <row r="105" spans="1:31" ht="12.75" customHeight="1">
      <c r="A105" s="401"/>
      <c r="B105" s="310"/>
      <c r="C105" s="311"/>
      <c r="D105" s="580" t="s">
        <v>1031</v>
      </c>
      <c r="E105" s="253"/>
      <c r="F105" s="253"/>
      <c r="G105" s="307"/>
      <c r="H105" s="307"/>
      <c r="I105" s="307"/>
      <c r="J105" s="308"/>
      <c r="K105" s="308"/>
      <c r="L105" s="311"/>
      <c r="M105" s="311"/>
      <c r="N105" s="674"/>
      <c r="O105" s="582"/>
      <c r="P105" s="583"/>
      <c r="Q105" s="342"/>
      <c r="R105" s="1004"/>
      <c r="S105" s="822"/>
      <c r="T105" s="60"/>
      <c r="W105" s="846" t="str">
        <f>IF(W104="","",IF(W103&gt;=3000,50*W104,IF(W103&gt;=25,25*W104,IF(W103&gt;=5,(10*W104)-5,W103))))</f>
        <v/>
      </c>
      <c r="X105" s="961" t="e">
        <f>LOOKUP(W105,'Tax Table'!$A$2:$A$2063,'Tax Table'!$C$2:$C$2063)</f>
        <v>#N/A</v>
      </c>
      <c r="Y105" s="961" t="e">
        <f>LOOKUP(W105,'Tax Table'!$A$2:$A$2063,'Tax Table'!$D$2:$D$2063)</f>
        <v>#N/A</v>
      </c>
      <c r="Z105" s="961" t="e">
        <f>LOOKUP(W105,'Tax Table'!$A$2:$A$2063,'Tax Table'!$E$2:$E$2063)</f>
        <v>#N/A</v>
      </c>
      <c r="AA105" s="961" t="e">
        <f>LOOKUP(W105,'Tax Table'!$A$2:$A$2063,'Tax Table'!$F$2:$F$2063)</f>
        <v>#N/A</v>
      </c>
      <c r="AB105" s="961" t="e">
        <f>IF(W102&lt;SectA_a3,"---",IF(W102&lt;=SectA_a4,ROUND((W102*(SectA_b4/100)-SectA_d4),0),IF(W102&lt;=SectA_a5,ROUND((W102*(SectA_b5/100)-SectA_d5),0),IF(W102&lt;=SectA_a6,ROUND((W102*(SectA_b6/100)-SectA_d6),0),ROUND((W102*(SectA_b7/100)-SectA_d7),0)))))</f>
        <v>#VALUE!</v>
      </c>
      <c r="AC105" s="961" t="e">
        <f>IF(W102&lt;SectB_a2,"---",IF(W102&lt;=SectB_a3,ROUND((W102*(SectB_b3/100)-SectB_d3),0),IF(W102&lt;=SectB_a4,ROUND((W102*(SectB_b4/100)-SectB_d4),0),IF(W102&lt;=SectB_a5,ROUND((W102*(SectB_b5/100)-SectB_d5),0),IF(W102&lt;=SectB_a6,ROUND((W102*(SectB_b6/100)-SectB_d6),0),ROUND((W102*(SectB_b7/100)-SectB_d7),0))))))</f>
        <v>#VALUE!</v>
      </c>
      <c r="AD105" s="961" t="e">
        <f>IF(W102&lt;SectC_a2,"---",IF(W102&lt;=SectC_a3,ROUND((W102*(SectC_b3/100)-SectC_d3),0),IF(W102&lt;=SectC_a4,ROUND((W102*(SectC_b4/100)-SectC_d4),0),IF(W102&lt;=SectC_a5,ROUND((W102*(SectC_b5/100)-SectC_d5),0),ROUND((W102*(SectC_b6/100)-SectC_d6),0)))))</f>
        <v>#VALUE!</v>
      </c>
      <c r="AE105" s="962" t="e">
        <f>IF(W102&lt;SectD_a2,"---",IF(W102&lt;=SectD_a3,ROUND((W102*(SectD_b3/100)-SectD_d3),0),IF(W102&lt;=SectD_a4,ROUND((W102*(SectD_b4/100)-SectD_d4),0),IF(W102&lt;=SectD_a5,ROUND((W102*(SectD_b5/100)-SectD_d5),0),IF(W102&lt;=SectD_a6,ROUND((W102*(SectD_b6/100)-SectD_d6),0),ROUND((W102*(SectD_b7/100)-SectD_d7),0))))))</f>
        <v>#VALUE!</v>
      </c>
    </row>
    <row r="106" spans="1:31" ht="12" customHeight="1">
      <c r="A106" s="401"/>
      <c r="B106" s="310"/>
      <c r="C106" s="311"/>
      <c r="D106" s="580" t="s">
        <v>1032</v>
      </c>
      <c r="E106" s="253"/>
      <c r="F106" s="253"/>
      <c r="G106" s="307"/>
      <c r="H106" s="307"/>
      <c r="I106" s="307"/>
      <c r="J106" s="308"/>
      <c r="K106" s="308"/>
      <c r="L106" s="311"/>
      <c r="M106" s="311"/>
      <c r="N106" s="674"/>
      <c r="O106" s="582"/>
      <c r="P106" s="583"/>
      <c r="Q106" s="342"/>
      <c r="R106" s="1004"/>
      <c r="S106" s="822"/>
      <c r="T106" s="60"/>
      <c r="W106" s="698" t="str">
        <f>IF(File_Single&lt;&gt;"",X105,IF(File_Marr_Joint&lt;&gt;"",Y105,IF(File_Marr_Sep&lt;&gt;"", Z105,IF(File_Head&lt;&gt;"",AA105,IF(File_Qual_Widow&lt;&gt;"",Y105,"Filing status?")))))</f>
        <v>Filing status?</v>
      </c>
      <c r="X106" s="696" t="str">
        <f>"&lt;100k"</f>
        <v>&lt;100k</v>
      </c>
      <c r="Y106" s="1308"/>
      <c r="Z106" s="1308"/>
      <c r="AA106" s="1308"/>
      <c r="AB106" s="1308"/>
      <c r="AC106" s="1308"/>
      <c r="AD106" s="696"/>
      <c r="AE106" s="699"/>
    </row>
    <row r="107" spans="1:31" ht="13.5" thickBot="1">
      <c r="A107" s="401"/>
      <c r="B107" s="584"/>
      <c r="C107" s="587"/>
      <c r="D107" s="585"/>
      <c r="E107" s="585"/>
      <c r="F107" s="585"/>
      <c r="G107" s="586"/>
      <c r="H107" s="587"/>
      <c r="I107" s="587"/>
      <c r="J107" s="586"/>
      <c r="K107" s="586"/>
      <c r="L107" s="586"/>
      <c r="M107" s="586"/>
      <c r="N107" s="586"/>
      <c r="O107" s="586"/>
      <c r="P107" s="586"/>
      <c r="Q107" s="586"/>
      <c r="R107" s="1004"/>
      <c r="S107" s="822"/>
      <c r="T107" s="423"/>
      <c r="W107" s="697" t="str">
        <f>IF(File_Single&lt;&gt;"",AB105,IF(OR(File_Marr_Joint&lt;&gt;"",File_Qual_Widow&lt;&gt;""),AC105,IF(File_Marr_Sep&lt;&gt;"", AD105,IF(File_Head&lt;&gt;"",AE105,"Filing status?"))))</f>
        <v>Filing status?</v>
      </c>
      <c r="X107" s="847" t="str">
        <f>"&gt;=100k"</f>
        <v>&gt;=100k</v>
      </c>
      <c r="Y107" s="847"/>
      <c r="Z107" s="847"/>
      <c r="AA107" s="847"/>
      <c r="AB107" s="847"/>
      <c r="AC107" s="847"/>
      <c r="AD107" s="847"/>
      <c r="AE107" s="848"/>
    </row>
    <row r="108" spans="1:31" ht="16.5" thickTop="1">
      <c r="A108" s="37"/>
      <c r="B108" s="38"/>
      <c r="C108" s="38"/>
      <c r="D108" s="371"/>
      <c r="E108" s="371"/>
      <c r="F108" s="371"/>
      <c r="G108" s="37"/>
      <c r="H108" s="37"/>
      <c r="I108" s="37"/>
      <c r="J108" s="1851" t="s">
        <v>1651</v>
      </c>
      <c r="K108" s="175"/>
      <c r="L108" s="175"/>
      <c r="M108" s="175"/>
      <c r="N108" s="175"/>
      <c r="O108" s="175"/>
      <c r="P108" s="175"/>
      <c r="Q108" s="175"/>
      <c r="R108" s="773"/>
      <c r="S108" s="423"/>
      <c r="T108" s="423"/>
    </row>
    <row r="109" spans="1:31">
      <c r="A109" s="401"/>
      <c r="B109" s="1847"/>
      <c r="C109" s="1847"/>
      <c r="D109" s="1848"/>
      <c r="E109" s="1848"/>
      <c r="F109" s="1848"/>
      <c r="G109" s="1849"/>
      <c r="H109" s="1849"/>
      <c r="I109" s="1849"/>
      <c r="J109" s="1850"/>
      <c r="K109" s="1850"/>
      <c r="L109" s="1850"/>
      <c r="M109" s="175"/>
      <c r="N109" s="1850"/>
      <c r="O109" s="175"/>
      <c r="P109" s="175"/>
      <c r="Q109" s="175"/>
      <c r="R109" s="175"/>
      <c r="S109" s="423"/>
      <c r="T109" s="423"/>
    </row>
    <row r="110" spans="1:31" ht="13.5" thickBot="1">
      <c r="B110" s="6"/>
      <c r="C110" s="6"/>
      <c r="D110" s="23"/>
      <c r="E110" s="23"/>
      <c r="F110" s="23"/>
      <c r="G110" s="7"/>
      <c r="H110" s="7"/>
      <c r="I110" s="7"/>
      <c r="J110" s="8"/>
      <c r="K110" s="8"/>
      <c r="L110" s="8"/>
      <c r="M110" s="353"/>
      <c r="N110" s="8"/>
      <c r="O110" s="353"/>
      <c r="P110" s="353"/>
      <c r="Q110" s="353"/>
      <c r="R110" s="353"/>
      <c r="S110" s="11"/>
      <c r="T110" s="11"/>
    </row>
    <row r="111" spans="1:31" ht="14.25" thickTop="1" thickBot="1">
      <c r="D111" s="3787" t="s">
        <v>547</v>
      </c>
      <c r="E111" s="4120"/>
      <c r="F111" s="4120"/>
      <c r="G111" s="4120"/>
      <c r="H111" s="4121"/>
      <c r="I111" s="1016"/>
      <c r="J111" s="8"/>
      <c r="K111" s="8"/>
      <c r="L111" s="353"/>
      <c r="M111" s="8"/>
      <c r="N111" s="353"/>
      <c r="O111" s="353"/>
      <c r="P111" s="8"/>
      <c r="Q111" s="353"/>
      <c r="R111" s="11"/>
      <c r="S111" s="11"/>
      <c r="T111" s="11"/>
    </row>
    <row r="112" spans="1:31" ht="14.25" thickTop="1" thickBot="1">
      <c r="D112" s="23"/>
      <c r="E112" s="23"/>
      <c r="F112" s="7"/>
      <c r="G112" s="7"/>
      <c r="H112" s="8"/>
      <c r="I112" s="8"/>
      <c r="J112" s="8"/>
      <c r="K112" s="8"/>
      <c r="L112" s="353"/>
      <c r="M112" s="8"/>
      <c r="N112" s="353"/>
      <c r="O112" s="353"/>
      <c r="P112" s="8"/>
      <c r="Q112" s="353"/>
      <c r="R112" s="11"/>
      <c r="S112" s="11"/>
      <c r="T112" s="11"/>
    </row>
    <row r="113" spans="4:20" ht="14.25" thickTop="1" thickBot="1">
      <c r="D113" s="3787" t="s">
        <v>115</v>
      </c>
      <c r="E113" s="4120"/>
      <c r="F113" s="4120"/>
      <c r="G113" s="4120"/>
      <c r="H113" s="4121"/>
      <c r="I113" s="1016"/>
      <c r="J113" s="8"/>
      <c r="K113" s="8"/>
      <c r="L113" s="353"/>
      <c r="M113" s="8"/>
      <c r="N113" s="353"/>
      <c r="O113" s="353"/>
      <c r="P113" s="8"/>
      <c r="Q113" s="353"/>
      <c r="R113" s="11"/>
      <c r="T113" s="11"/>
    </row>
    <row r="114" spans="4:20" ht="13.5" thickTop="1"/>
  </sheetData>
  <sheetProtection password="F07E" sheet="1" objects="1" scenarios="1"/>
  <mergeCells count="6">
    <mergeCell ref="S32:S33"/>
    <mergeCell ref="D111:H111"/>
    <mergeCell ref="D113:H113"/>
    <mergeCell ref="B34:C34"/>
    <mergeCell ref="B36:C36"/>
    <mergeCell ref="D45:H45"/>
  </mergeCells>
  <phoneticPr fontId="12" type="noConversion"/>
  <conditionalFormatting sqref="G12:M23 B13:F24 G24:N25 B4:O4 Q4:R25 O5:P25 E11:M11 B12:C12 E12:F12 B5:M10">
    <cfRule type="expression" dxfId="786" priority="18" stopIfTrue="1">
      <formula>IF($R$27&lt;&gt;"",1,0)</formula>
    </cfRule>
  </conditionalFormatting>
  <conditionalFormatting sqref="S31">
    <cfRule type="cellIs" dxfId="785" priority="20" stopIfTrue="1" operator="equal">
      <formula>"Yes"</formula>
    </cfRule>
  </conditionalFormatting>
  <conditionalFormatting sqref="B36:C36">
    <cfRule type="expression" dxfId="784" priority="23" stopIfTrue="1">
      <formula>IF(U36&gt;0,1,0)</formula>
    </cfRule>
  </conditionalFormatting>
  <conditionalFormatting sqref="E36">
    <cfRule type="expression" dxfId="783" priority="15" stopIfTrue="1">
      <formula>IF($U36&gt;0,TRUE,FALSE)</formula>
    </cfRule>
  </conditionalFormatting>
  <conditionalFormatting sqref="B11:C11">
    <cfRule type="expression" dxfId="782" priority="12" stopIfTrue="1">
      <formula>IF($R$27&lt;&gt;"",1,0)</formula>
    </cfRule>
  </conditionalFormatting>
  <conditionalFormatting sqref="C33">
    <cfRule type="expression" dxfId="781" priority="10">
      <formula>IF(OR($U34&gt;0,$U35&gt;0,$U36&gt;0),TRUE,FALSE)</formula>
    </cfRule>
  </conditionalFormatting>
  <conditionalFormatting sqref="C30">
    <cfRule type="expression" dxfId="780" priority="9">
      <formula>IF($U33&gt;0,1,0)</formula>
    </cfRule>
  </conditionalFormatting>
  <conditionalFormatting sqref="E34">
    <cfRule type="expression" dxfId="779" priority="8">
      <formula>IF(OR($U34&gt;0,$U35&gt;0),TRUE,FALSE)</formula>
    </cfRule>
  </conditionalFormatting>
  <conditionalFormatting sqref="B30">
    <cfRule type="expression" dxfId="778" priority="7">
      <formula>IF($U33&gt;0,1,0)</formula>
    </cfRule>
  </conditionalFormatting>
  <conditionalFormatting sqref="B34:C34">
    <cfRule type="expression" dxfId="777" priority="6">
      <formula>IF(OR(U34&gt;0,U35&gt;0),1,0)</formula>
    </cfRule>
  </conditionalFormatting>
  <conditionalFormatting sqref="P4">
    <cfRule type="expression" dxfId="776" priority="5" stopIfTrue="1">
      <formula>IF($R$27&lt;&gt;"",1,0)</formula>
    </cfRule>
  </conditionalFormatting>
  <conditionalFormatting sqref="D11">
    <cfRule type="expression" dxfId="775" priority="4" stopIfTrue="1">
      <formula>IF($R$27&lt;&gt;"",1,0)</formula>
    </cfRule>
  </conditionalFormatting>
  <conditionalFormatting sqref="D12">
    <cfRule type="expression" dxfId="774" priority="3" stopIfTrue="1">
      <formula>IF($R$27&lt;&gt;"",1,0)</formula>
    </cfRule>
  </conditionalFormatting>
  <conditionalFormatting sqref="B4:M24">
    <cfRule type="expression" dxfId="773" priority="2">
      <formula>IF(NoColor,1,0)</formula>
    </cfRule>
  </conditionalFormatting>
  <conditionalFormatting sqref="N4:Q24">
    <cfRule type="expression" dxfId="772" priority="1">
      <formula>IF(NoColor,1,0)</formula>
    </cfRule>
  </conditionalFormatting>
  <hyperlinks>
    <hyperlink ref="D111:H111" r:id="rId1" display="Download Form 1040 Schedule D"/>
    <hyperlink ref="D113:H113" r:id="rId2" display="Download Form 1040 Schedule D Instructions"/>
  </hyperlinks>
  <printOptions horizontalCentered="1"/>
  <pageMargins left="0.44" right="0.49" top="0.49" bottom="0.25" header="0.39" footer="0.25"/>
  <pageSetup scale="77" fitToHeight="0" orientation="portrait" horizontalDpi="120" verticalDpi="144" r:id="rId3"/>
  <headerFooter alignWithMargins="0"/>
  <rowBreaks count="1" manualBreakCount="1">
    <brk id="26" min="1" max="16" man="1"/>
  </rowBreaks>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R67"/>
  <sheetViews>
    <sheetView zoomScaleNormal="100" workbookViewId="0">
      <selection activeCell="N11" sqref="N11"/>
    </sheetView>
  </sheetViews>
  <sheetFormatPr defaultRowHeight="12.75"/>
  <cols>
    <col min="1" max="1" width="2.140625" customWidth="1"/>
    <col min="2" max="2" width="5.140625" customWidth="1"/>
    <col min="3" max="3" width="7.85546875" customWidth="1"/>
    <col min="4" max="4" width="10.42578125" customWidth="1"/>
    <col min="5" max="5" width="9.85546875" customWidth="1"/>
    <col min="6" max="6" width="4.42578125" customWidth="1"/>
    <col min="7" max="7" width="10.85546875" customWidth="1"/>
    <col min="8" max="8" width="5.7109375" customWidth="1"/>
    <col min="9" max="9" width="14.7109375" customWidth="1"/>
    <col min="10" max="10" width="4.7109375" customWidth="1"/>
    <col min="11" max="11" width="14.7109375" customWidth="1"/>
    <col min="12" max="12" width="4.7109375" customWidth="1"/>
    <col min="13" max="13" width="4.140625" customWidth="1"/>
    <col min="14" max="14" width="3.7109375" customWidth="1"/>
    <col min="15" max="15" width="4.140625" customWidth="1"/>
    <col min="16" max="16" width="4" customWidth="1"/>
    <col min="17" max="17" width="4.140625" customWidth="1"/>
    <col min="18" max="18" width="1.85546875" customWidth="1"/>
    <col min="19" max="19" width="1.42578125" customWidth="1"/>
    <col min="20" max="20" width="2.5703125" style="68" customWidth="1"/>
    <col min="21" max="27" width="2.42578125" style="68" customWidth="1"/>
    <col min="28" max="29" width="2.42578125" customWidth="1"/>
    <col min="30" max="30" width="2.5703125" customWidth="1"/>
    <col min="31" max="31" width="3" customWidth="1"/>
    <col min="32" max="32" width="3.42578125" customWidth="1"/>
    <col min="33" max="33" width="3" customWidth="1"/>
    <col min="34" max="34" width="16" hidden="1" customWidth="1"/>
    <col min="35" max="40" width="8.7109375" hidden="1" customWidth="1"/>
    <col min="41" max="43" width="9.140625" customWidth="1"/>
  </cols>
  <sheetData>
    <row r="1" spans="1:40" ht="15" customHeight="1">
      <c r="A1" s="2968"/>
      <c r="B1" s="4385"/>
      <c r="C1" s="4385"/>
      <c r="D1" s="4385"/>
      <c r="E1" s="3226"/>
      <c r="F1" s="942"/>
      <c r="G1" s="942"/>
      <c r="H1" s="942"/>
      <c r="I1" s="942"/>
      <c r="J1" s="942"/>
      <c r="K1" s="942"/>
      <c r="L1" s="942"/>
      <c r="M1" s="942"/>
      <c r="N1" s="942"/>
      <c r="O1" s="942"/>
      <c r="P1" s="942"/>
      <c r="Q1" s="942"/>
      <c r="R1" s="942"/>
      <c r="S1" s="401"/>
    </row>
    <row r="2" spans="1:40" ht="10.5" customHeight="1">
      <c r="A2" s="942"/>
      <c r="B2" s="37"/>
      <c r="C2" s="37"/>
      <c r="D2" s="242"/>
      <c r="E2" s="2115"/>
      <c r="F2" s="37"/>
      <c r="G2" s="37"/>
      <c r="H2" s="37"/>
      <c r="I2" s="37"/>
      <c r="J2" s="37"/>
      <c r="K2" s="37"/>
      <c r="L2" s="37"/>
      <c r="M2" s="37"/>
      <c r="N2" s="4139" t="s">
        <v>257</v>
      </c>
      <c r="O2" s="4319"/>
      <c r="P2" s="4319"/>
      <c r="Q2" s="4319"/>
      <c r="R2" s="135"/>
      <c r="S2" s="46"/>
      <c r="AB2" s="68"/>
      <c r="AC2" s="68"/>
      <c r="AD2" s="68"/>
    </row>
    <row r="3" spans="1:40" ht="24" customHeight="1">
      <c r="A3" s="942"/>
      <c r="B3" s="4386" t="s">
        <v>1361</v>
      </c>
      <c r="C3" s="4387"/>
      <c r="D3" s="4388"/>
      <c r="E3" s="2115"/>
      <c r="F3" s="2116"/>
      <c r="G3" s="197"/>
      <c r="H3" s="1570"/>
      <c r="I3" s="2117" t="s">
        <v>1362</v>
      </c>
      <c r="J3" s="2118"/>
      <c r="K3" s="2118"/>
      <c r="L3" s="197"/>
      <c r="M3" s="197"/>
      <c r="N3" s="4389">
        <f>TaxYear</f>
        <v>2014</v>
      </c>
      <c r="O3" s="3889"/>
      <c r="P3" s="3889"/>
      <c r="Q3" s="3889"/>
      <c r="R3" s="2119"/>
      <c r="S3" s="2120"/>
      <c r="AB3" s="68"/>
      <c r="AC3" s="68"/>
      <c r="AD3" s="68"/>
    </row>
    <row r="4" spans="1:40" ht="15" customHeight="1">
      <c r="A4" s="942"/>
      <c r="B4" s="4386" t="s">
        <v>1363</v>
      </c>
      <c r="C4" s="4387"/>
      <c r="D4" s="4388"/>
      <c r="E4" s="2115"/>
      <c r="F4" s="2121"/>
      <c r="G4" s="2122"/>
      <c r="H4" s="2123"/>
      <c r="I4" s="2125" t="str">
        <f>"(From rental real estate, royalties, partnerships, S corporations, estates, trusts, REMICs, etc.)"</f>
        <v>(From rental real estate, royalties, partnerships, S corporations, estates, trusts, REMICs, etc.)</v>
      </c>
      <c r="J4" s="197"/>
      <c r="K4" s="197"/>
      <c r="L4" s="197"/>
      <c r="M4" s="197"/>
      <c r="N4" s="3973"/>
      <c r="O4" s="3889"/>
      <c r="P4" s="3889"/>
      <c r="Q4" s="3889"/>
      <c r="R4" s="2124"/>
      <c r="S4" s="34"/>
      <c r="AB4" s="68"/>
      <c r="AC4" s="68"/>
      <c r="AD4" s="68"/>
    </row>
    <row r="5" spans="1:40" ht="12.75" customHeight="1">
      <c r="A5" s="942"/>
      <c r="B5" s="4390" t="s">
        <v>303</v>
      </c>
      <c r="C5" s="3889"/>
      <c r="D5" s="4218"/>
      <c r="E5" s="196"/>
      <c r="F5" s="366"/>
      <c r="G5" s="366"/>
      <c r="H5" s="438"/>
      <c r="I5" s="2704" t="s">
        <v>1429</v>
      </c>
      <c r="J5" s="196"/>
      <c r="K5" s="196"/>
      <c r="L5" s="196"/>
      <c r="M5" s="196"/>
      <c r="N5" s="1783"/>
      <c r="O5" s="4390" t="s">
        <v>304</v>
      </c>
      <c r="P5" s="4390"/>
      <c r="Q5" s="4390"/>
      <c r="R5" s="2124"/>
      <c r="S5" s="34"/>
      <c r="T5" s="313"/>
      <c r="U5" s="313"/>
      <c r="V5" s="313"/>
      <c r="W5" s="313"/>
      <c r="X5" s="313"/>
      <c r="Y5" s="313"/>
      <c r="Z5" s="313"/>
      <c r="AA5" s="313"/>
      <c r="AB5" s="313"/>
      <c r="AC5" s="313"/>
      <c r="AD5" s="313"/>
    </row>
    <row r="6" spans="1:40" ht="12.75" customHeight="1" thickBot="1">
      <c r="A6" s="942"/>
      <c r="B6" s="4391" t="s">
        <v>1364</v>
      </c>
      <c r="C6" s="4392"/>
      <c r="D6" s="4393"/>
      <c r="E6" s="4400" t="s">
        <v>1678</v>
      </c>
      <c r="F6" s="4401"/>
      <c r="G6" s="4401"/>
      <c r="H6" s="4401"/>
      <c r="I6" s="4401"/>
      <c r="J6" s="4401"/>
      <c r="K6" s="4401"/>
      <c r="L6" s="4401"/>
      <c r="M6" s="4402"/>
      <c r="N6" s="2126"/>
      <c r="O6" s="228" t="s">
        <v>1365</v>
      </c>
      <c r="P6" s="228"/>
      <c r="Q6" s="34"/>
      <c r="R6" s="2124"/>
      <c r="S6" s="34"/>
      <c r="AB6" s="68"/>
      <c r="AC6" s="68"/>
      <c r="AD6" s="68"/>
    </row>
    <row r="7" spans="1:40" ht="11.25" customHeight="1">
      <c r="A7" s="942"/>
      <c r="B7" s="440" t="s">
        <v>100</v>
      </c>
      <c r="C7" s="231"/>
      <c r="D7" s="196"/>
      <c r="E7" s="198"/>
      <c r="F7" s="2127"/>
      <c r="G7" s="198"/>
      <c r="H7" s="2128"/>
      <c r="I7" s="2129"/>
      <c r="J7" s="2127"/>
      <c r="K7" s="2127"/>
      <c r="L7" s="4288" t="s">
        <v>151</v>
      </c>
      <c r="M7" s="4413"/>
      <c r="N7" s="4413"/>
      <c r="O7" s="4413"/>
      <c r="P7" s="4413"/>
      <c r="Q7" s="4413"/>
      <c r="R7" s="1066"/>
      <c r="S7" s="340"/>
      <c r="AB7" s="68"/>
      <c r="AC7" s="68"/>
      <c r="AD7" s="68"/>
    </row>
    <row r="8" spans="1:40" ht="14.25" customHeight="1">
      <c r="A8" s="942"/>
      <c r="B8" s="4358" t="str">
        <f>Names</f>
        <v/>
      </c>
      <c r="C8" s="4359"/>
      <c r="D8" s="4359"/>
      <c r="E8" s="4359"/>
      <c r="F8" s="4359"/>
      <c r="G8" s="4359"/>
      <c r="H8" s="4359"/>
      <c r="I8" s="4359"/>
      <c r="J8" s="4359"/>
      <c r="K8" s="4360"/>
      <c r="L8" s="4411">
        <f>SS_Yours</f>
        <v>0</v>
      </c>
      <c r="M8" s="4412"/>
      <c r="N8" s="4412"/>
      <c r="O8" s="4412"/>
      <c r="P8" s="4412"/>
      <c r="Q8" s="4412"/>
      <c r="R8" s="2130"/>
      <c r="S8" s="2131"/>
      <c r="AB8" s="68"/>
      <c r="AC8" s="68"/>
      <c r="AD8" s="68"/>
    </row>
    <row r="9" spans="1:40">
      <c r="A9" s="942"/>
      <c r="B9" s="2132" t="s">
        <v>93</v>
      </c>
      <c r="C9" s="325" t="s">
        <v>1366</v>
      </c>
      <c r="D9" s="197"/>
      <c r="E9" s="197"/>
      <c r="F9" s="197"/>
      <c r="G9" s="197"/>
      <c r="H9" s="197"/>
      <c r="I9" s="2122" t="s">
        <v>1367</v>
      </c>
      <c r="J9" s="197"/>
      <c r="K9" s="197"/>
      <c r="L9" s="197"/>
      <c r="M9" s="197"/>
      <c r="N9" s="197"/>
      <c r="O9" s="242"/>
      <c r="P9" s="196"/>
      <c r="Q9" s="196"/>
      <c r="R9" s="2133"/>
      <c r="S9" s="196"/>
      <c r="AB9" s="68"/>
      <c r="AC9" s="68"/>
      <c r="AD9" s="68"/>
    </row>
    <row r="10" spans="1:40">
      <c r="A10" s="942"/>
      <c r="B10" s="28"/>
      <c r="C10" s="218" t="s">
        <v>2168</v>
      </c>
      <c r="D10" s="28"/>
      <c r="E10" s="28"/>
      <c r="F10" s="28"/>
      <c r="G10" s="28"/>
      <c r="H10" s="28"/>
      <c r="I10" s="28"/>
      <c r="J10" s="28"/>
      <c r="K10" s="28"/>
      <c r="L10" s="28"/>
      <c r="M10" s="28"/>
      <c r="N10" s="28"/>
      <c r="O10" s="28"/>
      <c r="P10" s="28"/>
      <c r="Q10" s="28"/>
      <c r="R10" s="2133"/>
      <c r="S10" s="196"/>
      <c r="AB10" s="68"/>
      <c r="AC10" s="68"/>
      <c r="AD10" s="68"/>
    </row>
    <row r="11" spans="1:40" ht="14.25" customHeight="1">
      <c r="A11" s="942"/>
      <c r="B11" s="2216" t="s">
        <v>242</v>
      </c>
      <c r="C11" s="2214" t="str">
        <f>"Did you make any payments in "&amp;TaxYear&amp;" that would require you to file Form(s) 1099? (see instructions)"</f>
        <v>Did you make any payments in 2014 that would require you to file Form(s) 1099? (see instructions)</v>
      </c>
      <c r="D11" s="2214"/>
      <c r="E11" s="2214"/>
      <c r="F11" s="2214"/>
      <c r="G11" s="2214"/>
      <c r="H11" s="2214"/>
      <c r="I11" s="2214"/>
      <c r="J11" s="2214"/>
      <c r="K11" s="2214"/>
      <c r="L11" s="2214"/>
      <c r="M11" s="2215"/>
      <c r="N11" s="2722"/>
      <c r="O11" s="2219" t="s">
        <v>460</v>
      </c>
      <c r="P11" s="2722"/>
      <c r="Q11" s="2219" t="s">
        <v>461</v>
      </c>
      <c r="R11" s="2130"/>
      <c r="S11" s="2131"/>
      <c r="AB11" s="68"/>
      <c r="AC11" s="68"/>
      <c r="AD11" s="68"/>
    </row>
    <row r="12" spans="1:40" ht="14.25" customHeight="1" thickBot="1">
      <c r="A12" s="942"/>
      <c r="B12" s="2217" t="s">
        <v>490</v>
      </c>
      <c r="C12" s="2218" t="s">
        <v>1430</v>
      </c>
      <c r="D12" s="2218"/>
      <c r="E12" s="2218"/>
      <c r="F12" s="2218"/>
      <c r="G12" s="2218"/>
      <c r="H12" s="2218"/>
      <c r="I12" s="2218"/>
      <c r="J12" s="2218"/>
      <c r="K12" s="2218"/>
      <c r="L12" s="2218"/>
      <c r="M12" s="2221" t="str">
        <f>IF(OR(AND(N11&lt;&gt;"",P11&lt;&gt;""),AND(N12&lt;&gt;"",P12&lt;&gt;"")),"Check only one box.","")</f>
        <v/>
      </c>
      <c r="N12" s="2723"/>
      <c r="O12" s="2220" t="s">
        <v>460</v>
      </c>
      <c r="P12" s="2723"/>
      <c r="Q12" s="2220" t="s">
        <v>461</v>
      </c>
      <c r="R12" s="2130"/>
      <c r="S12" s="2131"/>
      <c r="AB12" s="68"/>
      <c r="AC12" s="68"/>
      <c r="AD12" s="68"/>
    </row>
    <row r="13" spans="1:40" ht="15" customHeight="1">
      <c r="A13" s="942"/>
      <c r="B13" s="2709" t="s">
        <v>19</v>
      </c>
      <c r="C13" s="4428" t="s">
        <v>1587</v>
      </c>
      <c r="D13" s="4429"/>
      <c r="E13" s="4430"/>
      <c r="F13" s="4430"/>
      <c r="G13" s="4430"/>
      <c r="H13" s="4430"/>
      <c r="I13" s="4430"/>
      <c r="J13" s="4430"/>
      <c r="K13" s="4430"/>
      <c r="L13" s="4430"/>
      <c r="M13" s="4430"/>
      <c r="N13" s="4430"/>
      <c r="O13" s="4430"/>
      <c r="P13" s="4430"/>
      <c r="Q13" s="4430"/>
      <c r="R13" s="2133"/>
      <c r="S13" s="1762"/>
      <c r="AB13" s="68"/>
      <c r="AC13" s="68"/>
      <c r="AD13" s="68"/>
    </row>
    <row r="14" spans="1:40" ht="15" customHeight="1">
      <c r="A14" s="942"/>
      <c r="B14" s="2705" t="s">
        <v>242</v>
      </c>
      <c r="C14" s="4431"/>
      <c r="D14" s="4432"/>
      <c r="E14" s="4433"/>
      <c r="F14" s="4433"/>
      <c r="G14" s="4433"/>
      <c r="H14" s="4433"/>
      <c r="I14" s="4433"/>
      <c r="J14" s="4433"/>
      <c r="K14" s="4433"/>
      <c r="L14" s="4433"/>
      <c r="M14" s="4433"/>
      <c r="N14" s="4433"/>
      <c r="O14" s="4433"/>
      <c r="P14" s="4433"/>
      <c r="Q14" s="4433"/>
      <c r="R14" s="2133"/>
      <c r="S14" s="1762"/>
      <c r="AB14" s="68"/>
      <c r="AC14" s="68"/>
      <c r="AD14" s="68"/>
      <c r="AH14" s="3366"/>
      <c r="AI14" s="1334"/>
      <c r="AJ14" s="1334"/>
      <c r="AK14" s="2757"/>
      <c r="AL14" s="2757"/>
      <c r="AM14" s="2757"/>
      <c r="AN14" s="2757"/>
    </row>
    <row r="15" spans="1:40" ht="15" customHeight="1">
      <c r="A15" s="942"/>
      <c r="B15" s="2705" t="s">
        <v>490</v>
      </c>
      <c r="C15" s="4431"/>
      <c r="D15" s="4432"/>
      <c r="E15" s="4433"/>
      <c r="F15" s="4433"/>
      <c r="G15" s="4433"/>
      <c r="H15" s="4433"/>
      <c r="I15" s="4433"/>
      <c r="J15" s="4433"/>
      <c r="K15" s="4433"/>
      <c r="L15" s="4433"/>
      <c r="M15" s="4433"/>
      <c r="N15" s="4433"/>
      <c r="O15" s="4433"/>
      <c r="P15" s="4433"/>
      <c r="Q15" s="4433"/>
      <c r="R15" s="2133"/>
      <c r="S15" s="1762"/>
      <c r="AB15" s="68"/>
      <c r="AC15" s="68"/>
      <c r="AD15" s="68"/>
      <c r="AH15" s="3670">
        <v>1</v>
      </c>
      <c r="AI15" s="3365" t="s">
        <v>2377</v>
      </c>
      <c r="AJ15" s="1334"/>
      <c r="AK15" s="1334"/>
      <c r="AL15" s="2757"/>
      <c r="AM15" s="2757"/>
      <c r="AN15" s="2757"/>
    </row>
    <row r="16" spans="1:40" ht="15" customHeight="1">
      <c r="A16" s="942"/>
      <c r="B16" s="2705" t="s">
        <v>243</v>
      </c>
      <c r="C16" s="4431"/>
      <c r="D16" s="4432"/>
      <c r="E16" s="4433"/>
      <c r="F16" s="4433"/>
      <c r="G16" s="4433"/>
      <c r="H16" s="4433"/>
      <c r="I16" s="4433"/>
      <c r="J16" s="4433"/>
      <c r="K16" s="4433"/>
      <c r="L16" s="4433"/>
      <c r="M16" s="4433"/>
      <c r="N16" s="4433"/>
      <c r="O16" s="4433"/>
      <c r="P16" s="4433"/>
      <c r="Q16" s="4433"/>
      <c r="R16" s="2133"/>
      <c r="S16" s="1762"/>
      <c r="AB16" s="68"/>
      <c r="AC16" s="68"/>
      <c r="AD16" s="68"/>
      <c r="AF16" s="456"/>
      <c r="AG16" s="456"/>
      <c r="AH16" s="3670">
        <v>2</v>
      </c>
      <c r="AI16" s="3365" t="s">
        <v>2378</v>
      </c>
      <c r="AJ16" s="1334"/>
      <c r="AK16" s="1334"/>
      <c r="AL16" s="2757"/>
      <c r="AM16" s="2757"/>
      <c r="AN16" s="2757"/>
    </row>
    <row r="17" spans="1:44" ht="29.25" customHeight="1">
      <c r="A17" s="942"/>
      <c r="B17" s="2710" t="s">
        <v>22</v>
      </c>
      <c r="C17" s="4451" t="s">
        <v>1586</v>
      </c>
      <c r="D17" s="4452"/>
      <c r="E17" s="2711" t="str">
        <f>"2   "</f>
        <v xml:space="preserve">2   </v>
      </c>
      <c r="F17" s="4440" t="s">
        <v>1589</v>
      </c>
      <c r="G17" s="4441"/>
      <c r="H17" s="4441"/>
      <c r="I17" s="4441"/>
      <c r="J17" s="2712"/>
      <c r="K17" s="2713" t="s">
        <v>1588</v>
      </c>
      <c r="L17" s="4434" t="s">
        <v>1432</v>
      </c>
      <c r="M17" s="4435"/>
      <c r="N17" s="4436"/>
      <c r="O17" s="4434" t="s">
        <v>1431</v>
      </c>
      <c r="P17" s="4435"/>
      <c r="Q17" s="4435"/>
      <c r="R17" s="2133"/>
      <c r="S17" s="438"/>
      <c r="AB17" s="68"/>
      <c r="AC17" s="68"/>
      <c r="AD17" s="68"/>
      <c r="AF17" s="456"/>
      <c r="AG17" s="456"/>
      <c r="AH17" s="3670">
        <v>3</v>
      </c>
      <c r="AI17" s="3365" t="s">
        <v>2379</v>
      </c>
      <c r="AJ17" s="1334"/>
      <c r="AK17" s="1334"/>
      <c r="AL17" s="2757"/>
      <c r="AM17" s="2757"/>
      <c r="AN17" s="2757"/>
    </row>
    <row r="18" spans="1:44" ht="14.25" customHeight="1">
      <c r="A18" s="942"/>
      <c r="B18" s="2222" t="s">
        <v>242</v>
      </c>
      <c r="C18" s="4403"/>
      <c r="D18" s="4404"/>
      <c r="E18" s="2706"/>
      <c r="F18" s="4441"/>
      <c r="G18" s="4441"/>
      <c r="H18" s="4441"/>
      <c r="I18" s="4441"/>
      <c r="J18" s="2708" t="s">
        <v>242</v>
      </c>
      <c r="K18" s="2845"/>
      <c r="L18" s="4437"/>
      <c r="M18" s="4438"/>
      <c r="N18" s="4439"/>
      <c r="O18" s="3223"/>
      <c r="P18" s="3367"/>
      <c r="Q18" s="3224"/>
      <c r="R18" s="2133"/>
      <c r="S18" s="335"/>
      <c r="T18" s="2758"/>
      <c r="U18" s="2758"/>
      <c r="V18" s="2758"/>
      <c r="W18" s="2758"/>
      <c r="X18" s="2758"/>
      <c r="Y18" s="2758"/>
      <c r="Z18" s="2758"/>
      <c r="AA18" s="2758"/>
      <c r="AB18" s="2758"/>
      <c r="AC18" s="2758"/>
      <c r="AD18" s="2758"/>
      <c r="AE18" s="2757"/>
      <c r="AF18" s="1334"/>
      <c r="AG18" s="1334"/>
      <c r="AH18" s="3670">
        <v>4</v>
      </c>
      <c r="AI18" s="3365" t="s">
        <v>2380</v>
      </c>
      <c r="AJ18" s="1334"/>
      <c r="AK18" s="1334"/>
      <c r="AL18" s="2757"/>
      <c r="AM18" s="2757"/>
      <c r="AN18" s="2757"/>
      <c r="AO18" s="2757"/>
      <c r="AP18" s="2757"/>
      <c r="AQ18" s="2757"/>
    </row>
    <row r="19" spans="1:44" ht="14.25" customHeight="1">
      <c r="A19" s="942"/>
      <c r="B19" s="2222" t="s">
        <v>490</v>
      </c>
      <c r="C19" s="4443"/>
      <c r="D19" s="4444"/>
      <c r="E19" s="2706"/>
      <c r="F19" s="4441"/>
      <c r="G19" s="4441"/>
      <c r="H19" s="4441"/>
      <c r="I19" s="4441"/>
      <c r="J19" s="2708" t="s">
        <v>490</v>
      </c>
      <c r="K19" s="2845"/>
      <c r="L19" s="4437"/>
      <c r="M19" s="4438"/>
      <c r="N19" s="4439"/>
      <c r="O19" s="3223"/>
      <c r="P19" s="3367"/>
      <c r="Q19" s="3224"/>
      <c r="R19" s="2133"/>
      <c r="S19" s="335"/>
      <c r="T19" s="2758"/>
      <c r="U19" s="2758"/>
      <c r="V19" s="2758"/>
      <c r="W19" s="2758"/>
      <c r="X19" s="2758"/>
      <c r="Y19" s="2758"/>
      <c r="Z19" s="2758"/>
      <c r="AA19" s="2758"/>
      <c r="AB19" s="2758"/>
      <c r="AC19" s="2758"/>
      <c r="AD19" s="2758"/>
      <c r="AE19" s="2757"/>
      <c r="AF19" s="3667"/>
      <c r="AG19" s="1334"/>
      <c r="AH19" s="3670">
        <v>5</v>
      </c>
      <c r="AI19" s="3365" t="s">
        <v>2381</v>
      </c>
      <c r="AJ19" s="2757"/>
      <c r="AK19" s="2757"/>
      <c r="AL19" s="2757"/>
      <c r="AM19" s="2757"/>
      <c r="AN19" s="2757"/>
      <c r="AO19" s="2757"/>
      <c r="AP19" s="2757"/>
      <c r="AQ19" s="2757"/>
      <c r="AR19" s="2757"/>
    </row>
    <row r="20" spans="1:44" ht="14.25" customHeight="1">
      <c r="A20" s="942"/>
      <c r="B20" s="2222" t="s">
        <v>243</v>
      </c>
      <c r="C20" s="4449"/>
      <c r="D20" s="4450"/>
      <c r="E20" s="2707"/>
      <c r="F20" s="4442"/>
      <c r="G20" s="4442"/>
      <c r="H20" s="4442"/>
      <c r="I20" s="4442"/>
      <c r="J20" s="2708" t="s">
        <v>243</v>
      </c>
      <c r="K20" s="2845"/>
      <c r="L20" s="4437"/>
      <c r="M20" s="4438"/>
      <c r="N20" s="4439"/>
      <c r="O20" s="3223"/>
      <c r="P20" s="3367"/>
      <c r="Q20" s="3224"/>
      <c r="R20" s="2133"/>
      <c r="S20" s="335"/>
      <c r="T20" s="2758"/>
      <c r="U20" s="2758"/>
      <c r="V20" s="2758"/>
      <c r="W20" s="2758"/>
      <c r="X20" s="2758"/>
      <c r="Y20" s="2758"/>
      <c r="Z20" s="2758"/>
      <c r="AA20" s="2758"/>
      <c r="AB20" s="2758"/>
      <c r="AC20" s="2758"/>
      <c r="AD20" s="2758"/>
      <c r="AE20" s="2757"/>
      <c r="AF20" s="3667"/>
      <c r="AG20" s="1334"/>
      <c r="AH20" s="3670">
        <v>6</v>
      </c>
      <c r="AI20" s="3365" t="s">
        <v>2382</v>
      </c>
      <c r="AJ20" s="2757"/>
      <c r="AK20" s="2757"/>
      <c r="AL20" s="2757"/>
      <c r="AM20" s="2757"/>
      <c r="AN20" s="2757"/>
      <c r="AO20" s="2757"/>
      <c r="AP20" s="2757"/>
      <c r="AQ20" s="2757"/>
      <c r="AR20" s="2757"/>
    </row>
    <row r="21" spans="1:44" ht="13.5" customHeight="1">
      <c r="A21" s="942"/>
      <c r="B21" s="233" t="s">
        <v>1433</v>
      </c>
      <c r="C21" s="307"/>
      <c r="D21" s="80"/>
      <c r="E21" s="80"/>
      <c r="F21" s="80"/>
      <c r="G21" s="80"/>
      <c r="H21" s="80"/>
      <c r="I21" s="80"/>
      <c r="J21" s="2223"/>
      <c r="K21" s="2223"/>
      <c r="L21" s="2714"/>
      <c r="M21" s="2715"/>
      <c r="N21" s="2715"/>
      <c r="O21" s="2715"/>
      <c r="P21" s="2715"/>
      <c r="Q21" s="2715"/>
      <c r="R21" s="2133"/>
      <c r="S21" s="335"/>
      <c r="T21" s="2758"/>
      <c r="U21" s="2758"/>
      <c r="V21" s="2758"/>
      <c r="W21" s="2758"/>
      <c r="X21" s="2758"/>
      <c r="Y21" s="2758"/>
      <c r="Z21" s="2758"/>
      <c r="AA21" s="2758"/>
      <c r="AB21" s="2758"/>
      <c r="AC21" s="2758"/>
      <c r="AD21" s="2758"/>
      <c r="AE21" s="2757"/>
      <c r="AF21" s="3667"/>
      <c r="AG21" s="1334"/>
      <c r="AH21" s="3670">
        <v>7</v>
      </c>
      <c r="AI21" s="3365" t="s">
        <v>2383</v>
      </c>
      <c r="AJ21" s="2757">
        <f>IF($C18&lt;&gt;6,I25,0)</f>
        <v>0</v>
      </c>
      <c r="AK21" s="3364">
        <f>IF($C19&lt;&gt;6,K25,0)</f>
        <v>0</v>
      </c>
      <c r="AL21" s="3364">
        <f>IF($C20&lt;&gt;6,M25,0)</f>
        <v>0</v>
      </c>
      <c r="AM21" s="2757">
        <f>SUM(AJ21:AL21)</f>
        <v>0</v>
      </c>
      <c r="AN21" s="2757"/>
      <c r="AO21" s="2757"/>
      <c r="AP21" s="2757"/>
      <c r="AQ21" s="2757"/>
      <c r="AR21" s="2757"/>
    </row>
    <row r="22" spans="1:44" ht="12" customHeight="1">
      <c r="A22" s="942"/>
      <c r="B22" s="307" t="s">
        <v>1434</v>
      </c>
      <c r="C22" s="307"/>
      <c r="D22" s="80"/>
      <c r="E22" s="307" t="s">
        <v>1435</v>
      </c>
      <c r="F22" s="80"/>
      <c r="G22" s="80"/>
      <c r="H22" s="307"/>
      <c r="I22" s="307" t="s">
        <v>1436</v>
      </c>
      <c r="J22" s="307" t="s">
        <v>1437</v>
      </c>
      <c r="K22" s="2223"/>
      <c r="L22" s="4382"/>
      <c r="M22" s="4382"/>
      <c r="N22" s="4382"/>
      <c r="O22" s="4382"/>
      <c r="P22" s="4382"/>
      <c r="Q22" s="4382"/>
      <c r="R22" s="2133"/>
      <c r="S22" s="335"/>
      <c r="T22" s="2758"/>
      <c r="U22" s="2758"/>
      <c r="V22" s="2758"/>
      <c r="W22" s="2758"/>
      <c r="X22" s="2758"/>
      <c r="Y22" s="2758"/>
      <c r="Z22" s="2758"/>
      <c r="AA22" s="2758"/>
      <c r="AB22" s="2758"/>
      <c r="AC22" s="2758"/>
      <c r="AD22" s="2758"/>
      <c r="AE22" s="2757"/>
      <c r="AF22" s="3667"/>
      <c r="AG22" s="1334"/>
      <c r="AH22" s="3670">
        <v>8</v>
      </c>
      <c r="AI22" s="3365" t="s">
        <v>689</v>
      </c>
      <c r="AJ22" s="3364">
        <f>IF($C18=6,I26,0)</f>
        <v>0</v>
      </c>
      <c r="AK22" s="3364">
        <f>IF($C19=6,K26,0)</f>
        <v>0</v>
      </c>
      <c r="AL22" s="3364">
        <f>IF($C20=6,M26,0)</f>
        <v>0</v>
      </c>
      <c r="AM22" s="3364">
        <f>SUM(AJ22:AL22)</f>
        <v>0</v>
      </c>
      <c r="AN22" s="2757"/>
      <c r="AO22" s="2757"/>
      <c r="AP22" s="2757"/>
      <c r="AQ22" s="2757"/>
      <c r="AR22" s="2757"/>
    </row>
    <row r="23" spans="1:44" ht="12" customHeight="1">
      <c r="A23" s="942"/>
      <c r="B23" s="447" t="s">
        <v>1438</v>
      </c>
      <c r="C23" s="447"/>
      <c r="D23" s="2224"/>
      <c r="E23" s="447" t="s">
        <v>1439</v>
      </c>
      <c r="F23" s="2224"/>
      <c r="G23" s="2224"/>
      <c r="H23" s="447"/>
      <c r="I23" s="447" t="s">
        <v>1440</v>
      </c>
      <c r="J23" s="447" t="s">
        <v>1441</v>
      </c>
      <c r="K23" s="2225"/>
      <c r="L23" s="4383"/>
      <c r="M23" s="4383"/>
      <c r="N23" s="4383"/>
      <c r="O23" s="4383"/>
      <c r="P23" s="4383"/>
      <c r="Q23" s="4383"/>
      <c r="R23" s="2133"/>
      <c r="S23" s="335"/>
      <c r="T23" s="2758"/>
      <c r="U23" s="2758"/>
      <c r="V23" s="2758"/>
      <c r="W23" s="2758"/>
      <c r="X23" s="2758"/>
      <c r="Y23" s="2758"/>
      <c r="Z23" s="2758"/>
      <c r="AA23" s="2758"/>
      <c r="AB23" s="2758"/>
      <c r="AC23" s="2758"/>
      <c r="AD23" s="2758"/>
      <c r="AE23" s="2757"/>
      <c r="AF23" s="3667"/>
      <c r="AG23" s="2757"/>
      <c r="AH23" s="3670"/>
      <c r="AI23" s="3365"/>
      <c r="AJ23" s="3667"/>
      <c r="AK23" s="3667"/>
      <c r="AL23" s="3667"/>
      <c r="AM23" s="3667"/>
      <c r="AN23" s="3667"/>
      <c r="AO23" s="2757"/>
      <c r="AP23" s="2757"/>
      <c r="AQ23" s="2757"/>
      <c r="AR23" s="2757"/>
    </row>
    <row r="24" spans="1:44" ht="9.75" customHeight="1">
      <c r="A24" s="942"/>
      <c r="B24" s="4408" t="s">
        <v>1591</v>
      </c>
      <c r="C24" s="4409"/>
      <c r="D24" s="4410"/>
      <c r="E24" s="4405" t="s">
        <v>1590</v>
      </c>
      <c r="F24" s="4406"/>
      <c r="G24" s="4406"/>
      <c r="H24" s="4407"/>
      <c r="I24" s="4396" t="s">
        <v>242</v>
      </c>
      <c r="J24" s="4397"/>
      <c r="K24" s="4396" t="s">
        <v>490</v>
      </c>
      <c r="L24" s="4397"/>
      <c r="M24" s="4447" t="s">
        <v>243</v>
      </c>
      <c r="N24" s="4448"/>
      <c r="O24" s="4448"/>
      <c r="P24" s="4448"/>
      <c r="Q24" s="4448"/>
      <c r="R24" s="2133"/>
      <c r="S24" s="335"/>
      <c r="T24" s="2758"/>
      <c r="U24" s="2758"/>
      <c r="V24" s="2758"/>
      <c r="W24" s="2758"/>
      <c r="X24" s="2758"/>
      <c r="Y24" s="2758"/>
      <c r="Z24" s="2758"/>
      <c r="AA24" s="2758"/>
      <c r="AB24" s="2758"/>
      <c r="AC24" s="2758"/>
      <c r="AD24" s="2758"/>
      <c r="AE24" s="2757"/>
      <c r="AF24" s="3667"/>
      <c r="AG24" s="2757"/>
      <c r="AH24" s="3670"/>
      <c r="AI24" s="3365"/>
      <c r="AJ24" s="3667"/>
      <c r="AK24" s="3667"/>
      <c r="AL24" s="3667"/>
      <c r="AM24" s="3667"/>
      <c r="AN24" s="3667"/>
      <c r="AO24" s="2757"/>
      <c r="AP24" s="2757"/>
      <c r="AQ24" s="2757"/>
      <c r="AR24" s="2757"/>
    </row>
    <row r="25" spans="1:44" ht="13.5" customHeight="1">
      <c r="A25" s="942"/>
      <c r="B25" s="3225">
        <v>3</v>
      </c>
      <c r="C25" s="2717" t="s">
        <v>1592</v>
      </c>
      <c r="D25" s="2717"/>
      <c r="E25" s="2717"/>
      <c r="F25" s="2717"/>
      <c r="G25" s="2718"/>
      <c r="H25" s="1788">
        <v>3</v>
      </c>
      <c r="I25" s="4367"/>
      <c r="J25" s="4384"/>
      <c r="K25" s="4367"/>
      <c r="L25" s="4384"/>
      <c r="M25" s="4367"/>
      <c r="N25" s="4368"/>
      <c r="O25" s="4368"/>
      <c r="P25" s="4368"/>
      <c r="Q25" s="4368"/>
      <c r="R25" s="2133"/>
      <c r="S25" s="335"/>
      <c r="T25" s="2758"/>
      <c r="U25" s="2758"/>
      <c r="V25" s="2758"/>
      <c r="W25" s="2758"/>
      <c r="X25" s="2758"/>
      <c r="Y25" s="2758"/>
      <c r="Z25" s="2758"/>
      <c r="AA25" s="2758"/>
      <c r="AB25" s="2758"/>
      <c r="AC25" s="2758"/>
      <c r="AD25" s="2758"/>
      <c r="AE25" s="2757"/>
      <c r="AF25" s="3667"/>
      <c r="AG25" s="2757"/>
      <c r="AH25" s="3366"/>
      <c r="AI25" s="3667" t="b">
        <f>IF(AND(OR($C$18="",$C$18=6),$I$25&gt;0),TRUE,FALSE)</f>
        <v>0</v>
      </c>
      <c r="AJ25" s="3667" t="b">
        <f>IF(AND(OR($C$19="",$C$19=6),$K$25&gt;0),TRUE,FALSE)</f>
        <v>0</v>
      </c>
      <c r="AK25" s="3667" t="b">
        <f>IF(AND(OR($C$20="",$C$20=6),$M$25&gt;0),TRUE,FALSE)</f>
        <v>0</v>
      </c>
      <c r="AL25" s="3667"/>
      <c r="AM25" s="3667"/>
      <c r="AN25" s="3667"/>
      <c r="AO25" s="2757"/>
      <c r="AP25" s="2757"/>
      <c r="AQ25" s="2757"/>
      <c r="AR25" s="2757"/>
    </row>
    <row r="26" spans="1:44" ht="12.75" customHeight="1">
      <c r="A26" s="942"/>
      <c r="B26" s="2716">
        <v>4</v>
      </c>
      <c r="C26" s="4445" t="s">
        <v>1593</v>
      </c>
      <c r="D26" s="4445"/>
      <c r="E26" s="4445"/>
      <c r="F26" s="4445"/>
      <c r="G26" s="4446"/>
      <c r="H26" s="1604">
        <v>4</v>
      </c>
      <c r="I26" s="4367"/>
      <c r="J26" s="4384"/>
      <c r="K26" s="4367"/>
      <c r="L26" s="4384"/>
      <c r="M26" s="4367"/>
      <c r="N26" s="4368"/>
      <c r="O26" s="4368"/>
      <c r="P26" s="4368"/>
      <c r="Q26" s="4368"/>
      <c r="R26" s="2133"/>
      <c r="S26" s="335"/>
      <c r="T26" s="2758"/>
      <c r="U26" s="2758"/>
      <c r="V26" s="2758"/>
      <c r="W26" s="2758"/>
      <c r="X26" s="2758"/>
      <c r="Y26" s="2758"/>
      <c r="Z26" s="2758"/>
      <c r="AA26" s="2758"/>
      <c r="AB26" s="2758"/>
      <c r="AC26" s="2758"/>
      <c r="AD26" s="2758"/>
      <c r="AE26" s="2757"/>
      <c r="AF26" s="3667"/>
      <c r="AG26" s="2757"/>
      <c r="AH26" s="2762"/>
      <c r="AI26" s="2757" t="b">
        <f>IF(AND($C$18&lt;&gt;6,$I$26&gt;0),TRUE,FALSE)</f>
        <v>0</v>
      </c>
      <c r="AJ26" s="3667" t="b">
        <f>IF(AND($C$19&lt;&gt;6,$K$26&gt;0),TRUE,FALSE)</f>
        <v>0</v>
      </c>
      <c r="AK26" s="3667" t="b">
        <f>IF(AND($C$20="",$M$26&gt;0),TRUE,FALSE)</f>
        <v>0</v>
      </c>
      <c r="AL26" s="2757"/>
      <c r="AM26" s="2757"/>
      <c r="AN26" s="2757"/>
      <c r="AO26" s="2757"/>
      <c r="AP26" s="2757"/>
      <c r="AQ26" s="2757"/>
      <c r="AR26" s="2757"/>
    </row>
    <row r="27" spans="1:44" ht="12.75" customHeight="1">
      <c r="A27" s="942"/>
      <c r="B27" s="233" t="s">
        <v>1368</v>
      </c>
      <c r="C27" s="196"/>
      <c r="D27" s="4453" t="str">
        <f>IF(OR($AI$26,$AJ$26,$AI$25:$AK$26,$AJ$25,$AK$25),"Enter correct property type in Line 1b.","")</f>
        <v/>
      </c>
      <c r="E27" s="4454"/>
      <c r="F27" s="4454"/>
      <c r="G27" s="4455"/>
      <c r="H27" s="2228"/>
      <c r="I27" s="4365" t="str">
        <f>IF($C18="","",LOOKUP($C$18,$AH$15:$AH$22,$AI$15:$AI$22))</f>
        <v/>
      </c>
      <c r="J27" s="4399"/>
      <c r="K27" s="4365" t="str">
        <f>IF($C19="","",LOOKUP($C$19,$AH$15:$AH$22,$AI$15:$AI$22))</f>
        <v/>
      </c>
      <c r="L27" s="4399"/>
      <c r="M27" s="4365" t="str">
        <f>IF($C20="","",LOOKUP($C$20,$AH$15:$AH$22,$AI$15:$AI$22))</f>
        <v/>
      </c>
      <c r="N27" s="4366"/>
      <c r="O27" s="4366"/>
      <c r="P27" s="4366"/>
      <c r="Q27" s="4366"/>
      <c r="R27" s="2133"/>
      <c r="S27" s="335"/>
      <c r="T27" s="2758"/>
      <c r="U27" s="2758"/>
      <c r="V27" s="2758"/>
      <c r="W27" s="2758"/>
      <c r="X27" s="2758"/>
      <c r="Y27" s="2758"/>
      <c r="Z27" s="2758"/>
      <c r="AA27" s="2758"/>
      <c r="AB27" s="2758"/>
      <c r="AC27" s="2758"/>
      <c r="AD27" s="2758"/>
      <c r="AE27" s="2757"/>
      <c r="AF27" s="2757"/>
      <c r="AG27" s="2757"/>
      <c r="AH27" s="2762"/>
      <c r="AI27" s="2757"/>
      <c r="AJ27" s="2757"/>
      <c r="AK27" s="2757"/>
      <c r="AL27" s="2757"/>
      <c r="AM27" s="2757"/>
      <c r="AN27" s="2757"/>
      <c r="AO27" s="2757"/>
      <c r="AP27" s="2757"/>
      <c r="AQ27" s="2757"/>
    </row>
    <row r="28" spans="1:44" ht="15.75" customHeight="1">
      <c r="A28" s="942"/>
      <c r="B28" s="232">
        <v>5</v>
      </c>
      <c r="C28" s="234" t="s">
        <v>1369</v>
      </c>
      <c r="D28" s="196"/>
      <c r="E28" s="196"/>
      <c r="F28" s="196"/>
      <c r="G28" s="311" t="s">
        <v>269</v>
      </c>
      <c r="H28" s="1790">
        <v>5</v>
      </c>
      <c r="I28" s="4394"/>
      <c r="J28" s="4398"/>
      <c r="K28" s="4394"/>
      <c r="L28" s="4398"/>
      <c r="M28" s="4394"/>
      <c r="N28" s="4395"/>
      <c r="O28" s="4395"/>
      <c r="P28" s="4395"/>
      <c r="Q28" s="4395"/>
      <c r="R28" s="2133"/>
      <c r="S28" s="335"/>
      <c r="T28" s="2758"/>
      <c r="U28" s="2758"/>
      <c r="V28" s="2758"/>
      <c r="W28" s="2758"/>
      <c r="X28" s="2758"/>
      <c r="Y28" s="2758"/>
      <c r="Z28" s="2758"/>
      <c r="AA28" s="2758"/>
      <c r="AB28" s="2758"/>
      <c r="AC28" s="2758"/>
      <c r="AD28" s="2758"/>
      <c r="AE28" s="2757"/>
      <c r="AF28" s="2757"/>
      <c r="AG28" s="2757"/>
      <c r="AH28" s="2762"/>
      <c r="AI28" s="2757"/>
      <c r="AJ28" s="2757"/>
      <c r="AK28" s="2757"/>
      <c r="AL28" s="2757"/>
      <c r="AM28" s="2757"/>
      <c r="AN28" s="2757"/>
    </row>
    <row r="29" spans="1:44" ht="11.25" customHeight="1">
      <c r="A29" s="942"/>
      <c r="B29" s="232">
        <v>6</v>
      </c>
      <c r="C29" s="234" t="s">
        <v>1443</v>
      </c>
      <c r="D29" s="196"/>
      <c r="E29" s="196"/>
      <c r="F29" s="196"/>
      <c r="G29" s="311" t="s">
        <v>1064</v>
      </c>
      <c r="H29" s="1790">
        <v>6</v>
      </c>
      <c r="I29" s="4367"/>
      <c r="J29" s="4384"/>
      <c r="K29" s="4367"/>
      <c r="L29" s="4384"/>
      <c r="M29" s="4367"/>
      <c r="N29" s="4368"/>
      <c r="O29" s="4368"/>
      <c r="P29" s="4368"/>
      <c r="Q29" s="4368"/>
      <c r="R29" s="2133"/>
      <c r="S29" s="335"/>
      <c r="T29" s="2758"/>
      <c r="U29" s="2758"/>
      <c r="V29" s="2758"/>
      <c r="W29" s="2758"/>
      <c r="X29" s="2758"/>
      <c r="Y29" s="2758"/>
      <c r="Z29" s="2758"/>
      <c r="AA29" s="2758"/>
      <c r="AB29" s="2758"/>
      <c r="AC29" s="2758"/>
      <c r="AD29" s="2758"/>
      <c r="AE29" s="2757"/>
      <c r="AF29" s="2757"/>
      <c r="AG29" s="2757"/>
      <c r="AH29" s="2762"/>
      <c r="AI29" s="2757"/>
      <c r="AJ29" s="2757"/>
      <c r="AK29" s="2757"/>
      <c r="AL29" s="2757"/>
      <c r="AM29" s="2757"/>
      <c r="AN29" s="2757"/>
    </row>
    <row r="30" spans="1:44" ht="11.25" customHeight="1">
      <c r="A30" s="942"/>
      <c r="B30" s="232">
        <v>7</v>
      </c>
      <c r="C30" s="234" t="s">
        <v>1370</v>
      </c>
      <c r="D30" s="196"/>
      <c r="E30" s="196"/>
      <c r="F30" s="196"/>
      <c r="G30" s="311" t="s">
        <v>975</v>
      </c>
      <c r="H30" s="1790">
        <v>7</v>
      </c>
      <c r="I30" s="4367"/>
      <c r="J30" s="4384"/>
      <c r="K30" s="4367"/>
      <c r="L30" s="4384"/>
      <c r="M30" s="4367"/>
      <c r="N30" s="4368"/>
      <c r="O30" s="4368"/>
      <c r="P30" s="4368"/>
      <c r="Q30" s="4368"/>
      <c r="R30" s="2133"/>
      <c r="S30" s="335"/>
      <c r="T30" s="2758"/>
      <c r="U30" s="2758"/>
      <c r="V30" s="2758"/>
      <c r="W30" s="2758"/>
      <c r="X30" s="2758"/>
      <c r="Y30" s="2758"/>
      <c r="Z30" s="2758"/>
      <c r="AA30" s="2758"/>
      <c r="AB30" s="2758"/>
      <c r="AC30" s="2758"/>
      <c r="AD30" s="2758"/>
      <c r="AE30" s="2757"/>
      <c r="AF30" s="2757"/>
      <c r="AG30" s="2757"/>
      <c r="AH30" s="2762"/>
      <c r="AI30" s="2757"/>
      <c r="AJ30" s="2757"/>
      <c r="AK30" s="2757"/>
      <c r="AL30" s="2757"/>
      <c r="AM30" s="2757"/>
      <c r="AN30" s="2757"/>
      <c r="AO30" s="2757"/>
      <c r="AP30" s="2757"/>
      <c r="AQ30" s="2757"/>
    </row>
    <row r="31" spans="1:44" ht="12.75" customHeight="1">
      <c r="A31" s="942"/>
      <c r="B31" s="232">
        <v>8</v>
      </c>
      <c r="C31" s="234" t="s">
        <v>1371</v>
      </c>
      <c r="D31" s="196"/>
      <c r="E31" s="196"/>
      <c r="F31" s="196"/>
      <c r="G31" s="311" t="s">
        <v>1063</v>
      </c>
      <c r="H31" s="1790">
        <v>8</v>
      </c>
      <c r="I31" s="4367"/>
      <c r="J31" s="4384"/>
      <c r="K31" s="4367"/>
      <c r="L31" s="4384"/>
      <c r="M31" s="4367"/>
      <c r="N31" s="4368"/>
      <c r="O31" s="4368"/>
      <c r="P31" s="4368"/>
      <c r="Q31" s="4368"/>
      <c r="R31" s="2133"/>
      <c r="S31" s="335"/>
      <c r="T31" s="2758"/>
      <c r="U31" s="2758"/>
      <c r="V31" s="2758"/>
      <c r="W31" s="2758"/>
      <c r="X31" s="2758"/>
      <c r="Y31" s="2758"/>
      <c r="Z31" s="2758"/>
      <c r="AA31" s="2758"/>
      <c r="AB31" s="2758"/>
      <c r="AC31" s="2758"/>
      <c r="AD31" s="2758"/>
      <c r="AE31" s="2757"/>
      <c r="AF31" s="2757"/>
      <c r="AG31" s="2757"/>
      <c r="AH31" s="2762"/>
      <c r="AI31" s="2757"/>
      <c r="AJ31" s="2757"/>
      <c r="AK31" s="2757"/>
      <c r="AL31" s="2757"/>
      <c r="AM31" s="2757"/>
      <c r="AN31" s="2757"/>
      <c r="AO31" s="2757"/>
      <c r="AP31" s="2757"/>
      <c r="AQ31" s="2757"/>
    </row>
    <row r="32" spans="1:44" ht="12.75" customHeight="1">
      <c r="A32" s="942"/>
      <c r="B32" s="232">
        <v>9</v>
      </c>
      <c r="C32" s="234" t="s">
        <v>1372</v>
      </c>
      <c r="D32" s="196"/>
      <c r="E32" s="196"/>
      <c r="F32" s="196"/>
      <c r="G32" s="311" t="s">
        <v>1228</v>
      </c>
      <c r="H32" s="1790">
        <v>9</v>
      </c>
      <c r="I32" s="4367"/>
      <c r="J32" s="4384"/>
      <c r="K32" s="4367"/>
      <c r="L32" s="4384"/>
      <c r="M32" s="4367"/>
      <c r="N32" s="4368"/>
      <c r="O32" s="4368"/>
      <c r="P32" s="4368"/>
      <c r="Q32" s="4368"/>
      <c r="R32" s="2133"/>
      <c r="S32" s="196"/>
      <c r="T32" s="315" t="s">
        <v>1470</v>
      </c>
      <c r="AB32" s="68"/>
      <c r="AC32" s="217"/>
      <c r="AD32" s="217"/>
      <c r="AH32" s="2762"/>
      <c r="AI32" s="2757"/>
      <c r="AJ32" s="2757"/>
      <c r="AK32" s="2757"/>
      <c r="AL32" s="2757"/>
      <c r="AM32" s="2757"/>
      <c r="AN32" s="2757"/>
      <c r="AO32" s="2757"/>
      <c r="AP32" s="2757"/>
      <c r="AQ32" s="2757"/>
    </row>
    <row r="33" spans="1:43" ht="12.75" customHeight="1">
      <c r="A33" s="942"/>
      <c r="B33" s="232">
        <v>10</v>
      </c>
      <c r="C33" s="234" t="s">
        <v>1373</v>
      </c>
      <c r="D33" s="196"/>
      <c r="E33" s="196"/>
      <c r="F33" s="196"/>
      <c r="G33" s="311" t="s">
        <v>1462</v>
      </c>
      <c r="H33" s="1790">
        <v>10</v>
      </c>
      <c r="I33" s="4367"/>
      <c r="J33" s="4384"/>
      <c r="K33" s="4367"/>
      <c r="L33" s="4384"/>
      <c r="M33" s="4367"/>
      <c r="N33" s="4368"/>
      <c r="O33" s="4368"/>
      <c r="P33" s="4368"/>
      <c r="Q33" s="4368"/>
      <c r="R33" s="2133"/>
      <c r="S33" s="196"/>
      <c r="T33" s="551"/>
      <c r="U33" s="551"/>
      <c r="V33" s="551"/>
      <c r="W33" s="551"/>
      <c r="X33" s="551"/>
      <c r="Y33" s="551"/>
      <c r="Z33" s="551"/>
      <c r="AA33" s="551"/>
      <c r="AB33" s="551"/>
      <c r="AC33" s="551"/>
      <c r="AD33" s="551"/>
      <c r="AE33" s="551"/>
      <c r="AF33" s="551"/>
      <c r="AG33" s="551"/>
      <c r="AH33" s="2762"/>
      <c r="AI33" s="2757"/>
      <c r="AJ33" s="2757"/>
      <c r="AK33" s="2757"/>
      <c r="AL33" s="2757"/>
      <c r="AM33" s="2757"/>
      <c r="AN33" s="2757"/>
      <c r="AO33" s="2757"/>
      <c r="AP33" s="2757"/>
      <c r="AQ33" s="2757"/>
    </row>
    <row r="34" spans="1:43" ht="12.75" customHeight="1">
      <c r="A34" s="942"/>
      <c r="B34" s="232">
        <v>11</v>
      </c>
      <c r="C34" s="234" t="s">
        <v>1374</v>
      </c>
      <c r="D34" s="196"/>
      <c r="E34" s="196"/>
      <c r="F34" s="196"/>
      <c r="G34" s="311" t="s">
        <v>1463</v>
      </c>
      <c r="H34" s="1790">
        <v>11</v>
      </c>
      <c r="I34" s="4367"/>
      <c r="J34" s="4384"/>
      <c r="K34" s="4367"/>
      <c r="L34" s="4384"/>
      <c r="M34" s="4367"/>
      <c r="N34" s="4368"/>
      <c r="O34" s="4368"/>
      <c r="P34" s="4368"/>
      <c r="Q34" s="4368"/>
      <c r="R34" s="2133"/>
      <c r="S34" s="196"/>
      <c r="T34" s="551"/>
      <c r="U34" s="551"/>
      <c r="V34" s="551"/>
      <c r="W34" s="551"/>
      <c r="X34" s="551"/>
      <c r="Y34" s="551"/>
      <c r="Z34" s="551"/>
      <c r="AA34" s="551"/>
      <c r="AB34" s="551"/>
      <c r="AC34" s="551"/>
      <c r="AD34" s="551"/>
      <c r="AE34" s="551"/>
      <c r="AF34" s="551"/>
      <c r="AG34" s="551"/>
      <c r="AH34" s="2762"/>
      <c r="AI34" s="2757"/>
      <c r="AJ34" s="2757"/>
      <c r="AK34" s="2757"/>
      <c r="AL34" s="2757"/>
      <c r="AM34" s="2757"/>
      <c r="AN34" s="2757"/>
      <c r="AO34" s="2757"/>
      <c r="AP34" s="2757"/>
      <c r="AQ34" s="2757"/>
    </row>
    <row r="35" spans="1:43" ht="12.75" customHeight="1">
      <c r="A35" s="942"/>
      <c r="B35" s="232">
        <v>12</v>
      </c>
      <c r="C35" s="234" t="s">
        <v>1444</v>
      </c>
      <c r="D35" s="196"/>
      <c r="E35" s="196"/>
      <c r="F35" s="196"/>
      <c r="G35" s="311"/>
      <c r="H35" s="1790">
        <v>12</v>
      </c>
      <c r="I35" s="4367"/>
      <c r="J35" s="4384"/>
      <c r="K35" s="4367"/>
      <c r="L35" s="4384"/>
      <c r="M35" s="4367"/>
      <c r="N35" s="4368"/>
      <c r="O35" s="4368"/>
      <c r="P35" s="4368"/>
      <c r="Q35" s="4368"/>
      <c r="R35" s="2133"/>
      <c r="S35" s="196"/>
      <c r="T35" s="551"/>
      <c r="U35" s="551"/>
      <c r="V35" s="551"/>
      <c r="W35" s="551"/>
      <c r="X35" s="551"/>
      <c r="Y35" s="551"/>
      <c r="Z35" s="551"/>
      <c r="AA35" s="551"/>
      <c r="AB35" s="551"/>
      <c r="AC35" s="551"/>
      <c r="AD35" s="551"/>
      <c r="AE35" s="551"/>
      <c r="AF35" s="551"/>
      <c r="AG35" s="551"/>
      <c r="AH35" s="2762"/>
      <c r="AI35" s="2757"/>
      <c r="AJ35" s="2757"/>
      <c r="AK35" s="2757"/>
      <c r="AL35" s="2757"/>
      <c r="AM35" s="2757"/>
      <c r="AN35" s="2757"/>
      <c r="AO35" s="2757"/>
      <c r="AP35" s="2757"/>
      <c r="AQ35" s="2757"/>
    </row>
    <row r="36" spans="1:43" ht="12.75" customHeight="1">
      <c r="A36" s="942"/>
      <c r="B36" s="232">
        <v>13</v>
      </c>
      <c r="C36" s="234" t="s">
        <v>1375</v>
      </c>
      <c r="D36" s="196"/>
      <c r="E36" s="196"/>
      <c r="F36" s="196"/>
      <c r="G36" s="311" t="s">
        <v>1063</v>
      </c>
      <c r="H36" s="1790">
        <v>13</v>
      </c>
      <c r="I36" s="4367"/>
      <c r="J36" s="4384"/>
      <c r="K36" s="4367"/>
      <c r="L36" s="4384"/>
      <c r="M36" s="4367"/>
      <c r="N36" s="4368"/>
      <c r="O36" s="4368"/>
      <c r="P36" s="4368"/>
      <c r="Q36" s="4368"/>
      <c r="R36" s="2133"/>
      <c r="S36" s="196"/>
      <c r="T36" s="551"/>
      <c r="U36" s="551"/>
      <c r="V36" s="551"/>
      <c r="W36" s="551"/>
      <c r="X36" s="551"/>
      <c r="Y36" s="551"/>
      <c r="Z36" s="551"/>
      <c r="AA36" s="551"/>
      <c r="AB36" s="551"/>
      <c r="AC36" s="551"/>
      <c r="AD36" s="551"/>
      <c r="AE36" s="551"/>
      <c r="AF36" s="551"/>
      <c r="AG36" s="551"/>
      <c r="AH36" s="2762"/>
      <c r="AI36" s="2757"/>
      <c r="AJ36" s="2757"/>
      <c r="AK36" s="2757"/>
      <c r="AL36" s="2757"/>
      <c r="AM36" s="2757"/>
      <c r="AN36" s="2757"/>
      <c r="AO36" s="2757"/>
      <c r="AP36" s="2757"/>
      <c r="AQ36" s="2757"/>
    </row>
    <row r="37" spans="1:43" ht="12.75" customHeight="1">
      <c r="A37" s="942"/>
      <c r="B37" s="232">
        <v>14</v>
      </c>
      <c r="C37" s="234" t="s">
        <v>1376</v>
      </c>
      <c r="D37" s="196"/>
      <c r="E37" s="196"/>
      <c r="F37" s="196"/>
      <c r="G37" s="311" t="s">
        <v>979</v>
      </c>
      <c r="H37" s="1790">
        <v>14</v>
      </c>
      <c r="I37" s="4367"/>
      <c r="J37" s="4384"/>
      <c r="K37" s="4367"/>
      <c r="L37" s="4384"/>
      <c r="M37" s="4367"/>
      <c r="N37" s="4368"/>
      <c r="O37" s="4368"/>
      <c r="P37" s="4368"/>
      <c r="Q37" s="4368"/>
      <c r="R37" s="2133"/>
      <c r="S37" s="196"/>
      <c r="T37" s="551"/>
      <c r="U37" s="551"/>
      <c r="V37" s="551"/>
      <c r="W37" s="551"/>
      <c r="X37" s="551"/>
      <c r="Y37" s="551"/>
      <c r="Z37" s="551"/>
      <c r="AA37" s="551"/>
      <c r="AB37" s="551"/>
      <c r="AC37" s="551"/>
      <c r="AD37" s="551"/>
      <c r="AE37" s="551"/>
      <c r="AF37" s="551"/>
      <c r="AG37" s="551"/>
      <c r="AH37" s="2762"/>
      <c r="AI37" s="2757"/>
      <c r="AJ37" s="2757"/>
      <c r="AK37" s="2757"/>
      <c r="AL37" s="2757"/>
      <c r="AM37" s="2757"/>
      <c r="AN37" s="2757"/>
      <c r="AO37" s="2757"/>
      <c r="AP37" s="2757"/>
      <c r="AQ37" s="2757"/>
    </row>
    <row r="38" spans="1:43" ht="12.75" customHeight="1">
      <c r="A38" s="942"/>
      <c r="B38" s="232">
        <v>15</v>
      </c>
      <c r="C38" s="234" t="s">
        <v>1377</v>
      </c>
      <c r="D38" s="196"/>
      <c r="E38" s="196"/>
      <c r="F38" s="196"/>
      <c r="G38" s="311" t="s">
        <v>1061</v>
      </c>
      <c r="H38" s="1790">
        <v>15</v>
      </c>
      <c r="I38" s="4367"/>
      <c r="J38" s="4384"/>
      <c r="K38" s="4367"/>
      <c r="L38" s="4384"/>
      <c r="M38" s="4367"/>
      <c r="N38" s="4368"/>
      <c r="O38" s="4368"/>
      <c r="P38" s="4368"/>
      <c r="Q38" s="4368"/>
      <c r="R38" s="2133"/>
      <c r="S38" s="196"/>
      <c r="T38" s="551"/>
      <c r="U38" s="551"/>
      <c r="V38" s="551"/>
      <c r="W38" s="551"/>
      <c r="X38" s="551"/>
      <c r="Y38" s="551"/>
      <c r="Z38" s="551"/>
      <c r="AA38" s="551"/>
      <c r="AB38" s="551"/>
      <c r="AC38" s="551"/>
      <c r="AD38" s="551"/>
      <c r="AE38" s="551"/>
      <c r="AF38" s="551"/>
      <c r="AG38" s="551"/>
      <c r="AH38" s="2762"/>
      <c r="AI38" s="2757"/>
      <c r="AJ38" s="2757"/>
      <c r="AK38" s="2757"/>
      <c r="AL38" s="2757"/>
      <c r="AM38" s="2757"/>
      <c r="AN38" s="2757"/>
      <c r="AO38" s="2757"/>
      <c r="AP38" s="2757"/>
      <c r="AQ38" s="2757"/>
    </row>
    <row r="39" spans="1:43" ht="12.75" customHeight="1">
      <c r="A39" s="942"/>
      <c r="B39" s="232">
        <v>16</v>
      </c>
      <c r="C39" s="234" t="s">
        <v>1378</v>
      </c>
      <c r="D39" s="196"/>
      <c r="E39" s="196"/>
      <c r="F39" s="196"/>
      <c r="G39" s="311" t="s">
        <v>979</v>
      </c>
      <c r="H39" s="1790">
        <v>16</v>
      </c>
      <c r="I39" s="4367"/>
      <c r="J39" s="4384"/>
      <c r="K39" s="4367"/>
      <c r="L39" s="4384"/>
      <c r="M39" s="4367"/>
      <c r="N39" s="4368"/>
      <c r="O39" s="4368"/>
      <c r="P39" s="4368"/>
      <c r="Q39" s="4368"/>
      <c r="R39" s="2133"/>
      <c r="S39" s="196"/>
      <c r="T39" s="551"/>
      <c r="U39" s="551"/>
      <c r="V39" s="551"/>
      <c r="W39" s="551"/>
      <c r="X39" s="551"/>
      <c r="Y39" s="551"/>
      <c r="Z39" s="551"/>
      <c r="AA39" s="551"/>
      <c r="AB39" s="551"/>
      <c r="AC39" s="551"/>
      <c r="AD39" s="551"/>
      <c r="AE39" s="551"/>
      <c r="AF39" s="551"/>
      <c r="AG39" s="551"/>
      <c r="AH39" s="2762"/>
      <c r="AO39" s="2757"/>
      <c r="AP39" s="2757"/>
      <c r="AQ39" s="2757"/>
    </row>
    <row r="40" spans="1:43">
      <c r="A40" s="942"/>
      <c r="B40" s="232">
        <v>17</v>
      </c>
      <c r="C40" s="234" t="s">
        <v>1379</v>
      </c>
      <c r="D40" s="196"/>
      <c r="E40" s="196"/>
      <c r="F40" s="196"/>
      <c r="G40" s="311" t="s">
        <v>979</v>
      </c>
      <c r="H40" s="1790">
        <v>17</v>
      </c>
      <c r="I40" s="4367"/>
      <c r="J40" s="4384"/>
      <c r="K40" s="4367"/>
      <c r="L40" s="4384"/>
      <c r="M40" s="4367"/>
      <c r="N40" s="4368"/>
      <c r="O40" s="4368"/>
      <c r="P40" s="4368"/>
      <c r="Q40" s="4368"/>
      <c r="R40" s="2133"/>
      <c r="S40" s="196"/>
      <c r="T40" s="551"/>
      <c r="U40" s="551"/>
      <c r="V40" s="551"/>
      <c r="W40" s="551"/>
      <c r="X40" s="551"/>
      <c r="Y40" s="551"/>
      <c r="Z40" s="551"/>
      <c r="AA40" s="551"/>
      <c r="AB40" s="551"/>
      <c r="AC40" s="551"/>
      <c r="AD40" s="551"/>
      <c r="AE40" s="551"/>
      <c r="AF40" s="551"/>
      <c r="AG40" s="551"/>
      <c r="AH40" s="217"/>
      <c r="AO40" s="2757"/>
      <c r="AP40" s="2757"/>
      <c r="AQ40" s="2757"/>
    </row>
    <row r="41" spans="1:43" ht="14.25">
      <c r="A41" s="942"/>
      <c r="B41" s="232">
        <v>18</v>
      </c>
      <c r="C41" s="2229" t="s">
        <v>1380</v>
      </c>
      <c r="D41" s="2230"/>
      <c r="E41" s="2231"/>
      <c r="F41" s="2232"/>
      <c r="G41" s="2233"/>
      <c r="H41" s="1790">
        <v>18</v>
      </c>
      <c r="I41" s="4367"/>
      <c r="J41" s="4384"/>
      <c r="K41" s="4367"/>
      <c r="L41" s="4384"/>
      <c r="M41" s="4367"/>
      <c r="N41" s="4368"/>
      <c r="O41" s="4368"/>
      <c r="P41" s="4368"/>
      <c r="Q41" s="4368"/>
      <c r="R41" s="2133"/>
      <c r="S41" s="196"/>
      <c r="T41" s="551"/>
      <c r="U41" s="551"/>
      <c r="V41" s="551"/>
      <c r="W41" s="551"/>
      <c r="X41" s="551"/>
      <c r="Y41" s="551"/>
      <c r="Z41" s="551"/>
      <c r="AA41" s="551"/>
      <c r="AB41" s="551"/>
      <c r="AC41" s="551"/>
      <c r="AD41" s="551"/>
      <c r="AE41" s="551"/>
      <c r="AF41" s="551"/>
      <c r="AG41" s="551"/>
      <c r="AH41" s="217"/>
      <c r="AI41" s="3668" t="s">
        <v>242</v>
      </c>
      <c r="AJ41" s="3669"/>
      <c r="AK41" s="3668" t="s">
        <v>490</v>
      </c>
      <c r="AL41" s="3669"/>
      <c r="AM41" s="3668" t="s">
        <v>243</v>
      </c>
      <c r="AN41" s="3669"/>
      <c r="AO41" s="2757"/>
      <c r="AP41" s="2757"/>
      <c r="AQ41" s="2757"/>
    </row>
    <row r="42" spans="1:43" ht="13.5">
      <c r="A42" s="942"/>
      <c r="B42" s="232">
        <v>19</v>
      </c>
      <c r="C42" s="234" t="s">
        <v>1442</v>
      </c>
      <c r="D42" s="196"/>
      <c r="E42" s="4425"/>
      <c r="F42" s="4426"/>
      <c r="G42" s="4427"/>
      <c r="H42" s="1790">
        <v>19</v>
      </c>
      <c r="I42" s="4367"/>
      <c r="J42" s="4384"/>
      <c r="K42" s="4367"/>
      <c r="L42" s="4384"/>
      <c r="M42" s="4367"/>
      <c r="N42" s="4368"/>
      <c r="O42" s="4368"/>
      <c r="P42" s="4368"/>
      <c r="Q42" s="4368"/>
      <c r="R42" s="2133"/>
      <c r="S42" s="196"/>
      <c r="T42" s="551"/>
      <c r="U42" s="551"/>
      <c r="V42" s="551"/>
      <c r="W42" s="551"/>
      <c r="X42" s="551"/>
      <c r="Y42" s="551"/>
      <c r="Z42" s="551"/>
      <c r="AA42" s="551"/>
      <c r="AB42" s="551"/>
      <c r="AC42" s="551"/>
      <c r="AD42" s="551"/>
      <c r="AE42" s="551"/>
      <c r="AF42" s="551"/>
      <c r="AG42" s="551"/>
      <c r="AH42" s="217"/>
      <c r="AI42" s="2236" t="s">
        <v>1465</v>
      </c>
      <c r="AJ42" s="2236" t="s">
        <v>1466</v>
      </c>
      <c r="AK42" s="2236" t="s">
        <v>1465</v>
      </c>
      <c r="AL42" s="2236" t="s">
        <v>1466</v>
      </c>
      <c r="AM42" s="2236" t="s">
        <v>1465</v>
      </c>
      <c r="AN42" s="2236" t="s">
        <v>1466</v>
      </c>
    </row>
    <row r="43" spans="1:43">
      <c r="A43" s="942"/>
      <c r="B43" s="232">
        <v>20</v>
      </c>
      <c r="C43" s="1683" t="s">
        <v>1445</v>
      </c>
      <c r="D43" s="196"/>
      <c r="E43" s="196"/>
      <c r="F43" s="196"/>
      <c r="G43" s="311" t="s">
        <v>1464</v>
      </c>
      <c r="H43" s="1790">
        <v>20</v>
      </c>
      <c r="I43" s="4380">
        <f>IF(T43&lt;&gt;"",T43,SUM(I28:I42))</f>
        <v>0</v>
      </c>
      <c r="J43" s="4424"/>
      <c r="K43" s="4380">
        <f>IF(X43&lt;&gt;"",X43,SUM(K28:K42))</f>
        <v>0</v>
      </c>
      <c r="L43" s="4424"/>
      <c r="M43" s="4380">
        <f>IF(AC43&lt;&gt;"",AC43,SUM(M28:M42))</f>
        <v>0</v>
      </c>
      <c r="N43" s="4381"/>
      <c r="O43" s="4381"/>
      <c r="P43" s="4381"/>
      <c r="Q43" s="4381"/>
      <c r="R43" s="2133"/>
      <c r="S43" s="196"/>
      <c r="T43" s="4369"/>
      <c r="U43" s="4370"/>
      <c r="V43" s="4370"/>
      <c r="W43" s="4371"/>
      <c r="X43" s="4369"/>
      <c r="Y43" s="4370"/>
      <c r="Z43" s="4370"/>
      <c r="AA43" s="4370"/>
      <c r="AB43" s="4371"/>
      <c r="AC43" s="4364"/>
      <c r="AD43" s="4362"/>
      <c r="AE43" s="4362"/>
      <c r="AF43" s="4363"/>
      <c r="AG43" s="551"/>
      <c r="AH43" s="217"/>
      <c r="AI43" s="2235">
        <f>IF(I44&gt;0,I44,0)</f>
        <v>0</v>
      </c>
      <c r="AJ43" s="2235">
        <f>IF(I44&lt;0,I44,0)</f>
        <v>0</v>
      </c>
      <c r="AK43" s="2235">
        <f>IF(K44&gt;0,K44,0)</f>
        <v>0</v>
      </c>
      <c r="AL43" s="2235">
        <f>IF(K44&lt;0,K44,0)</f>
        <v>0</v>
      </c>
      <c r="AM43" s="2235">
        <f>IF(M44&gt;0,M44,0)</f>
        <v>0</v>
      </c>
      <c r="AN43" s="2235">
        <f>IF(M44&lt;0,M44,0)</f>
        <v>0</v>
      </c>
    </row>
    <row r="44" spans="1:43" ht="35.25" customHeight="1">
      <c r="A44" s="942"/>
      <c r="B44" s="1588">
        <v>21</v>
      </c>
      <c r="C44" s="4420" t="s">
        <v>2721</v>
      </c>
      <c r="D44" s="4138"/>
      <c r="E44" s="4138"/>
      <c r="F44" s="4138"/>
      <c r="G44" s="4421"/>
      <c r="H44" s="1788">
        <v>21</v>
      </c>
      <c r="I44" s="4380">
        <f>IF(T44&lt;&gt;"",T44,IF($C$18=6,SUM(I26,-I43),SUM(I25,-I43)))</f>
        <v>0</v>
      </c>
      <c r="J44" s="4424"/>
      <c r="K44" s="4380">
        <f>IF(V44&lt;&gt;"",V44,IF($C$19=6,SUM(K26,-K43),SUM(K25,-K43)))</f>
        <v>0</v>
      </c>
      <c r="L44" s="4424"/>
      <c r="M44" s="4380">
        <f>IF(AC44&lt;&gt;"",AC44,IF($C$20=6,SUM(M26,-M43),SUM(M25,-M43)))</f>
        <v>0</v>
      </c>
      <c r="N44" s="4381"/>
      <c r="O44" s="4381"/>
      <c r="P44" s="4381"/>
      <c r="Q44" s="4381"/>
      <c r="R44" s="2133"/>
      <c r="S44" s="196"/>
      <c r="T44" s="4369"/>
      <c r="U44" s="4370"/>
      <c r="V44" s="4370"/>
      <c r="W44" s="4371"/>
      <c r="X44" s="4369"/>
      <c r="Y44" s="4370"/>
      <c r="Z44" s="4370"/>
      <c r="AA44" s="4370"/>
      <c r="AB44" s="4371"/>
      <c r="AC44" s="4364"/>
      <c r="AD44" s="4362"/>
      <c r="AE44" s="4362"/>
      <c r="AF44" s="4363"/>
      <c r="AG44" s="551"/>
      <c r="AH44" s="2238" t="s">
        <v>1468</v>
      </c>
      <c r="AI44" s="2269" t="s">
        <v>1479</v>
      </c>
      <c r="AJ44" s="2235">
        <f>IF(I45&lt;&gt;"",I45,0)</f>
        <v>0</v>
      </c>
      <c r="AK44" s="2269" t="s">
        <v>1479</v>
      </c>
      <c r="AL44" s="2235">
        <f>IF(K45&lt;&gt;"",K45,0)</f>
        <v>0</v>
      </c>
      <c r="AM44" s="2269" t="s">
        <v>1479</v>
      </c>
      <c r="AN44" s="2235">
        <f>IF(M45&lt;&gt;"",M45,0)</f>
        <v>0</v>
      </c>
    </row>
    <row r="45" spans="1:43" ht="24" customHeight="1">
      <c r="A45" s="942"/>
      <c r="B45" s="1588">
        <v>22</v>
      </c>
      <c r="C45" s="4420" t="s">
        <v>2169</v>
      </c>
      <c r="D45" s="4004"/>
      <c r="E45" s="4004"/>
      <c r="F45" s="4004"/>
      <c r="G45" s="4199"/>
      <c r="H45" s="1788">
        <v>22</v>
      </c>
      <c r="I45" s="4367"/>
      <c r="J45" s="4384"/>
      <c r="K45" s="4367"/>
      <c r="L45" s="4384"/>
      <c r="M45" s="4367"/>
      <c r="N45" s="4368"/>
      <c r="O45" s="4368"/>
      <c r="P45" s="4368"/>
      <c r="Q45" s="4368"/>
      <c r="R45" s="2133"/>
      <c r="S45" s="196"/>
      <c r="T45" s="551"/>
      <c r="U45" s="551"/>
      <c r="V45" s="551"/>
      <c r="W45" s="551"/>
      <c r="X45" s="551"/>
      <c r="Y45" s="551"/>
      <c r="Z45" s="551"/>
      <c r="AA45" s="551"/>
      <c r="AB45" s="551"/>
      <c r="AC45" s="551"/>
      <c r="AD45" s="551"/>
      <c r="AE45" s="551"/>
      <c r="AF45" s="551"/>
      <c r="AG45" s="551"/>
      <c r="AH45" s="2238" t="s">
        <v>1381</v>
      </c>
      <c r="AI45" s="2237" t="s">
        <v>1467</v>
      </c>
      <c r="AJ45" s="2235">
        <f>IF(C18=6,AJ43,0)</f>
        <v>0</v>
      </c>
      <c r="AL45" s="2235">
        <f>IF(C19=6,AL43,0)</f>
        <v>0</v>
      </c>
      <c r="AN45" s="2235">
        <f>IF(C20=6,AN43,0)</f>
        <v>0</v>
      </c>
    </row>
    <row r="46" spans="1:43" ht="12" customHeight="1">
      <c r="A46" s="942"/>
      <c r="B46" s="1588" t="s">
        <v>1446</v>
      </c>
      <c r="C46" s="234" t="s">
        <v>1594</v>
      </c>
      <c r="D46" s="196"/>
      <c r="E46" s="196"/>
      <c r="F46" s="196"/>
      <c r="G46" s="196"/>
      <c r="H46" s="196"/>
      <c r="I46" s="311" t="s">
        <v>983</v>
      </c>
      <c r="J46" s="2270" t="s">
        <v>1446</v>
      </c>
      <c r="K46" s="4422">
        <f>IF(X46&lt;&gt;"",X46,ROUND(AM21,0))</f>
        <v>0</v>
      </c>
      <c r="L46" s="4423"/>
      <c r="M46" s="135"/>
      <c r="N46" s="135"/>
      <c r="O46" s="135"/>
      <c r="P46" s="135"/>
      <c r="Q46" s="135"/>
      <c r="R46" s="2133"/>
      <c r="S46" s="196"/>
      <c r="T46" s="551"/>
      <c r="U46" s="551"/>
      <c r="V46" s="551"/>
      <c r="W46" s="551"/>
      <c r="X46" s="4369"/>
      <c r="Y46" s="4370"/>
      <c r="Z46" s="4370"/>
      <c r="AA46" s="4370"/>
      <c r="AB46" s="4371"/>
      <c r="AC46" s="551"/>
      <c r="AD46" s="551"/>
      <c r="AE46" s="551"/>
      <c r="AF46" s="551"/>
      <c r="AG46" s="551"/>
      <c r="AH46" s="217"/>
      <c r="AI46" s="2237" t="s">
        <v>1469</v>
      </c>
      <c r="AJ46" s="2235">
        <f>IF(C18&lt;&gt;6,AJ43,0)</f>
        <v>0</v>
      </c>
      <c r="AL46" s="2235">
        <f>IF(C19&lt;&gt;6,AL43,0)</f>
        <v>0</v>
      </c>
      <c r="AN46" s="2235">
        <f>IF(C20&lt;&gt;6,AN43,0)</f>
        <v>0</v>
      </c>
    </row>
    <row r="47" spans="1:43" ht="12" customHeight="1">
      <c r="A47" s="942"/>
      <c r="B47" s="1588" t="s">
        <v>1448</v>
      </c>
      <c r="C47" s="234" t="s">
        <v>1452</v>
      </c>
      <c r="D47" s="196"/>
      <c r="E47" s="196"/>
      <c r="F47" s="196"/>
      <c r="G47" s="196"/>
      <c r="H47" s="196"/>
      <c r="I47" s="311" t="s">
        <v>983</v>
      </c>
      <c r="J47" s="2270" t="s">
        <v>1447</v>
      </c>
      <c r="K47" s="4422">
        <f>IF(X47&lt;&gt;"",X47,ROUND(AM22,0))</f>
        <v>0</v>
      </c>
      <c r="L47" s="4423"/>
      <c r="M47" s="135"/>
      <c r="N47" s="135"/>
      <c r="O47" s="135"/>
      <c r="P47" s="135"/>
      <c r="Q47" s="135"/>
      <c r="R47" s="2133"/>
      <c r="S47" s="196"/>
      <c r="T47" s="551"/>
      <c r="U47" s="551"/>
      <c r="V47" s="551"/>
      <c r="W47" s="551"/>
      <c r="X47" s="4369"/>
      <c r="Y47" s="4370"/>
      <c r="Z47" s="4370"/>
      <c r="AA47" s="4370"/>
      <c r="AB47" s="4371"/>
      <c r="AC47" s="551"/>
      <c r="AD47" s="551"/>
      <c r="AE47" s="551"/>
      <c r="AF47" s="551"/>
      <c r="AG47" s="551"/>
      <c r="AH47" s="217"/>
    </row>
    <row r="48" spans="1:43" ht="12" customHeight="1">
      <c r="A48" s="942"/>
      <c r="B48" s="1588" t="s">
        <v>1449</v>
      </c>
      <c r="C48" s="234" t="s">
        <v>1453</v>
      </c>
      <c r="D48" s="196"/>
      <c r="E48" s="196"/>
      <c r="F48" s="196"/>
      <c r="G48" s="196"/>
      <c r="H48" s="196"/>
      <c r="I48" s="311" t="s">
        <v>959</v>
      </c>
      <c r="J48" s="2270" t="s">
        <v>1458</v>
      </c>
      <c r="K48" s="4422">
        <f>IF(X48&lt;&gt;"",X48,ROUND(SUM(I35:Q35),0))</f>
        <v>0</v>
      </c>
      <c r="L48" s="4423"/>
      <c r="M48" s="135"/>
      <c r="N48" s="135"/>
      <c r="O48" s="135"/>
      <c r="P48" s="135"/>
      <c r="Q48" s="135"/>
      <c r="R48" s="2133"/>
      <c r="S48" s="196"/>
      <c r="T48" s="551"/>
      <c r="U48" s="551"/>
      <c r="V48" s="551"/>
      <c r="W48" s="551"/>
      <c r="X48" s="4369"/>
      <c r="Y48" s="4370"/>
      <c r="Z48" s="4370"/>
      <c r="AA48" s="4370"/>
      <c r="AB48" s="4371"/>
      <c r="AC48" s="551"/>
      <c r="AD48" s="551"/>
      <c r="AE48" s="551"/>
      <c r="AF48" s="551"/>
      <c r="AG48" s="551"/>
      <c r="AH48" s="217"/>
    </row>
    <row r="49" spans="1:34" ht="12.75" customHeight="1">
      <c r="A49" s="942"/>
      <c r="B49" s="1588" t="s">
        <v>1450</v>
      </c>
      <c r="C49" s="234" t="s">
        <v>1454</v>
      </c>
      <c r="D49" s="196"/>
      <c r="E49" s="196"/>
      <c r="F49" s="196"/>
      <c r="G49" s="196"/>
      <c r="H49" s="196"/>
      <c r="I49" s="311" t="s">
        <v>959</v>
      </c>
      <c r="J49" s="2270" t="s">
        <v>1459</v>
      </c>
      <c r="K49" s="4422">
        <f>IF(X49&lt;&gt;"",X49,ROUND(SUM(I41:Q41),0))</f>
        <v>0</v>
      </c>
      <c r="L49" s="4423"/>
      <c r="M49" s="135"/>
      <c r="N49" s="135"/>
      <c r="O49" s="135"/>
      <c r="P49" s="135"/>
      <c r="Q49" s="135"/>
      <c r="R49" s="2133"/>
      <c r="S49" s="196"/>
      <c r="T49" s="551"/>
      <c r="U49" s="551"/>
      <c r="V49" s="551"/>
      <c r="W49" s="551"/>
      <c r="X49" s="4369"/>
      <c r="Y49" s="4370"/>
      <c r="Z49" s="4370"/>
      <c r="AA49" s="4370"/>
      <c r="AB49" s="4371"/>
      <c r="AC49" s="551"/>
      <c r="AD49" s="551"/>
      <c r="AE49" s="551"/>
      <c r="AF49" s="551"/>
      <c r="AG49" s="551"/>
      <c r="AH49" s="217"/>
    </row>
    <row r="50" spans="1:34" ht="12.75" customHeight="1">
      <c r="A50" s="942"/>
      <c r="B50" s="1588" t="s">
        <v>1451</v>
      </c>
      <c r="C50" s="234" t="s">
        <v>1455</v>
      </c>
      <c r="D50" s="196"/>
      <c r="E50" s="196"/>
      <c r="F50" s="196"/>
      <c r="G50" s="196"/>
      <c r="H50" s="196"/>
      <c r="I50" s="311" t="s">
        <v>959</v>
      </c>
      <c r="J50" s="2270" t="s">
        <v>1460</v>
      </c>
      <c r="K50" s="4422">
        <f>IF(X50&lt;&gt;"",X50,ROUND(SUM(I43:Q43),0))</f>
        <v>0</v>
      </c>
      <c r="L50" s="4423"/>
      <c r="M50" s="135"/>
      <c r="N50" s="135"/>
      <c r="O50" s="135"/>
      <c r="P50" s="135"/>
      <c r="Q50" s="135"/>
      <c r="R50" s="2133"/>
      <c r="S50" s="196"/>
      <c r="T50" s="551"/>
      <c r="U50" s="551"/>
      <c r="V50" s="551"/>
      <c r="W50" s="551"/>
      <c r="X50" s="4369"/>
      <c r="Y50" s="4370"/>
      <c r="Z50" s="4370"/>
      <c r="AA50" s="4370"/>
      <c r="AB50" s="4371"/>
      <c r="AC50" s="551"/>
      <c r="AD50" s="551"/>
      <c r="AE50" s="551"/>
      <c r="AF50" s="551"/>
      <c r="AG50" s="551"/>
      <c r="AH50" s="217"/>
    </row>
    <row r="51" spans="1:34" ht="12.75" customHeight="1">
      <c r="A51" s="942"/>
      <c r="B51" s="1588">
        <v>24</v>
      </c>
      <c r="C51" s="234" t="s">
        <v>1457</v>
      </c>
      <c r="D51" s="196"/>
      <c r="E51" s="196"/>
      <c r="F51" s="196"/>
      <c r="G51" s="311"/>
      <c r="H51" s="438"/>
      <c r="I51" s="2226"/>
      <c r="J51" s="2226"/>
      <c r="K51" s="311" t="s">
        <v>1042</v>
      </c>
      <c r="L51" s="2271">
        <v>24</v>
      </c>
      <c r="M51" s="4372">
        <f>IF(AC51&lt;&gt;"",AC51,ROUND(SUM(AI43,AK43,AM43),0))</f>
        <v>0</v>
      </c>
      <c r="N51" s="4373"/>
      <c r="O51" s="4373"/>
      <c r="P51" s="4373"/>
      <c r="Q51" s="4373"/>
      <c r="R51" s="2133"/>
      <c r="S51" s="196"/>
      <c r="T51" s="551"/>
      <c r="U51" s="551"/>
      <c r="V51" s="551"/>
      <c r="W51" s="551"/>
      <c r="X51" s="551"/>
      <c r="Y51" s="551"/>
      <c r="Z51" s="551"/>
      <c r="AA51" s="551"/>
      <c r="AB51" s="551"/>
      <c r="AC51" s="4361"/>
      <c r="AD51" s="4362"/>
      <c r="AE51" s="4362"/>
      <c r="AF51" s="4363"/>
      <c r="AG51" s="551"/>
      <c r="AH51" s="217"/>
    </row>
    <row r="52" spans="1:34" ht="12.75" customHeight="1">
      <c r="A52" s="942"/>
      <c r="B52" s="1588">
        <v>25</v>
      </c>
      <c r="C52" s="234" t="s">
        <v>1456</v>
      </c>
      <c r="D52" s="196"/>
      <c r="E52" s="196"/>
      <c r="F52" s="196"/>
      <c r="G52" s="311"/>
      <c r="H52" s="438"/>
      <c r="I52" s="2226"/>
      <c r="J52" s="2226"/>
      <c r="K52" s="2226"/>
      <c r="L52" s="2271">
        <v>25</v>
      </c>
      <c r="M52" s="4372">
        <f>IF(AC52&lt;&gt;"",AC52,SUM(AJ45,AL45,AN45,AJ46,AL46,AN46))</f>
        <v>0</v>
      </c>
      <c r="N52" s="4373"/>
      <c r="O52" s="4373"/>
      <c r="P52" s="4373"/>
      <c r="Q52" s="4373"/>
      <c r="R52" s="2133"/>
      <c r="S52" s="196"/>
      <c r="T52" s="551"/>
      <c r="U52" s="551"/>
      <c r="V52" s="551"/>
      <c r="W52" s="551"/>
      <c r="X52" s="551"/>
      <c r="Y52" s="551"/>
      <c r="Z52" s="551"/>
      <c r="AA52" s="551"/>
      <c r="AB52" s="551"/>
      <c r="AC52" s="4361"/>
      <c r="AD52" s="4362"/>
      <c r="AE52" s="4362"/>
      <c r="AF52" s="4363"/>
      <c r="AG52" s="551"/>
      <c r="AH52" s="217"/>
    </row>
    <row r="53" spans="1:34" ht="12.75" customHeight="1">
      <c r="A53" s="942"/>
      <c r="B53" s="438">
        <v>26</v>
      </c>
      <c r="C53" s="231" t="s">
        <v>1382</v>
      </c>
      <c r="D53" s="196"/>
      <c r="E53" s="196"/>
      <c r="F53" s="196"/>
      <c r="G53" s="196"/>
      <c r="H53" s="438"/>
      <c r="I53" s="196"/>
      <c r="J53" s="196"/>
      <c r="K53" s="196"/>
      <c r="L53" s="2721"/>
      <c r="M53" s="4376" t="str">
        <f>IF(M52&gt;0,"Enter the value in Line 25 as a negative amount.","")</f>
        <v/>
      </c>
      <c r="N53" s="4377"/>
      <c r="O53" s="4377"/>
      <c r="P53" s="4377"/>
      <c r="Q53" s="4377"/>
      <c r="R53" s="2133"/>
      <c r="S53" s="196"/>
      <c r="T53" s="551"/>
      <c r="U53" s="551"/>
      <c r="V53" s="551"/>
      <c r="W53" s="551"/>
      <c r="X53" s="551"/>
      <c r="Y53" s="551"/>
      <c r="Z53" s="551"/>
      <c r="AA53" s="551"/>
      <c r="AB53" s="551"/>
      <c r="AC53" s="551"/>
      <c r="AD53" s="551"/>
      <c r="AE53" s="551"/>
      <c r="AF53" s="551"/>
      <c r="AG53" s="551"/>
      <c r="AH53" s="217"/>
    </row>
    <row r="54" spans="1:34" ht="12.75" customHeight="1">
      <c r="A54" s="942"/>
      <c r="B54" s="438"/>
      <c r="C54" s="234" t="s">
        <v>1383</v>
      </c>
      <c r="D54" s="196"/>
      <c r="E54" s="196"/>
      <c r="F54" s="196"/>
      <c r="G54" s="196"/>
      <c r="H54" s="438"/>
      <c r="I54" s="196"/>
      <c r="J54" s="196"/>
      <c r="K54" s="196"/>
      <c r="L54" s="2720"/>
      <c r="M54" s="4378"/>
      <c r="N54" s="4379"/>
      <c r="O54" s="4379"/>
      <c r="P54" s="4379"/>
      <c r="Q54" s="4379"/>
      <c r="R54" s="2133"/>
      <c r="S54" s="196"/>
      <c r="T54" s="551"/>
      <c r="U54" s="551"/>
      <c r="V54" s="551"/>
      <c r="W54" s="551"/>
      <c r="X54" s="551"/>
      <c r="Y54" s="551"/>
      <c r="Z54" s="551"/>
      <c r="AA54" s="551"/>
      <c r="AB54" s="551"/>
      <c r="AC54" s="551"/>
      <c r="AD54" s="551"/>
      <c r="AE54" s="551"/>
      <c r="AF54" s="551"/>
      <c r="AG54" s="551"/>
      <c r="AH54" s="217"/>
    </row>
    <row r="55" spans="1:34" ht="13.5" thickBot="1">
      <c r="A55" s="942"/>
      <c r="B55" s="2134"/>
      <c r="C55" s="2234" t="s">
        <v>1461</v>
      </c>
      <c r="D55" s="2135"/>
      <c r="E55" s="2135"/>
      <c r="F55" s="2135"/>
      <c r="G55" s="2135"/>
      <c r="H55" s="2134"/>
      <c r="I55" s="2135"/>
      <c r="J55" s="2135"/>
      <c r="K55" s="2135"/>
      <c r="L55" s="2719">
        <v>26</v>
      </c>
      <c r="M55" s="4374">
        <f>IF(AC55&lt;&gt;"",AC55,SUM(M51,M52))</f>
        <v>0</v>
      </c>
      <c r="N55" s="4375"/>
      <c r="O55" s="4375"/>
      <c r="P55" s="4375"/>
      <c r="Q55" s="4375"/>
      <c r="R55" s="2133"/>
      <c r="S55" s="196"/>
      <c r="T55" s="551"/>
      <c r="U55" s="551"/>
      <c r="V55" s="551"/>
      <c r="W55" s="551"/>
      <c r="X55" s="551"/>
      <c r="Y55" s="551"/>
      <c r="Z55" s="551"/>
      <c r="AA55" s="551"/>
      <c r="AB55" s="551"/>
      <c r="AC55" s="4361"/>
      <c r="AD55" s="4362"/>
      <c r="AE55" s="4362"/>
      <c r="AF55" s="4363"/>
      <c r="AG55" s="551"/>
      <c r="AH55" s="217"/>
    </row>
    <row r="56" spans="1:34" ht="13.5" thickTop="1">
      <c r="A56" s="942"/>
      <c r="B56" s="2136" t="s">
        <v>2170</v>
      </c>
      <c r="C56" s="2137"/>
      <c r="D56" s="2137"/>
      <c r="E56" s="2137"/>
      <c r="F56" s="2137"/>
      <c r="G56" s="2137"/>
      <c r="H56" s="78"/>
      <c r="I56" s="2137"/>
      <c r="J56" s="57" t="s">
        <v>1384</v>
      </c>
      <c r="K56" s="57"/>
      <c r="L56" s="2137"/>
      <c r="M56" s="2272"/>
      <c r="N56" s="2272"/>
      <c r="O56" s="2272"/>
      <c r="P56" s="2273"/>
      <c r="Q56" s="2273" t="str">
        <f>"Schedule E (Form 1040) "&amp;TaxYear</f>
        <v>Schedule E (Form 1040) 2014</v>
      </c>
      <c r="R56" s="2138"/>
      <c r="S56" s="78"/>
      <c r="T56" s="551"/>
      <c r="U56" s="551"/>
      <c r="V56" s="551"/>
      <c r="W56" s="551"/>
      <c r="X56" s="551"/>
      <c r="Y56" s="551"/>
      <c r="Z56" s="551"/>
      <c r="AA56" s="551"/>
      <c r="AB56" s="551"/>
      <c r="AC56" s="551"/>
      <c r="AD56" s="551"/>
      <c r="AE56" s="551"/>
      <c r="AF56" s="551"/>
      <c r="AG56" s="551"/>
      <c r="AH56" s="217"/>
    </row>
    <row r="57" spans="1:34">
      <c r="A57" s="942"/>
      <c r="B57" s="2139"/>
      <c r="C57" s="2139"/>
      <c r="D57" s="2139"/>
      <c r="E57" s="2139"/>
      <c r="F57" s="2139"/>
      <c r="G57" s="2139"/>
      <c r="H57" s="2138"/>
      <c r="I57" s="2139"/>
      <c r="J57" s="2139"/>
      <c r="K57" s="2139"/>
      <c r="L57" s="2139"/>
      <c r="M57" s="2139"/>
      <c r="N57" s="2139"/>
      <c r="O57" s="2139"/>
      <c r="P57" s="2139"/>
      <c r="Q57" s="2139"/>
      <c r="R57" s="2138"/>
      <c r="S57" s="78"/>
      <c r="T57" s="551"/>
      <c r="U57" s="551"/>
      <c r="V57" s="551"/>
      <c r="W57" s="551"/>
      <c r="X57" s="551"/>
      <c r="Y57" s="551"/>
      <c r="Z57" s="551"/>
      <c r="AA57" s="551"/>
      <c r="AB57" s="551"/>
      <c r="AC57" s="551"/>
      <c r="AD57" s="551"/>
      <c r="AE57" s="551"/>
      <c r="AF57" s="551"/>
      <c r="AG57" s="551"/>
      <c r="AH57" s="217"/>
    </row>
    <row r="58" spans="1:34">
      <c r="B58" s="2141"/>
      <c r="C58" s="2141"/>
      <c r="D58" s="2141"/>
      <c r="E58" s="2141"/>
      <c r="F58" s="2141"/>
      <c r="G58" s="2141"/>
      <c r="H58" s="2140"/>
      <c r="I58" s="2141"/>
      <c r="J58" s="2141"/>
      <c r="K58" s="2141"/>
      <c r="L58" s="2141"/>
      <c r="M58" s="2141"/>
      <c r="N58" s="2141"/>
      <c r="O58" s="2141"/>
      <c r="P58" s="2141"/>
      <c r="Q58" s="2141"/>
      <c r="R58" s="2140"/>
      <c r="S58" s="2140"/>
      <c r="AB58" s="68"/>
      <c r="AC58" s="68"/>
      <c r="AD58" s="68"/>
      <c r="AE58" s="68"/>
      <c r="AF58" s="68"/>
      <c r="AG58" s="68"/>
      <c r="AH58" s="217"/>
    </row>
    <row r="59" spans="1:34">
      <c r="B59" s="2141"/>
      <c r="C59" s="2141"/>
      <c r="D59" s="2141"/>
      <c r="E59" s="2141"/>
      <c r="F59" s="2141"/>
      <c r="G59" s="2141"/>
      <c r="H59" s="2141"/>
      <c r="I59" s="2141"/>
      <c r="J59" s="2141"/>
      <c r="K59" s="2141"/>
      <c r="L59" s="2141"/>
      <c r="M59" s="2141"/>
      <c r="N59" s="2141"/>
      <c r="O59" s="2141"/>
      <c r="P59" s="2141"/>
      <c r="Q59" s="2141"/>
      <c r="R59" s="2140"/>
      <c r="S59" s="2140"/>
      <c r="AB59" s="68"/>
      <c r="AC59" s="68"/>
      <c r="AD59" s="68"/>
      <c r="AE59" s="68"/>
      <c r="AF59" s="68"/>
      <c r="AG59" s="68"/>
      <c r="AH59" s="217"/>
    </row>
    <row r="60" spans="1:34" ht="13.5" thickBot="1">
      <c r="B60" s="2141"/>
      <c r="C60" s="2141"/>
      <c r="D60" s="2141"/>
      <c r="E60" s="2141"/>
      <c r="F60" s="2141"/>
      <c r="G60" s="2141"/>
      <c r="H60" s="2141"/>
      <c r="I60" s="2141"/>
      <c r="J60" s="2141"/>
      <c r="K60" s="2141"/>
      <c r="L60" s="2141"/>
      <c r="M60" s="2141"/>
      <c r="N60" s="2141"/>
      <c r="O60" s="2141"/>
      <c r="P60" s="2141"/>
      <c r="Q60" s="2141"/>
      <c r="R60" s="2140"/>
      <c r="S60" s="2140"/>
      <c r="AB60" s="68"/>
      <c r="AC60" s="68"/>
      <c r="AD60" s="68"/>
      <c r="AE60" s="68"/>
      <c r="AF60" s="68"/>
      <c r="AG60" s="68"/>
      <c r="AH60" s="68"/>
    </row>
    <row r="61" spans="1:34" ht="14.25" thickTop="1" thickBot="1">
      <c r="B61" s="2141"/>
      <c r="C61" s="2141"/>
      <c r="D61" s="4414" t="s">
        <v>1385</v>
      </c>
      <c r="E61" s="4415"/>
      <c r="F61" s="4415"/>
      <c r="G61" s="4416"/>
      <c r="H61" s="2141"/>
      <c r="I61" s="2141"/>
      <c r="J61" s="2141"/>
      <c r="K61" s="2141"/>
      <c r="L61" s="2141"/>
      <c r="M61" s="2141"/>
      <c r="N61" s="2141"/>
      <c r="O61" s="2141"/>
      <c r="P61" s="2141"/>
      <c r="Q61" s="2141"/>
      <c r="R61" s="2140"/>
      <c r="S61" s="2140"/>
      <c r="AB61" s="68"/>
      <c r="AC61" s="68"/>
      <c r="AD61" s="68"/>
      <c r="AE61" s="68"/>
      <c r="AF61" s="68"/>
      <c r="AG61" s="68"/>
      <c r="AH61" s="68"/>
    </row>
    <row r="62" spans="1:34" ht="14.25" thickTop="1" thickBot="1">
      <c r="B62" s="2141"/>
      <c r="C62" s="2141"/>
      <c r="D62" s="2141"/>
      <c r="E62" s="2141"/>
      <c r="F62" s="2141"/>
      <c r="G62" s="2141"/>
      <c r="H62" s="2141"/>
      <c r="I62" s="2141"/>
      <c r="J62" s="2141"/>
      <c r="K62" s="2141"/>
      <c r="L62" s="2141"/>
      <c r="M62" s="2141"/>
      <c r="N62" s="2141"/>
      <c r="O62" s="2141"/>
      <c r="P62" s="2141"/>
      <c r="Q62" s="2141"/>
      <c r="R62" s="2140"/>
      <c r="S62" s="2140"/>
      <c r="AB62" s="68"/>
      <c r="AC62" s="68"/>
      <c r="AD62" s="68"/>
      <c r="AH62" s="68"/>
    </row>
    <row r="63" spans="1:34" ht="14.25" thickTop="1" thickBot="1">
      <c r="B63" s="2141"/>
      <c r="C63" s="2141"/>
      <c r="D63" s="4417" t="s">
        <v>1386</v>
      </c>
      <c r="E63" s="4418"/>
      <c r="F63" s="4418"/>
      <c r="G63" s="4419"/>
      <c r="H63" s="2141"/>
      <c r="I63" s="2141"/>
      <c r="J63" s="2141"/>
      <c r="K63" s="2141"/>
      <c r="L63" s="2141"/>
      <c r="M63" s="2141"/>
      <c r="N63" s="2141"/>
      <c r="O63" s="2141"/>
      <c r="P63" s="2141"/>
      <c r="Q63" s="2141"/>
      <c r="R63" s="2140"/>
      <c r="S63" s="2140"/>
      <c r="AB63" s="68"/>
      <c r="AC63" s="68"/>
      <c r="AD63" s="68"/>
      <c r="AH63" s="68"/>
    </row>
    <row r="64" spans="1:34" ht="13.5" thickTop="1">
      <c r="AC64" s="68"/>
    </row>
    <row r="65" spans="29:29">
      <c r="AC65" s="68"/>
    </row>
    <row r="66" spans="29:29">
      <c r="AC66" s="68"/>
    </row>
    <row r="67" spans="29:29" ht="28.5" customHeight="1">
      <c r="AC67" s="68"/>
    </row>
  </sheetData>
  <sheetProtection password="F07E" sheet="1" objects="1" scenarios="1"/>
  <mergeCells count="125">
    <mergeCell ref="M45:Q45"/>
    <mergeCell ref="I40:J40"/>
    <mergeCell ref="E42:G42"/>
    <mergeCell ref="C13:Q13"/>
    <mergeCell ref="C14:Q14"/>
    <mergeCell ref="C15:Q15"/>
    <mergeCell ref="C16:Q16"/>
    <mergeCell ref="L17:N17"/>
    <mergeCell ref="L18:N18"/>
    <mergeCell ref="L19:N19"/>
    <mergeCell ref="L20:N20"/>
    <mergeCell ref="O17:Q17"/>
    <mergeCell ref="F17:I20"/>
    <mergeCell ref="C19:D19"/>
    <mergeCell ref="I24:J24"/>
    <mergeCell ref="M26:Q26"/>
    <mergeCell ref="K26:L26"/>
    <mergeCell ref="I26:J26"/>
    <mergeCell ref="C26:G26"/>
    <mergeCell ref="I27:J27"/>
    <mergeCell ref="M24:Q24"/>
    <mergeCell ref="C20:D20"/>
    <mergeCell ref="C17:D17"/>
    <mergeCell ref="D27:G27"/>
    <mergeCell ref="D61:G61"/>
    <mergeCell ref="D63:G63"/>
    <mergeCell ref="C44:G44"/>
    <mergeCell ref="C45:G45"/>
    <mergeCell ref="K48:L48"/>
    <mergeCell ref="K49:L49"/>
    <mergeCell ref="K50:L50"/>
    <mergeCell ref="I43:J43"/>
    <mergeCell ref="K43:L43"/>
    <mergeCell ref="K46:L46"/>
    <mergeCell ref="K47:L47"/>
    <mergeCell ref="I44:J44"/>
    <mergeCell ref="K44:L44"/>
    <mergeCell ref="I45:J45"/>
    <mergeCell ref="K45:L45"/>
    <mergeCell ref="M29:Q29"/>
    <mergeCell ref="I30:J30"/>
    <mergeCell ref="K30:L30"/>
    <mergeCell ref="M30:Q30"/>
    <mergeCell ref="I31:J31"/>
    <mergeCell ref="K31:L31"/>
    <mergeCell ref="M31:Q31"/>
    <mergeCell ref="I37:J37"/>
    <mergeCell ref="K37:L37"/>
    <mergeCell ref="M37:Q37"/>
    <mergeCell ref="I36:J36"/>
    <mergeCell ref="K36:L36"/>
    <mergeCell ref="M36:Q36"/>
    <mergeCell ref="K29:L29"/>
    <mergeCell ref="B1:D1"/>
    <mergeCell ref="N2:Q2"/>
    <mergeCell ref="B3:D3"/>
    <mergeCell ref="N3:Q4"/>
    <mergeCell ref="B4:D4"/>
    <mergeCell ref="B5:D5"/>
    <mergeCell ref="O5:Q5"/>
    <mergeCell ref="I32:J32"/>
    <mergeCell ref="K32:L32"/>
    <mergeCell ref="M32:Q32"/>
    <mergeCell ref="B6:D6"/>
    <mergeCell ref="M28:Q28"/>
    <mergeCell ref="K24:L24"/>
    <mergeCell ref="I28:J28"/>
    <mergeCell ref="K27:L27"/>
    <mergeCell ref="K28:L28"/>
    <mergeCell ref="I25:J25"/>
    <mergeCell ref="E6:M6"/>
    <mergeCell ref="C18:D18"/>
    <mergeCell ref="E24:H24"/>
    <mergeCell ref="B24:D24"/>
    <mergeCell ref="L8:Q8"/>
    <mergeCell ref="L7:Q7"/>
    <mergeCell ref="I29:J29"/>
    <mergeCell ref="X44:AB44"/>
    <mergeCell ref="I39:J39"/>
    <mergeCell ref="K39:L39"/>
    <mergeCell ref="M39:Q39"/>
    <mergeCell ref="I42:J42"/>
    <mergeCell ref="K42:L42"/>
    <mergeCell ref="I33:J33"/>
    <mergeCell ref="K33:L33"/>
    <mergeCell ref="M33:Q33"/>
    <mergeCell ref="I41:J41"/>
    <mergeCell ref="K41:L41"/>
    <mergeCell ref="M41:Q41"/>
    <mergeCell ref="T43:W43"/>
    <mergeCell ref="X43:AB43"/>
    <mergeCell ref="I34:J34"/>
    <mergeCell ref="K34:L34"/>
    <mergeCell ref="M34:Q34"/>
    <mergeCell ref="I35:J35"/>
    <mergeCell ref="K35:L35"/>
    <mergeCell ref="M35:Q35"/>
    <mergeCell ref="K40:L40"/>
    <mergeCell ref="M40:Q40"/>
    <mergeCell ref="I38:J38"/>
    <mergeCell ref="K38:L38"/>
    <mergeCell ref="B8:K8"/>
    <mergeCell ref="AC51:AF51"/>
    <mergeCell ref="AC52:AF52"/>
    <mergeCell ref="AC55:AF55"/>
    <mergeCell ref="AC43:AF43"/>
    <mergeCell ref="AC44:AF44"/>
    <mergeCell ref="M27:Q27"/>
    <mergeCell ref="M25:Q25"/>
    <mergeCell ref="X49:AB49"/>
    <mergeCell ref="X50:AB50"/>
    <mergeCell ref="X46:AB46"/>
    <mergeCell ref="M52:Q52"/>
    <mergeCell ref="M55:Q55"/>
    <mergeCell ref="X47:AB47"/>
    <mergeCell ref="X48:AB48"/>
    <mergeCell ref="M53:Q54"/>
    <mergeCell ref="M51:Q51"/>
    <mergeCell ref="M38:Q38"/>
    <mergeCell ref="M43:Q43"/>
    <mergeCell ref="M44:Q44"/>
    <mergeCell ref="L22:Q23"/>
    <mergeCell ref="K25:L25"/>
    <mergeCell ref="M42:Q42"/>
    <mergeCell ref="T44:W44"/>
  </mergeCells>
  <conditionalFormatting sqref="B8">
    <cfRule type="expression" dxfId="771" priority="17">
      <formula>IF(NoColor,1,0)</formula>
    </cfRule>
  </conditionalFormatting>
  <conditionalFormatting sqref="N11:N12">
    <cfRule type="expression" dxfId="770" priority="16">
      <formula>IF(NoColor,1,0)</formula>
    </cfRule>
  </conditionalFormatting>
  <conditionalFormatting sqref="P11:P12">
    <cfRule type="expression" dxfId="769" priority="15">
      <formula>IF(NoColor,1,0)</formula>
    </cfRule>
  </conditionalFormatting>
  <conditionalFormatting sqref="C14:Q16">
    <cfRule type="expression" dxfId="768" priority="14">
      <formula>IF(NoColor,1,0)</formula>
    </cfRule>
  </conditionalFormatting>
  <conditionalFormatting sqref="C18:D20">
    <cfRule type="expression" dxfId="767" priority="13">
      <formula>IF(NoColor,1,0)</formula>
    </cfRule>
  </conditionalFormatting>
  <conditionalFormatting sqref="K18:O20 Q18:Q20">
    <cfRule type="expression" dxfId="766" priority="12">
      <formula>IF(NoColor,1,0)</formula>
    </cfRule>
  </conditionalFormatting>
  <conditionalFormatting sqref="L22:Q23">
    <cfRule type="expression" dxfId="765" priority="11">
      <formula>IF(NoColor,1,0)</formula>
    </cfRule>
  </conditionalFormatting>
  <conditionalFormatting sqref="I25:Q45">
    <cfRule type="expression" dxfId="764" priority="9">
      <formula>IF(NoColor,1,0)</formula>
    </cfRule>
  </conditionalFormatting>
  <conditionalFormatting sqref="K46:L50">
    <cfRule type="expression" dxfId="763" priority="8">
      <formula>IF(NoColor,1,0)</formula>
    </cfRule>
  </conditionalFormatting>
  <conditionalFormatting sqref="M51:Q52">
    <cfRule type="expression" dxfId="762" priority="7">
      <formula>IF(NoColor,1,0)</formula>
    </cfRule>
  </conditionalFormatting>
  <conditionalFormatting sqref="M55:Q55">
    <cfRule type="expression" dxfId="761" priority="6">
      <formula>IF(NoColor,1,0)</formula>
    </cfRule>
  </conditionalFormatting>
  <conditionalFormatting sqref="L8">
    <cfRule type="expression" dxfId="760" priority="5">
      <formula>IF(NoColor,1,0)</formula>
    </cfRule>
  </conditionalFormatting>
  <conditionalFormatting sqref="P18">
    <cfRule type="expression" dxfId="759" priority="4">
      <formula>IF(NoColor,1,0)</formula>
    </cfRule>
  </conditionalFormatting>
  <conditionalFormatting sqref="P19">
    <cfRule type="expression" dxfId="758" priority="3">
      <formula>IF(NoColor,1,0)</formula>
    </cfRule>
  </conditionalFormatting>
  <conditionalFormatting sqref="P20">
    <cfRule type="expression" dxfId="757" priority="2">
      <formula>IF(NoColor,1,0)</formula>
    </cfRule>
  </conditionalFormatting>
  <conditionalFormatting sqref="E42:G42">
    <cfRule type="expression" dxfId="756" priority="1">
      <formula>IF(NoColor,1,0)</formula>
    </cfRule>
  </conditionalFormatting>
  <hyperlinks>
    <hyperlink ref="D61:G61" r:id="rId1" display="Download Form 1040 Schedule E"/>
    <hyperlink ref="D63:G63" r:id="rId2" display="Download Form 1040 Schedule E Instructions"/>
  </hyperlinks>
  <printOptions horizontalCentered="1"/>
  <pageMargins left="0.41" right="0.25" top="0.36" bottom="0.28999999999999998" header="0.36" footer="0.21"/>
  <pageSetup scale="88" orientation="portrait" r:id="rId3"/>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U74"/>
  <sheetViews>
    <sheetView zoomScaleNormal="100" workbookViewId="0">
      <selection activeCell="J10" sqref="J10"/>
    </sheetView>
  </sheetViews>
  <sheetFormatPr defaultRowHeight="12.75"/>
  <cols>
    <col min="1" max="1" width="3.140625" customWidth="1"/>
    <col min="2" max="2" width="3.28515625" customWidth="1"/>
    <col min="3" max="3" width="7.7109375" customWidth="1"/>
    <col min="4" max="5" width="14.28515625" customWidth="1"/>
    <col min="6" max="6" width="12.7109375" customWidth="1"/>
    <col min="7" max="7" width="9" customWidth="1"/>
    <col min="8" max="8" width="2.5703125" customWidth="1"/>
    <col min="9" max="9" width="9" customWidth="1"/>
    <col min="10" max="10" width="3.5703125" customWidth="1"/>
    <col min="11" max="11" width="15.140625" customWidth="1"/>
    <col min="12" max="12" width="3.7109375" customWidth="1"/>
    <col min="13" max="13" width="6.7109375" customWidth="1"/>
    <col min="14" max="14" width="2.5703125" customWidth="1"/>
    <col min="15" max="15" width="6.7109375" customWidth="1"/>
    <col min="16" max="16" width="2.5703125" customWidth="1"/>
    <col min="17" max="17" width="2.28515625" customWidth="1"/>
    <col min="18" max="18" width="13.85546875" customWidth="1"/>
    <col min="19" max="19" width="2.42578125" customWidth="1"/>
  </cols>
  <sheetData>
    <row r="1" spans="1:21" ht="18.75" customHeight="1">
      <c r="A1" s="117"/>
      <c r="B1" s="4456"/>
      <c r="C1" s="4457"/>
      <c r="D1" s="4457"/>
      <c r="E1" s="1657"/>
      <c r="F1" s="117"/>
      <c r="G1" s="117"/>
      <c r="H1" s="117"/>
      <c r="I1" s="117"/>
      <c r="J1" s="117"/>
      <c r="K1" s="117"/>
      <c r="L1" s="117"/>
      <c r="M1" s="117"/>
      <c r="N1" s="117"/>
      <c r="O1" s="117"/>
      <c r="P1" s="117"/>
    </row>
    <row r="2" spans="1:21" ht="15.75" customHeight="1" thickBot="1">
      <c r="A2" s="117"/>
      <c r="B2" s="2142" t="str">
        <f>"Schedule E (Form 1040)   "&amp;TaxYear</f>
        <v>Schedule E (Form 1040)   2014</v>
      </c>
      <c r="C2" s="2143"/>
      <c r="D2" s="2143"/>
      <c r="E2" s="2143"/>
      <c r="F2" s="2143"/>
      <c r="G2" s="2144"/>
      <c r="H2" s="2144"/>
      <c r="I2" s="2144"/>
      <c r="J2" s="2144"/>
      <c r="K2" s="2144" t="s">
        <v>1387</v>
      </c>
      <c r="L2" s="2144"/>
      <c r="M2" s="4504" t="s">
        <v>1388</v>
      </c>
      <c r="N2" s="4505"/>
      <c r="O2" s="4505"/>
      <c r="P2" s="117"/>
    </row>
    <row r="3" spans="1:21" ht="11.25" customHeight="1">
      <c r="A3" s="117"/>
      <c r="B3" s="2754" t="s">
        <v>1389</v>
      </c>
      <c r="C3" s="2754"/>
      <c r="D3" s="2755"/>
      <c r="E3" s="2755"/>
      <c r="F3" s="2755"/>
      <c r="G3" s="2756"/>
      <c r="H3" s="2756"/>
      <c r="I3" s="2756"/>
      <c r="J3" s="2756"/>
      <c r="K3" s="4506" t="s">
        <v>151</v>
      </c>
      <c r="L3" s="4507"/>
      <c r="M3" s="4507"/>
      <c r="N3" s="4507"/>
      <c r="O3" s="4507"/>
      <c r="P3" s="117"/>
    </row>
    <row r="4" spans="1:21" ht="17.25" customHeight="1">
      <c r="A4" s="117"/>
      <c r="B4" s="4458" t="str">
        <f>Names</f>
        <v/>
      </c>
      <c r="C4" s="4459"/>
      <c r="D4" s="4459"/>
      <c r="E4" s="4459"/>
      <c r="F4" s="4459"/>
      <c r="G4" s="4459"/>
      <c r="H4" s="4459"/>
      <c r="I4" s="4459"/>
      <c r="J4" s="4460"/>
      <c r="K4" s="4508">
        <f>SS_Yours</f>
        <v>0</v>
      </c>
      <c r="L4" s="4509"/>
      <c r="M4" s="4509"/>
      <c r="N4" s="4509"/>
      <c r="O4" s="4509"/>
      <c r="P4" s="117"/>
    </row>
    <row r="5" spans="1:21">
      <c r="A5" s="117"/>
      <c r="B5" s="2145" t="s">
        <v>1390</v>
      </c>
      <c r="C5" s="2146"/>
      <c r="D5" s="2145"/>
      <c r="E5" s="2147"/>
      <c r="F5" s="2147"/>
      <c r="G5" s="2147"/>
      <c r="H5" s="2147"/>
      <c r="I5" s="2147"/>
      <c r="J5" s="2147"/>
      <c r="K5" s="2147"/>
      <c r="L5" s="2147"/>
      <c r="M5" s="4510"/>
      <c r="N5" s="4511"/>
      <c r="O5" s="4511"/>
      <c r="P5" s="117"/>
    </row>
    <row r="6" spans="1:21" ht="15">
      <c r="A6" s="117"/>
      <c r="B6" s="2148" t="s">
        <v>1391</v>
      </c>
      <c r="C6" s="2149"/>
      <c r="D6" s="2738" t="s">
        <v>1599</v>
      </c>
      <c r="E6" s="404"/>
      <c r="F6" s="404"/>
      <c r="G6" s="404"/>
      <c r="H6" s="404"/>
      <c r="I6" s="404"/>
      <c r="J6" s="404"/>
      <c r="K6" s="404"/>
      <c r="L6" s="404"/>
      <c r="M6" s="404"/>
      <c r="N6" s="404"/>
      <c r="O6" s="404"/>
      <c r="P6" s="117"/>
    </row>
    <row r="7" spans="1:21" ht="13.5" thickBot="1">
      <c r="A7" s="117"/>
      <c r="B7" s="404"/>
      <c r="C7" s="404"/>
      <c r="D7" s="445" t="s">
        <v>1600</v>
      </c>
      <c r="E7" s="404"/>
      <c r="F7" s="404"/>
      <c r="G7" s="404"/>
      <c r="H7" s="408"/>
      <c r="I7" s="408"/>
      <c r="J7" s="404"/>
      <c r="K7" s="404"/>
      <c r="L7" s="404"/>
      <c r="M7" s="404"/>
      <c r="N7" s="408"/>
      <c r="O7" s="408"/>
      <c r="P7" s="117"/>
    </row>
    <row r="8" spans="1:21">
      <c r="A8" s="117"/>
      <c r="B8" s="2152" t="str">
        <f>"27"</f>
        <v>27</v>
      </c>
      <c r="C8" s="2153" t="s">
        <v>2175</v>
      </c>
      <c r="D8" s="2154"/>
      <c r="E8" s="2155"/>
      <c r="F8" s="2155"/>
      <c r="G8" s="2155"/>
      <c r="H8" s="404"/>
      <c r="I8" s="404"/>
      <c r="J8" s="2155"/>
      <c r="K8" s="2155"/>
      <c r="L8" s="2155"/>
      <c r="M8" s="2155"/>
      <c r="N8" s="404"/>
      <c r="O8" s="404"/>
      <c r="P8" s="117"/>
    </row>
    <row r="9" spans="1:21" ht="12" customHeight="1" thickBot="1">
      <c r="A9" s="117"/>
      <c r="B9" s="404"/>
      <c r="C9" s="445" t="s">
        <v>2176</v>
      </c>
      <c r="D9" s="2151"/>
      <c r="E9" s="404"/>
      <c r="F9" s="404"/>
      <c r="G9" s="2150"/>
      <c r="H9" s="2150"/>
      <c r="I9" s="2150"/>
      <c r="J9" s="2156"/>
      <c r="K9" s="2150"/>
      <c r="L9" s="2156"/>
      <c r="M9" s="2150"/>
      <c r="N9" s="2150"/>
      <c r="O9" s="2150"/>
      <c r="P9" s="117"/>
    </row>
    <row r="10" spans="1:21" ht="13.5" thickBot="1">
      <c r="A10" s="117"/>
      <c r="B10" s="404"/>
      <c r="C10" s="445" t="s">
        <v>2177</v>
      </c>
      <c r="D10" s="2151"/>
      <c r="E10" s="404"/>
      <c r="F10" s="404"/>
      <c r="G10" s="404"/>
      <c r="H10" s="2150"/>
      <c r="I10" s="2150"/>
      <c r="J10" s="2739"/>
      <c r="K10" s="2157" t="s">
        <v>652</v>
      </c>
      <c r="L10" s="2739"/>
      <c r="M10" s="2150" t="s">
        <v>653</v>
      </c>
      <c r="N10" s="2150"/>
      <c r="O10" s="2150"/>
      <c r="P10" s="117"/>
    </row>
    <row r="11" spans="1:21" ht="6" customHeight="1" thickBot="1">
      <c r="A11" s="117"/>
      <c r="B11" s="408"/>
      <c r="C11" s="2158"/>
      <c r="D11" s="2159"/>
      <c r="E11" s="408"/>
      <c r="F11" s="408"/>
      <c r="G11" s="408"/>
      <c r="H11" s="408"/>
      <c r="I11" s="408"/>
      <c r="J11" s="408"/>
      <c r="K11" s="408"/>
      <c r="L11" s="408"/>
      <c r="M11" s="404"/>
      <c r="N11" s="404"/>
      <c r="O11" s="404"/>
      <c r="P11" s="117"/>
    </row>
    <row r="12" spans="1:21" ht="11.25" customHeight="1">
      <c r="A12" s="117"/>
      <c r="B12" s="2154"/>
      <c r="C12" s="2155"/>
      <c r="D12" s="2155"/>
      <c r="E12" s="2155"/>
      <c r="F12" s="2160" t="s">
        <v>1392</v>
      </c>
      <c r="G12" s="4465" t="s">
        <v>1601</v>
      </c>
      <c r="H12" s="4466"/>
      <c r="I12" s="4313"/>
      <c r="J12" s="2161"/>
      <c r="K12" s="2162" t="s">
        <v>1393</v>
      </c>
      <c r="L12" s="2163"/>
      <c r="M12" s="4512" t="s">
        <v>1394</v>
      </c>
      <c r="N12" s="4413"/>
      <c r="O12" s="4413"/>
      <c r="P12" s="117"/>
    </row>
    <row r="13" spans="1:21" ht="11.25" customHeight="1">
      <c r="A13" s="117"/>
      <c r="B13" s="2164">
        <v>28</v>
      </c>
      <c r="C13" s="2165"/>
      <c r="D13" s="2166" t="s">
        <v>1395</v>
      </c>
      <c r="E13" s="2167"/>
      <c r="F13" s="2168" t="s">
        <v>1396</v>
      </c>
      <c r="G13" s="4467"/>
      <c r="H13" s="4466"/>
      <c r="I13" s="4313"/>
      <c r="J13" s="2170"/>
      <c r="K13" s="2171" t="s">
        <v>1397</v>
      </c>
      <c r="L13" s="2169"/>
      <c r="M13" s="4503" t="s">
        <v>1398</v>
      </c>
      <c r="N13" s="3832"/>
      <c r="O13" s="3832"/>
      <c r="P13" s="117"/>
    </row>
    <row r="14" spans="1:21" ht="11.25" customHeight="1">
      <c r="A14" s="117"/>
      <c r="B14" s="2172"/>
      <c r="C14" s="2173"/>
      <c r="D14" s="2173"/>
      <c r="E14" s="2173"/>
      <c r="F14" s="2174" t="s">
        <v>1399</v>
      </c>
      <c r="G14" s="4468"/>
      <c r="H14" s="4469"/>
      <c r="I14" s="4316"/>
      <c r="J14" s="2175"/>
      <c r="K14" s="2176" t="s">
        <v>1400</v>
      </c>
      <c r="L14" s="2177"/>
      <c r="M14" s="4503" t="s">
        <v>1401</v>
      </c>
      <c r="N14" s="3832"/>
      <c r="O14" s="3832"/>
      <c r="P14" s="117"/>
    </row>
    <row r="15" spans="1:21">
      <c r="A15" s="117"/>
      <c r="B15" s="2178" t="s">
        <v>242</v>
      </c>
      <c r="C15" s="4461"/>
      <c r="D15" s="4462"/>
      <c r="E15" s="4463"/>
      <c r="F15" s="2745"/>
      <c r="G15" s="2179"/>
      <c r="H15" s="2746"/>
      <c r="I15" s="2726"/>
      <c r="J15" s="4464"/>
      <c r="K15" s="3746"/>
      <c r="L15" s="3747"/>
      <c r="M15" s="2724"/>
      <c r="N15" s="2746"/>
      <c r="O15" s="2725"/>
      <c r="P15" s="117"/>
    </row>
    <row r="16" spans="1:21">
      <c r="A16" s="117"/>
      <c r="B16" s="2178" t="s">
        <v>490</v>
      </c>
      <c r="C16" s="4461"/>
      <c r="D16" s="4462"/>
      <c r="E16" s="4463"/>
      <c r="F16" s="2745"/>
      <c r="G16" s="2179"/>
      <c r="H16" s="2746"/>
      <c r="I16" s="2726"/>
      <c r="J16" s="4464"/>
      <c r="K16" s="3746"/>
      <c r="L16" s="3747"/>
      <c r="M16" s="2724"/>
      <c r="N16" s="2746"/>
      <c r="O16" s="2725"/>
      <c r="P16" s="117"/>
      <c r="U16" s="2227"/>
    </row>
    <row r="17" spans="1:18">
      <c r="A17" s="117"/>
      <c r="B17" s="2178" t="s">
        <v>243</v>
      </c>
      <c r="C17" s="4461"/>
      <c r="D17" s="4462"/>
      <c r="E17" s="4463"/>
      <c r="F17" s="2745"/>
      <c r="G17" s="2179"/>
      <c r="H17" s="2746"/>
      <c r="I17" s="2726"/>
      <c r="J17" s="4464"/>
      <c r="K17" s="3746"/>
      <c r="L17" s="3747"/>
      <c r="M17" s="2724"/>
      <c r="N17" s="2746"/>
      <c r="O17" s="2725"/>
      <c r="P17" s="117"/>
    </row>
    <row r="18" spans="1:18">
      <c r="A18" s="117"/>
      <c r="B18" s="2178" t="s">
        <v>493</v>
      </c>
      <c r="C18" s="4461"/>
      <c r="D18" s="4462"/>
      <c r="E18" s="4463"/>
      <c r="F18" s="2745"/>
      <c r="G18" s="2179"/>
      <c r="H18" s="2746"/>
      <c r="I18" s="2726"/>
      <c r="J18" s="4464"/>
      <c r="K18" s="3746"/>
      <c r="L18" s="3747"/>
      <c r="M18" s="2724"/>
      <c r="N18" s="2746"/>
      <c r="O18" s="2725"/>
      <c r="P18" s="117"/>
    </row>
    <row r="19" spans="1:18">
      <c r="A19" s="117"/>
      <c r="B19" s="4470" t="s">
        <v>1402</v>
      </c>
      <c r="C19" s="4471"/>
      <c r="D19" s="4471"/>
      <c r="E19" s="4471"/>
      <c r="F19" s="4472"/>
      <c r="G19" s="4473" t="s">
        <v>1403</v>
      </c>
      <c r="H19" s="4473"/>
      <c r="I19" s="4473"/>
      <c r="J19" s="4474"/>
      <c r="K19" s="4474"/>
      <c r="L19" s="4474"/>
      <c r="M19" s="4474"/>
      <c r="N19" s="4474"/>
      <c r="O19" s="4474"/>
      <c r="P19" s="117"/>
    </row>
    <row r="20" spans="1:18" ht="9.75" customHeight="1">
      <c r="A20" s="117"/>
      <c r="B20" s="2151"/>
      <c r="C20" s="4529" t="s">
        <v>1611</v>
      </c>
      <c r="D20" s="4530"/>
      <c r="E20" s="4549" t="s">
        <v>1610</v>
      </c>
      <c r="F20" s="4550"/>
      <c r="G20" s="4534" t="s">
        <v>1596</v>
      </c>
      <c r="H20" s="4535"/>
      <c r="I20" s="4310"/>
      <c r="J20" s="4548" t="s">
        <v>2178</v>
      </c>
      <c r="K20" s="4535"/>
      <c r="L20" s="4310"/>
      <c r="M20" s="4549" t="s">
        <v>1595</v>
      </c>
      <c r="N20" s="4535"/>
      <c r="O20" s="4535"/>
      <c r="P20" s="117"/>
    </row>
    <row r="21" spans="1:18" ht="9.75" customHeight="1">
      <c r="A21" s="117"/>
      <c r="B21" s="2151"/>
      <c r="C21" s="4353"/>
      <c r="D21" s="4531"/>
      <c r="E21" s="4467"/>
      <c r="F21" s="4551"/>
      <c r="G21" s="4527"/>
      <c r="H21" s="4466"/>
      <c r="I21" s="4313"/>
      <c r="J21" s="4467"/>
      <c r="K21" s="4527"/>
      <c r="L21" s="4313"/>
      <c r="M21" s="4467"/>
      <c r="N21" s="4527"/>
      <c r="O21" s="4527"/>
      <c r="P21" s="117"/>
    </row>
    <row r="22" spans="1:18" ht="9.75" customHeight="1">
      <c r="A22" s="117"/>
      <c r="B22" s="2151"/>
      <c r="C22" s="4532"/>
      <c r="D22" s="4533"/>
      <c r="E22" s="4468"/>
      <c r="F22" s="4552"/>
      <c r="G22" s="4469"/>
      <c r="H22" s="4469"/>
      <c r="I22" s="4316"/>
      <c r="J22" s="4468"/>
      <c r="K22" s="4469"/>
      <c r="L22" s="4316"/>
      <c r="M22" s="4468"/>
      <c r="N22" s="4469"/>
      <c r="O22" s="4469"/>
      <c r="P22" s="117"/>
    </row>
    <row r="23" spans="1:18" ht="15" customHeight="1">
      <c r="A23" s="117"/>
      <c r="B23" s="2178" t="s">
        <v>242</v>
      </c>
      <c r="C23" s="4513"/>
      <c r="D23" s="4520"/>
      <c r="E23" s="4513"/>
      <c r="F23" s="4536"/>
      <c r="G23" s="4521"/>
      <c r="H23" s="4514"/>
      <c r="I23" s="4520"/>
      <c r="J23" s="4513"/>
      <c r="K23" s="4514"/>
      <c r="L23" s="4520"/>
      <c r="M23" s="4513"/>
      <c r="N23" s="4514"/>
      <c r="O23" s="4514"/>
      <c r="P23" s="117"/>
    </row>
    <row r="24" spans="1:18" ht="15" customHeight="1">
      <c r="A24" s="117"/>
      <c r="B24" s="2178" t="s">
        <v>490</v>
      </c>
      <c r="C24" s="4513"/>
      <c r="D24" s="4520"/>
      <c r="E24" s="4513"/>
      <c r="F24" s="4536"/>
      <c r="G24" s="4521"/>
      <c r="H24" s="4514"/>
      <c r="I24" s="4520"/>
      <c r="J24" s="4513"/>
      <c r="K24" s="4514"/>
      <c r="L24" s="4520"/>
      <c r="M24" s="4513"/>
      <c r="N24" s="4514"/>
      <c r="O24" s="4514"/>
      <c r="P24" s="117"/>
    </row>
    <row r="25" spans="1:18" ht="15" customHeight="1">
      <c r="A25" s="117"/>
      <c r="B25" s="2178" t="s">
        <v>243</v>
      </c>
      <c r="C25" s="4513"/>
      <c r="D25" s="4520"/>
      <c r="E25" s="4513"/>
      <c r="F25" s="4536"/>
      <c r="G25" s="4521"/>
      <c r="H25" s="4514"/>
      <c r="I25" s="4520"/>
      <c r="J25" s="4513"/>
      <c r="K25" s="4514"/>
      <c r="L25" s="4520"/>
      <c r="M25" s="4513"/>
      <c r="N25" s="4514"/>
      <c r="O25" s="4514"/>
      <c r="P25" s="117"/>
      <c r="R25" s="38" t="s">
        <v>152</v>
      </c>
    </row>
    <row r="26" spans="1:18" ht="15" customHeight="1">
      <c r="A26" s="117"/>
      <c r="B26" s="2178" t="s">
        <v>493</v>
      </c>
      <c r="C26" s="4513"/>
      <c r="D26" s="4520"/>
      <c r="E26" s="4513"/>
      <c r="F26" s="4536"/>
      <c r="G26" s="4521"/>
      <c r="H26" s="4514"/>
      <c r="I26" s="4520"/>
      <c r="J26" s="4513"/>
      <c r="K26" s="4514"/>
      <c r="L26" s="4520"/>
      <c r="M26" s="4513"/>
      <c r="N26" s="4514"/>
      <c r="O26" s="4514"/>
      <c r="P26" s="117"/>
      <c r="R26" s="38" t="s">
        <v>153</v>
      </c>
    </row>
    <row r="27" spans="1:18">
      <c r="A27" s="117"/>
      <c r="B27" s="2747">
        <v>29</v>
      </c>
      <c r="C27" s="2748" t="s">
        <v>1405</v>
      </c>
      <c r="D27" s="2960" t="str">
        <f>IF(OR(C23&lt;0,C24&lt;0,C25&lt;0,C26&lt;0),"Enter as positive number.","")</f>
        <v/>
      </c>
      <c r="E27" s="2964"/>
      <c r="F27" s="2965">
        <f>ROUND(SUM(E23:E26),0)</f>
        <v>0</v>
      </c>
      <c r="G27" s="4553" t="str">
        <f>IF(OR(G23&lt;0,G24&lt;0,G25&lt;0,G26&lt;0),"Enter as positive number.","")</f>
        <v/>
      </c>
      <c r="H27" s="4554"/>
      <c r="I27" s="4555"/>
      <c r="J27" s="2961" t="str">
        <f>IF(OR(J23&lt;0,J24&lt;0,J25&lt;0,J26&lt;0),"Enter as positive number.","")</f>
        <v/>
      </c>
      <c r="K27" s="2185"/>
      <c r="L27" s="2183"/>
      <c r="M27" s="4515">
        <f>ROUND(SUM(M23:M26),0)</f>
        <v>0</v>
      </c>
      <c r="N27" s="4516"/>
      <c r="O27" s="4516"/>
      <c r="P27" s="117"/>
      <c r="R27" s="38" t="s">
        <v>155</v>
      </c>
    </row>
    <row r="28" spans="1:18">
      <c r="A28" s="117"/>
      <c r="B28" s="2151"/>
      <c r="C28" s="2748" t="s">
        <v>1406</v>
      </c>
      <c r="D28" s="2963">
        <f>ROUND(SUM(C23:C26),0)</f>
        <v>0</v>
      </c>
      <c r="E28" s="2184"/>
      <c r="F28" s="2749"/>
      <c r="G28" s="4487">
        <f>ROUND(SUM(G23:G26),0)</f>
        <v>0</v>
      </c>
      <c r="H28" s="4547"/>
      <c r="I28" s="4488"/>
      <c r="J28" s="4540">
        <f>ROUND(SUM(J23:J26),0)</f>
        <v>0</v>
      </c>
      <c r="K28" s="4547"/>
      <c r="L28" s="4488"/>
      <c r="M28" s="4572"/>
      <c r="N28" s="4471"/>
      <c r="O28" s="4471"/>
      <c r="P28" s="117"/>
      <c r="R28" s="2206"/>
    </row>
    <row r="29" spans="1:18">
      <c r="A29" s="117"/>
      <c r="B29" s="2182">
        <v>30</v>
      </c>
      <c r="C29" s="2167" t="s">
        <v>1407</v>
      </c>
      <c r="D29" s="2167"/>
      <c r="E29" s="2167"/>
      <c r="F29" s="2167"/>
      <c r="G29" s="2167"/>
      <c r="H29" s="2167"/>
      <c r="I29" s="2167"/>
      <c r="J29" s="2167"/>
      <c r="K29" s="2167"/>
      <c r="L29" s="2186">
        <f>B29</f>
        <v>30</v>
      </c>
      <c r="M29" s="4573">
        <f>F27+M27</f>
        <v>0</v>
      </c>
      <c r="N29" s="4574"/>
      <c r="O29" s="4574"/>
      <c r="P29" s="117"/>
      <c r="R29" s="2206"/>
    </row>
    <row r="30" spans="1:18">
      <c r="A30" s="117"/>
      <c r="B30" s="2182">
        <v>31</v>
      </c>
      <c r="C30" s="2167" t="s">
        <v>1408</v>
      </c>
      <c r="D30" s="2167"/>
      <c r="E30" s="2167"/>
      <c r="F30" s="2167"/>
      <c r="G30" s="2167"/>
      <c r="H30" s="2167"/>
      <c r="I30" s="2167"/>
      <c r="J30" s="2167"/>
      <c r="K30" s="2167"/>
      <c r="L30" s="2186">
        <f>B30</f>
        <v>31</v>
      </c>
      <c r="M30" s="4573">
        <f>(D28+G28+J28)</f>
        <v>0</v>
      </c>
      <c r="N30" s="4574"/>
      <c r="O30" s="4574"/>
      <c r="P30" s="117"/>
      <c r="R30" s="2206"/>
    </row>
    <row r="31" spans="1:18" ht="13.5" thickBot="1">
      <c r="A31" s="117"/>
      <c r="B31" s="2182">
        <v>32</v>
      </c>
      <c r="C31" s="2167" t="s">
        <v>1409</v>
      </c>
      <c r="D31" s="2167"/>
      <c r="E31" s="2167"/>
      <c r="F31" s="2167"/>
      <c r="G31" s="2167"/>
      <c r="H31" s="2167"/>
      <c r="I31" s="2167"/>
      <c r="J31" s="2167"/>
      <c r="K31" s="2167"/>
      <c r="L31" s="2187"/>
      <c r="M31" s="4559"/>
      <c r="N31" s="3832"/>
      <c r="O31" s="3832"/>
      <c r="P31" s="117"/>
      <c r="R31" s="2206"/>
    </row>
    <row r="32" spans="1:18" ht="13.5" thickBot="1">
      <c r="A32" s="117"/>
      <c r="B32" s="2180"/>
      <c r="C32" s="2167" t="s">
        <v>1410</v>
      </c>
      <c r="D32" s="2167"/>
      <c r="E32" s="2167"/>
      <c r="F32" s="2167"/>
      <c r="G32" s="2167"/>
      <c r="H32" s="2167"/>
      <c r="I32" s="2167"/>
      <c r="J32" s="2167"/>
      <c r="K32" s="404"/>
      <c r="L32" s="2727">
        <f>B31</f>
        <v>32</v>
      </c>
      <c r="M32" s="4560">
        <f>IF(R32&lt;&gt;"",R32,SUM(M29,-M30))</f>
        <v>0</v>
      </c>
      <c r="N32" s="4561"/>
      <c r="O32" s="4561"/>
      <c r="P32" s="117"/>
      <c r="R32" s="2962"/>
    </row>
    <row r="33" spans="1:18" ht="15">
      <c r="A33" s="117"/>
      <c r="B33" s="2188" t="s">
        <v>1411</v>
      </c>
      <c r="C33" s="2189"/>
      <c r="D33" s="2190" t="s">
        <v>1412</v>
      </c>
      <c r="E33" s="2191"/>
      <c r="F33" s="2191"/>
      <c r="G33" s="2191"/>
      <c r="H33" s="2191"/>
      <c r="I33" s="2191"/>
      <c r="J33" s="2191"/>
      <c r="K33" s="2191"/>
      <c r="L33" s="4556"/>
      <c r="M33" s="3832"/>
      <c r="N33" s="3832"/>
      <c r="O33" s="3832"/>
      <c r="P33" s="117"/>
      <c r="R33" s="2206"/>
    </row>
    <row r="34" spans="1:18" ht="25.5" customHeight="1">
      <c r="A34" s="117"/>
      <c r="B34" s="2192">
        <v>33</v>
      </c>
      <c r="C34" s="2193"/>
      <c r="D34" s="2193"/>
      <c r="E34" s="2193"/>
      <c r="F34" s="2194" t="s">
        <v>1395</v>
      </c>
      <c r="G34" s="2193"/>
      <c r="H34" s="2193"/>
      <c r="I34" s="2193"/>
      <c r="J34" s="2193"/>
      <c r="K34" s="2195"/>
      <c r="L34" s="4557" t="s">
        <v>1597</v>
      </c>
      <c r="M34" s="4558"/>
      <c r="N34" s="4558"/>
      <c r="O34" s="4558"/>
      <c r="P34" s="117"/>
    </row>
    <row r="35" spans="1:18">
      <c r="A35" s="117"/>
      <c r="B35" s="2178" t="s">
        <v>242</v>
      </c>
      <c r="C35" s="4528"/>
      <c r="D35" s="4433"/>
      <c r="E35" s="4433"/>
      <c r="F35" s="4433"/>
      <c r="G35" s="4433"/>
      <c r="H35" s="4433"/>
      <c r="I35" s="4433"/>
      <c r="J35" s="4433"/>
      <c r="K35" s="4479"/>
      <c r="L35" s="4517"/>
      <c r="M35" s="3746"/>
      <c r="N35" s="3746"/>
      <c r="O35" s="3746"/>
      <c r="P35" s="117"/>
    </row>
    <row r="36" spans="1:18">
      <c r="A36" s="117"/>
      <c r="B36" s="2178" t="s">
        <v>490</v>
      </c>
      <c r="C36" s="4528"/>
      <c r="D36" s="4433"/>
      <c r="E36" s="4433"/>
      <c r="F36" s="4433"/>
      <c r="G36" s="4433"/>
      <c r="H36" s="4433"/>
      <c r="I36" s="4433"/>
      <c r="J36" s="4433"/>
      <c r="K36" s="4479"/>
      <c r="L36" s="4517"/>
      <c r="M36" s="3746"/>
      <c r="N36" s="3746"/>
      <c r="O36" s="3746"/>
      <c r="P36" s="117"/>
    </row>
    <row r="37" spans="1:18">
      <c r="A37" s="117"/>
      <c r="B37" s="4473" t="s">
        <v>1402</v>
      </c>
      <c r="C37" s="4474"/>
      <c r="D37" s="4474"/>
      <c r="E37" s="4474"/>
      <c r="F37" s="4474"/>
      <c r="G37" s="4474"/>
      <c r="H37" s="4474"/>
      <c r="I37" s="4562"/>
      <c r="J37" s="4518" t="s">
        <v>1403</v>
      </c>
      <c r="K37" s="4519"/>
      <c r="L37" s="4519"/>
      <c r="M37" s="4519"/>
      <c r="N37" s="3832"/>
      <c r="O37" s="3832"/>
      <c r="P37" s="117"/>
    </row>
    <row r="38" spans="1:18">
      <c r="A38" s="117"/>
      <c r="B38" s="4534" t="s">
        <v>1604</v>
      </c>
      <c r="C38" s="4535"/>
      <c r="D38" s="4535"/>
      <c r="E38" s="4310"/>
      <c r="F38" s="4549" t="s">
        <v>1602</v>
      </c>
      <c r="G38" s="4185"/>
      <c r="H38" s="4185"/>
      <c r="I38" s="4563"/>
      <c r="J38" s="2196" t="s">
        <v>1413</v>
      </c>
      <c r="K38" s="2196"/>
      <c r="L38" s="4567" t="s">
        <v>1603</v>
      </c>
      <c r="M38" s="4568"/>
      <c r="N38" s="4568"/>
      <c r="O38" s="4568"/>
      <c r="P38" s="117"/>
    </row>
    <row r="39" spans="1:18">
      <c r="A39" s="117"/>
      <c r="B39" s="4469"/>
      <c r="C39" s="4469"/>
      <c r="D39" s="4469"/>
      <c r="E39" s="4316"/>
      <c r="F39" s="4564"/>
      <c r="G39" s="4565"/>
      <c r="H39" s="4565"/>
      <c r="I39" s="4566"/>
      <c r="J39" s="2181"/>
      <c r="K39" s="2181" t="s">
        <v>1404</v>
      </c>
      <c r="L39" s="4569"/>
      <c r="M39" s="4570"/>
      <c r="N39" s="4570"/>
      <c r="O39" s="4570"/>
      <c r="P39" s="117"/>
    </row>
    <row r="40" spans="1:18">
      <c r="A40" s="117"/>
      <c r="B40" s="2178" t="s">
        <v>242</v>
      </c>
      <c r="C40" s="4513"/>
      <c r="D40" s="4514"/>
      <c r="E40" s="4520"/>
      <c r="F40" s="4541"/>
      <c r="G40" s="4542"/>
      <c r="H40" s="4542"/>
      <c r="I40" s="4543"/>
      <c r="J40" s="4521"/>
      <c r="K40" s="4520"/>
      <c r="L40" s="4513"/>
      <c r="M40" s="4514"/>
      <c r="N40" s="4514"/>
      <c r="O40" s="4514"/>
      <c r="P40" s="117"/>
    </row>
    <row r="41" spans="1:18">
      <c r="A41" s="117"/>
      <c r="B41" s="2178" t="s">
        <v>490</v>
      </c>
      <c r="C41" s="4513"/>
      <c r="D41" s="4514"/>
      <c r="E41" s="4520"/>
      <c r="F41" s="4541"/>
      <c r="G41" s="4542"/>
      <c r="H41" s="4542"/>
      <c r="I41" s="4543"/>
      <c r="J41" s="4521"/>
      <c r="K41" s="4520"/>
      <c r="L41" s="4513"/>
      <c r="M41" s="4514"/>
      <c r="N41" s="4514"/>
      <c r="O41" s="4514"/>
      <c r="P41" s="117"/>
    </row>
    <row r="42" spans="1:18">
      <c r="A42" s="117"/>
      <c r="B42" s="2747">
        <v>34</v>
      </c>
      <c r="C42" s="2748" t="s">
        <v>1405</v>
      </c>
      <c r="D42" s="2184"/>
      <c r="E42" s="2183"/>
      <c r="F42" s="4544">
        <f>ROUND(F40+F41,0)</f>
        <v>0</v>
      </c>
      <c r="G42" s="4545"/>
      <c r="H42" s="4545"/>
      <c r="I42" s="4546"/>
      <c r="J42" s="2185"/>
      <c r="K42" s="2183"/>
      <c r="L42" s="4484">
        <f>ROUND(L40+L41,0)</f>
        <v>0</v>
      </c>
      <c r="M42" s="4485"/>
      <c r="N42" s="4485"/>
      <c r="O42" s="4485"/>
      <c r="P42" s="117"/>
    </row>
    <row r="43" spans="1:18">
      <c r="A43" s="117"/>
      <c r="B43" s="2151"/>
      <c r="C43" s="2748" t="s">
        <v>1406</v>
      </c>
      <c r="D43" s="4540">
        <f>ROUND(C40+C41,0)</f>
        <v>0</v>
      </c>
      <c r="E43" s="4488"/>
      <c r="F43" s="4537"/>
      <c r="G43" s="4538"/>
      <c r="H43" s="4538"/>
      <c r="I43" s="4539"/>
      <c r="J43" s="4487">
        <f>ROUND(J40+J41,0)</f>
        <v>0</v>
      </c>
      <c r="K43" s="4488"/>
      <c r="L43" s="4486"/>
      <c r="M43" s="3832"/>
      <c r="N43" s="3832"/>
      <c r="O43" s="3832"/>
      <c r="P43" s="117"/>
    </row>
    <row r="44" spans="1:18">
      <c r="A44" s="117"/>
      <c r="B44" s="2182">
        <v>35</v>
      </c>
      <c r="C44" s="2167" t="s">
        <v>1414</v>
      </c>
      <c r="D44" s="2167"/>
      <c r="E44" s="2167"/>
      <c r="F44" s="2167"/>
      <c r="G44" s="2167"/>
      <c r="H44" s="2167"/>
      <c r="I44" s="2167"/>
      <c r="J44" s="2167"/>
      <c r="K44" s="2167"/>
      <c r="L44" s="2197">
        <f>B44</f>
        <v>35</v>
      </c>
      <c r="M44" s="4484">
        <f>F42+L42</f>
        <v>0</v>
      </c>
      <c r="N44" s="4485"/>
      <c r="O44" s="4485"/>
      <c r="P44" s="117"/>
    </row>
    <row r="45" spans="1:18" ht="13.5" thickBot="1">
      <c r="A45" s="117"/>
      <c r="B45" s="2182">
        <v>36</v>
      </c>
      <c r="C45" s="2167" t="s">
        <v>1415</v>
      </c>
      <c r="D45" s="2167"/>
      <c r="E45" s="2167"/>
      <c r="F45" s="2167"/>
      <c r="G45" s="2167"/>
      <c r="H45" s="2167"/>
      <c r="I45" s="2167"/>
      <c r="J45" s="2167"/>
      <c r="K45" s="2167"/>
      <c r="L45" s="2750">
        <f>B45</f>
        <v>36</v>
      </c>
      <c r="M45" s="4522">
        <f>-(D43+J43)</f>
        <v>0</v>
      </c>
      <c r="N45" s="4523"/>
      <c r="O45" s="4523"/>
      <c r="P45" s="117"/>
    </row>
    <row r="46" spans="1:18" ht="13.5" thickTop="1">
      <c r="A46" s="117"/>
      <c r="B46" s="2182">
        <v>37</v>
      </c>
      <c r="C46" s="2198" t="s">
        <v>1416</v>
      </c>
      <c r="D46" s="2167"/>
      <c r="E46" s="2167"/>
      <c r="F46" s="2167"/>
      <c r="G46" s="2167"/>
      <c r="H46" s="2167"/>
      <c r="I46" s="2167"/>
      <c r="J46" s="2167"/>
      <c r="K46" s="2167"/>
      <c r="L46" s="2209"/>
      <c r="M46" s="4525"/>
      <c r="N46" s="4526"/>
      <c r="O46" s="4526"/>
      <c r="P46" s="117"/>
    </row>
    <row r="47" spans="1:18" ht="13.5" thickBot="1">
      <c r="A47" s="117"/>
      <c r="B47" s="2180"/>
      <c r="C47" s="2167" t="s">
        <v>1417</v>
      </c>
      <c r="D47" s="2167"/>
      <c r="E47" s="2167"/>
      <c r="F47" s="2167"/>
      <c r="G47" s="2167"/>
      <c r="H47" s="2167"/>
      <c r="I47" s="2167"/>
      <c r="J47" s="2167"/>
      <c r="K47" s="404"/>
      <c r="L47" s="2199">
        <f>B46</f>
        <v>37</v>
      </c>
      <c r="M47" s="4489">
        <f>M44+M45</f>
        <v>0</v>
      </c>
      <c r="N47" s="4524"/>
      <c r="O47" s="4524"/>
      <c r="P47" s="117"/>
    </row>
    <row r="48" spans="1:18" ht="16.5" thickTop="1" thickBot="1">
      <c r="A48" s="117"/>
      <c r="B48" s="2730" t="s">
        <v>1418</v>
      </c>
      <c r="C48" s="2731"/>
      <c r="D48" s="4571" t="s">
        <v>1419</v>
      </c>
      <c r="E48" s="4492"/>
      <c r="F48" s="4492"/>
      <c r="G48" s="4492"/>
      <c r="H48" s="4492"/>
      <c r="I48" s="4492"/>
      <c r="J48" s="4492"/>
      <c r="K48" s="4492"/>
      <c r="L48" s="4492"/>
      <c r="M48" s="4492"/>
      <c r="N48" s="4492"/>
      <c r="O48" s="4492"/>
      <c r="P48" s="117"/>
    </row>
    <row r="49" spans="1:18" ht="10.5" customHeight="1">
      <c r="A49" s="117"/>
      <c r="B49" s="2729"/>
      <c r="C49" s="2728"/>
      <c r="D49" s="2202"/>
      <c r="E49" s="4465" t="s">
        <v>1420</v>
      </c>
      <c r="F49" s="4313"/>
      <c r="G49" s="4493" t="s">
        <v>1605</v>
      </c>
      <c r="H49" s="4494"/>
      <c r="I49" s="4495"/>
      <c r="J49" s="4499" t="s">
        <v>1421</v>
      </c>
      <c r="K49" s="4313"/>
      <c r="L49" s="4499" t="s">
        <v>1598</v>
      </c>
      <c r="M49" s="4527"/>
      <c r="N49" s="4466"/>
      <c r="O49" s="4466"/>
      <c r="P49" s="117"/>
      <c r="R49" s="38" t="s">
        <v>152</v>
      </c>
    </row>
    <row r="50" spans="1:18" ht="10.5" customHeight="1">
      <c r="A50" s="117"/>
      <c r="B50" s="2200">
        <v>38</v>
      </c>
      <c r="C50" s="2201" t="s">
        <v>1422</v>
      </c>
      <c r="D50" s="2202"/>
      <c r="E50" s="4467"/>
      <c r="F50" s="4313"/>
      <c r="G50" s="4467"/>
      <c r="H50" s="4466"/>
      <c r="I50" s="4313"/>
      <c r="J50" s="4467"/>
      <c r="K50" s="4313"/>
      <c r="L50" s="4467"/>
      <c r="M50" s="4466"/>
      <c r="N50" s="4466"/>
      <c r="O50" s="4466"/>
      <c r="P50" s="117"/>
      <c r="R50" s="38" t="s">
        <v>153</v>
      </c>
    </row>
    <row r="51" spans="1:18" ht="10.5" customHeight="1">
      <c r="A51" s="117"/>
      <c r="B51" s="2203"/>
      <c r="C51" s="2173"/>
      <c r="D51" s="2204"/>
      <c r="E51" s="4468"/>
      <c r="F51" s="4316"/>
      <c r="G51" s="4468"/>
      <c r="H51" s="4469"/>
      <c r="I51" s="4316"/>
      <c r="J51" s="4468"/>
      <c r="K51" s="4316"/>
      <c r="L51" s="4467"/>
      <c r="M51" s="4527"/>
      <c r="N51" s="4466"/>
      <c r="O51" s="4466"/>
      <c r="P51" s="117"/>
      <c r="R51" s="38" t="s">
        <v>155</v>
      </c>
    </row>
    <row r="52" spans="1:18">
      <c r="A52" s="117"/>
      <c r="B52" s="4478"/>
      <c r="C52" s="4433"/>
      <c r="D52" s="4479"/>
      <c r="E52" s="4480"/>
      <c r="F52" s="4481"/>
      <c r="G52" s="4496"/>
      <c r="H52" s="4497"/>
      <c r="I52" s="4498"/>
      <c r="J52" s="4482"/>
      <c r="K52" s="4483"/>
      <c r="L52" s="2205"/>
      <c r="M52" s="4513"/>
      <c r="N52" s="4514"/>
      <c r="O52" s="4514"/>
      <c r="P52" s="117"/>
      <c r="R52" s="2206"/>
    </row>
    <row r="53" spans="1:18" ht="13.5" thickBot="1">
      <c r="A53" s="117"/>
      <c r="B53" s="2182">
        <v>39</v>
      </c>
      <c r="C53" s="2167" t="s">
        <v>1423</v>
      </c>
      <c r="D53" s="2167"/>
      <c r="E53" s="2167"/>
      <c r="F53" s="2167"/>
      <c r="G53" s="2167"/>
      <c r="H53" s="2167"/>
      <c r="I53" s="2167"/>
      <c r="J53" s="2167"/>
      <c r="K53" s="2167"/>
      <c r="L53" s="2210">
        <f>B53</f>
        <v>39</v>
      </c>
      <c r="M53" s="4489">
        <f>ROUND((K52+M52),0)</f>
        <v>0</v>
      </c>
      <c r="N53" s="4490"/>
      <c r="O53" s="4490"/>
      <c r="P53" s="117"/>
      <c r="R53" s="2206"/>
    </row>
    <row r="54" spans="1:18" ht="16.5" thickTop="1" thickBot="1">
      <c r="A54" s="117"/>
      <c r="B54" s="2730" t="s">
        <v>1424</v>
      </c>
      <c r="C54" s="2731"/>
      <c r="D54" s="2732" t="s">
        <v>1425</v>
      </c>
      <c r="E54" s="4491"/>
      <c r="F54" s="4492"/>
      <c r="G54" s="4492"/>
      <c r="H54" s="4492"/>
      <c r="I54" s="4492"/>
      <c r="J54" s="4492"/>
      <c r="K54" s="4492"/>
      <c r="L54" s="4492"/>
      <c r="M54" s="4492"/>
      <c r="N54" s="4492"/>
      <c r="O54" s="4492"/>
      <c r="P54" s="117"/>
      <c r="R54" s="2206"/>
    </row>
    <row r="55" spans="1:18" ht="13.5" thickBot="1">
      <c r="A55" s="117"/>
      <c r="B55" s="2182">
        <v>40</v>
      </c>
      <c r="C55" s="2167" t="s">
        <v>1426</v>
      </c>
      <c r="D55" s="2167"/>
      <c r="E55" s="2167"/>
      <c r="F55" s="2167"/>
      <c r="G55" s="2167"/>
      <c r="H55" s="2167"/>
      <c r="I55" s="2167"/>
      <c r="J55" s="2167"/>
      <c r="K55" s="2167"/>
      <c r="L55" s="2737">
        <f>B55</f>
        <v>40</v>
      </c>
      <c r="M55" s="4500"/>
      <c r="N55" s="4501"/>
      <c r="O55" s="4501"/>
      <c r="P55" s="117"/>
      <c r="R55" s="2206"/>
    </row>
    <row r="56" spans="1:18" ht="13.5" thickBot="1">
      <c r="A56" s="117"/>
      <c r="B56" s="2182">
        <v>41</v>
      </c>
      <c r="C56" s="2207" t="s">
        <v>1606</v>
      </c>
      <c r="D56" s="2167"/>
      <c r="E56" s="2167"/>
      <c r="F56" s="2167"/>
      <c r="G56" s="2167"/>
      <c r="H56" s="2167"/>
      <c r="I56" s="2167"/>
      <c r="J56" s="2167"/>
      <c r="K56" s="2167"/>
      <c r="L56" s="2743">
        <f>B56</f>
        <v>41</v>
      </c>
      <c r="M56" s="4484">
        <f>IF(R56&lt;&gt;"",R56,SUM(SchE1_Line26,SchE2_Line32,SchE2_Line37,SchE2_Line39,SchE2_Line40))</f>
        <v>0</v>
      </c>
      <c r="N56" s="4502"/>
      <c r="O56" s="4502"/>
      <c r="P56" s="117"/>
      <c r="Q56" s="2797" t="b">
        <f>IF(OR(M32&lt;&gt;0,M47&lt;&gt;0,M52&lt;&gt;0),TRUE,FALSE)</f>
        <v>0</v>
      </c>
      <c r="R56" s="2962"/>
    </row>
    <row r="57" spans="1:18">
      <c r="A57" s="117"/>
      <c r="B57" s="2182">
        <v>42</v>
      </c>
      <c r="C57" s="2742" t="s">
        <v>1609</v>
      </c>
      <c r="D57" s="2167"/>
      <c r="E57" s="2167"/>
      <c r="F57" s="2167"/>
      <c r="G57" s="2167"/>
      <c r="H57" s="2740"/>
      <c r="I57" s="2740"/>
      <c r="J57" s="2734"/>
      <c r="K57" s="2735"/>
      <c r="L57" s="2208"/>
      <c r="M57" s="4476" t="b">
        <f>IF(OR(M32&lt;&gt;0,M47&lt;&gt;0,M53&lt;&gt;0,M55&lt;&gt;0),TRUE,FALSE)</f>
        <v>0</v>
      </c>
      <c r="N57" s="4477"/>
      <c r="O57" s="4477"/>
      <c r="P57" s="117"/>
      <c r="R57" s="2206"/>
    </row>
    <row r="58" spans="1:18">
      <c r="A58" s="117"/>
      <c r="B58" s="2180"/>
      <c r="C58" s="2180" t="s">
        <v>1607</v>
      </c>
      <c r="D58" s="2167"/>
      <c r="E58" s="2167"/>
      <c r="F58" s="2167"/>
      <c r="G58" s="2167"/>
      <c r="H58" s="2740"/>
      <c r="I58" s="2740"/>
      <c r="J58" s="2736"/>
      <c r="K58" s="2733"/>
      <c r="L58" s="2208"/>
      <c r="M58" s="4475"/>
      <c r="N58" s="3889"/>
      <c r="O58" s="3889"/>
      <c r="P58" s="117"/>
      <c r="R58" s="2206"/>
    </row>
    <row r="59" spans="1:18">
      <c r="A59" s="117"/>
      <c r="B59" s="2180"/>
      <c r="C59" s="2180" t="s">
        <v>1608</v>
      </c>
      <c r="D59" s="2167"/>
      <c r="E59" s="2167"/>
      <c r="F59" s="2167"/>
      <c r="G59" s="2167"/>
      <c r="H59" s="2740"/>
      <c r="I59" s="2740"/>
      <c r="J59" s="2736"/>
      <c r="K59" s="2733"/>
      <c r="L59" s="2208"/>
      <c r="M59" s="2208"/>
      <c r="N59" s="2208"/>
      <c r="O59" s="2208"/>
      <c r="P59" s="117"/>
      <c r="R59" s="2206"/>
    </row>
    <row r="60" spans="1:18">
      <c r="A60" s="117"/>
      <c r="B60" s="2180"/>
      <c r="C60" s="2180" t="s">
        <v>2179</v>
      </c>
      <c r="D60" s="2167"/>
      <c r="E60" s="2167"/>
      <c r="F60" s="2167"/>
      <c r="G60" s="2167"/>
      <c r="H60" s="2740"/>
      <c r="I60" s="2740"/>
      <c r="J60" s="2751">
        <f>B57</f>
        <v>42</v>
      </c>
      <c r="K60" s="2753"/>
      <c r="L60" s="2208"/>
      <c r="M60" s="2208"/>
      <c r="N60" s="2208"/>
      <c r="O60" s="2208"/>
      <c r="P60" s="117"/>
      <c r="R60" s="2206"/>
    </row>
    <row r="61" spans="1:18" ht="6.75" customHeight="1">
      <c r="A61" s="117"/>
      <c r="B61" s="2180"/>
      <c r="C61" s="2167"/>
      <c r="D61" s="2167"/>
      <c r="E61" s="2167"/>
      <c r="F61" s="2167"/>
      <c r="G61" s="2167"/>
      <c r="H61" s="2740"/>
      <c r="I61" s="2740"/>
      <c r="J61" s="2734"/>
      <c r="K61" s="2735"/>
      <c r="L61" s="2208"/>
      <c r="M61" s="2208"/>
      <c r="N61" s="2208"/>
      <c r="O61" s="2208"/>
      <c r="P61" s="117"/>
      <c r="R61" s="2206"/>
    </row>
    <row r="62" spans="1:18">
      <c r="A62" s="117"/>
      <c r="B62" s="2182">
        <v>43</v>
      </c>
      <c r="C62" s="2198" t="s">
        <v>1471</v>
      </c>
      <c r="D62" s="2167"/>
      <c r="E62" s="2167"/>
      <c r="F62" s="2167"/>
      <c r="G62" s="2167"/>
      <c r="H62" s="2740"/>
      <c r="I62" s="2740"/>
      <c r="J62" s="2736"/>
      <c r="K62" s="2733"/>
      <c r="L62" s="2208"/>
      <c r="M62" s="2208"/>
      <c r="N62" s="2208"/>
      <c r="O62" s="2208"/>
      <c r="P62" s="117"/>
      <c r="R62" s="2206"/>
    </row>
    <row r="63" spans="1:18">
      <c r="A63" s="117"/>
      <c r="B63" s="2180"/>
      <c r="C63" s="2180" t="s">
        <v>1472</v>
      </c>
      <c r="D63" s="2167"/>
      <c r="E63" s="2167"/>
      <c r="F63" s="2167"/>
      <c r="G63" s="2167"/>
      <c r="H63" s="2740"/>
      <c r="I63" s="2740"/>
      <c r="J63" s="2736"/>
      <c r="K63" s="2733"/>
      <c r="L63" s="2208"/>
      <c r="M63" s="2208"/>
      <c r="N63" s="2208"/>
      <c r="O63" s="2208"/>
      <c r="P63" s="117"/>
      <c r="R63" s="2206"/>
    </row>
    <row r="64" spans="1:18">
      <c r="A64" s="117"/>
      <c r="B64" s="2180"/>
      <c r="C64" s="2167" t="s">
        <v>1427</v>
      </c>
      <c r="D64" s="2167"/>
      <c r="E64" s="2167"/>
      <c r="F64" s="2167"/>
      <c r="G64" s="2167"/>
      <c r="H64" s="2740"/>
      <c r="I64" s="2740"/>
      <c r="J64" s="2736"/>
      <c r="K64" s="2733"/>
      <c r="L64" s="2208"/>
      <c r="M64" s="2208"/>
      <c r="N64" s="2208"/>
      <c r="O64" s="2208"/>
      <c r="P64" s="117"/>
      <c r="R64" s="2206"/>
    </row>
    <row r="65" spans="1:18" ht="13.5" thickBot="1">
      <c r="A65" s="117"/>
      <c r="B65" s="2159"/>
      <c r="C65" s="408" t="s">
        <v>1428</v>
      </c>
      <c r="D65" s="408"/>
      <c r="E65" s="408"/>
      <c r="F65" s="408"/>
      <c r="G65" s="408"/>
      <c r="H65" s="2741"/>
      <c r="I65" s="2741"/>
      <c r="J65" s="2744">
        <f>B62</f>
        <v>43</v>
      </c>
      <c r="K65" s="2752"/>
      <c r="L65" s="2211"/>
      <c r="M65" s="2211"/>
      <c r="N65" s="2211"/>
      <c r="O65" s="2211"/>
      <c r="P65" s="117"/>
      <c r="R65" s="2206"/>
    </row>
    <row r="66" spans="1:18">
      <c r="A66" s="117"/>
      <c r="B66" s="2180"/>
      <c r="C66" s="2167"/>
      <c r="D66" s="2167"/>
      <c r="E66" s="2167"/>
      <c r="F66" s="2167"/>
      <c r="G66" s="2167"/>
      <c r="H66" s="2212"/>
      <c r="I66" s="2212"/>
      <c r="J66" s="2167"/>
      <c r="K66" s="2167"/>
      <c r="L66" s="2167"/>
      <c r="M66" s="2212" t="str">
        <f>"Schedule E (Form 1040) "&amp; TaxYear</f>
        <v>Schedule E (Form 1040) 2014</v>
      </c>
      <c r="N66" s="2212"/>
      <c r="O66" s="2212"/>
      <c r="P66" s="117"/>
      <c r="R66" s="2206"/>
    </row>
    <row r="67" spans="1:18">
      <c r="A67" s="117"/>
      <c r="B67" s="2213"/>
      <c r="C67" s="2208"/>
      <c r="D67" s="2208"/>
      <c r="E67" s="2208"/>
      <c r="F67" s="2208"/>
      <c r="G67" s="2208"/>
      <c r="H67" s="2208"/>
      <c r="I67" s="2208"/>
      <c r="J67" s="2208"/>
      <c r="K67" s="2208"/>
      <c r="L67" s="2208"/>
      <c r="M67" s="2208"/>
      <c r="N67" s="2208"/>
      <c r="O67" s="2208"/>
      <c r="P67" s="117"/>
      <c r="R67" s="2206"/>
    </row>
    <row r="68" spans="1:18">
      <c r="C68" s="2165"/>
      <c r="D68" s="2165"/>
      <c r="E68" s="2165"/>
      <c r="F68" s="2165"/>
      <c r="G68" s="2165"/>
      <c r="H68" s="2165"/>
      <c r="I68" s="2165"/>
      <c r="J68" s="2165"/>
      <c r="K68" s="2165"/>
      <c r="L68" s="2165"/>
      <c r="M68" s="2165"/>
      <c r="N68" s="2165"/>
      <c r="O68" s="2165"/>
    </row>
    <row r="69" spans="1:18">
      <c r="C69" s="2165"/>
      <c r="D69" s="2165"/>
      <c r="E69" s="2165"/>
      <c r="F69" s="2165"/>
      <c r="G69" s="2165"/>
      <c r="H69" s="2165"/>
      <c r="I69" s="2165"/>
      <c r="J69" s="2165"/>
      <c r="K69" s="2165"/>
      <c r="L69" s="2165"/>
      <c r="M69" s="2165"/>
      <c r="N69" s="2165"/>
      <c r="O69" s="2165"/>
    </row>
    <row r="70" spans="1:18" ht="13.5" thickBot="1">
      <c r="C70" s="2141"/>
      <c r="D70" s="2141"/>
      <c r="E70" s="2141"/>
      <c r="F70" s="2141"/>
      <c r="G70" s="2165"/>
      <c r="H70" s="2165"/>
      <c r="I70" s="2165"/>
      <c r="J70" s="2165"/>
      <c r="K70" s="2165"/>
      <c r="L70" s="2165"/>
      <c r="M70" s="2165"/>
      <c r="N70" s="2165"/>
      <c r="O70" s="2165"/>
    </row>
    <row r="71" spans="1:18" ht="14.25" thickTop="1" thickBot="1">
      <c r="C71" s="4414" t="s">
        <v>1385</v>
      </c>
      <c r="D71" s="4415"/>
      <c r="E71" s="4415"/>
      <c r="F71" s="4416"/>
      <c r="G71" s="2165"/>
      <c r="H71" s="2165"/>
      <c r="I71" s="2165"/>
      <c r="J71" s="2165"/>
      <c r="K71" s="2165"/>
      <c r="L71" s="2165"/>
      <c r="M71" s="2165"/>
      <c r="N71" s="2165"/>
      <c r="O71" s="2165"/>
    </row>
    <row r="72" spans="1:18" ht="14.25" thickTop="1" thickBot="1">
      <c r="C72" s="2141"/>
      <c r="D72" s="2141"/>
      <c r="E72" s="2141"/>
      <c r="F72" s="2141"/>
      <c r="G72" s="2165"/>
      <c r="H72" s="2165"/>
      <c r="I72" s="2165"/>
      <c r="J72" s="2165"/>
      <c r="K72" s="2165"/>
      <c r="L72" s="2165"/>
      <c r="M72" s="2165"/>
      <c r="N72" s="2165"/>
      <c r="O72" s="2165"/>
    </row>
    <row r="73" spans="1:18" ht="14.25" thickTop="1" thickBot="1">
      <c r="C73" s="4414" t="s">
        <v>1386</v>
      </c>
      <c r="D73" s="4415"/>
      <c r="E73" s="4415"/>
      <c r="F73" s="4416"/>
      <c r="G73" s="2165"/>
      <c r="H73" s="2165"/>
      <c r="I73" s="2165"/>
      <c r="J73" s="2165"/>
      <c r="K73" s="2165"/>
      <c r="L73" s="2165"/>
      <c r="M73" s="2165"/>
      <c r="N73" s="2165"/>
      <c r="O73" s="2165"/>
    </row>
    <row r="74" spans="1:18" ht="13.5" thickTop="1"/>
  </sheetData>
  <sheetProtection password="F07E" sheet="1" objects="1" scenarios="1"/>
  <mergeCells count="101">
    <mergeCell ref="B37:I37"/>
    <mergeCell ref="F38:I39"/>
    <mergeCell ref="L38:O39"/>
    <mergeCell ref="D48:O48"/>
    <mergeCell ref="M52:O52"/>
    <mergeCell ref="L40:O40"/>
    <mergeCell ref="L41:O41"/>
    <mergeCell ref="M28:O28"/>
    <mergeCell ref="M29:O29"/>
    <mergeCell ref="M30:O30"/>
    <mergeCell ref="M20:O22"/>
    <mergeCell ref="G20:I22"/>
    <mergeCell ref="G23:I23"/>
    <mergeCell ref="G24:I24"/>
    <mergeCell ref="G25:I25"/>
    <mergeCell ref="G26:I26"/>
    <mergeCell ref="G27:I27"/>
    <mergeCell ref="L33:O33"/>
    <mergeCell ref="L34:O34"/>
    <mergeCell ref="M31:O31"/>
    <mergeCell ref="M32:O32"/>
    <mergeCell ref="J25:L25"/>
    <mergeCell ref="G28:I28"/>
    <mergeCell ref="C20:D22"/>
    <mergeCell ref="B38:E39"/>
    <mergeCell ref="C24:D24"/>
    <mergeCell ref="E24:F24"/>
    <mergeCell ref="C25:D25"/>
    <mergeCell ref="C35:K35"/>
    <mergeCell ref="C26:D26"/>
    <mergeCell ref="E26:F26"/>
    <mergeCell ref="C71:F71"/>
    <mergeCell ref="F43:I43"/>
    <mergeCell ref="D43:E43"/>
    <mergeCell ref="F40:I40"/>
    <mergeCell ref="F41:I41"/>
    <mergeCell ref="F42:I42"/>
    <mergeCell ref="C23:D23"/>
    <mergeCell ref="E23:F23"/>
    <mergeCell ref="J23:L23"/>
    <mergeCell ref="J24:L24"/>
    <mergeCell ref="J26:L26"/>
    <mergeCell ref="J28:L28"/>
    <mergeCell ref="J20:L22"/>
    <mergeCell ref="E20:F22"/>
    <mergeCell ref="L35:O35"/>
    <mergeCell ref="E25:F25"/>
    <mergeCell ref="C73:F73"/>
    <mergeCell ref="M13:O13"/>
    <mergeCell ref="M14:O14"/>
    <mergeCell ref="M2:O2"/>
    <mergeCell ref="K3:O3"/>
    <mergeCell ref="K4:O4"/>
    <mergeCell ref="M5:O5"/>
    <mergeCell ref="M12:O12"/>
    <mergeCell ref="M23:O23"/>
    <mergeCell ref="M24:O24"/>
    <mergeCell ref="M25:O25"/>
    <mergeCell ref="M26:O26"/>
    <mergeCell ref="M27:O27"/>
    <mergeCell ref="L36:O36"/>
    <mergeCell ref="J37:O37"/>
    <mergeCell ref="C40:E40"/>
    <mergeCell ref="J40:K40"/>
    <mergeCell ref="C41:E41"/>
    <mergeCell ref="J41:K41"/>
    <mergeCell ref="M45:O45"/>
    <mergeCell ref="M47:O47"/>
    <mergeCell ref="M46:O46"/>
    <mergeCell ref="L49:O51"/>
    <mergeCell ref="C36:K36"/>
    <mergeCell ref="M58:O58"/>
    <mergeCell ref="M57:O57"/>
    <mergeCell ref="B52:D52"/>
    <mergeCell ref="E52:F52"/>
    <mergeCell ref="J52:K52"/>
    <mergeCell ref="L42:O42"/>
    <mergeCell ref="L43:O43"/>
    <mergeCell ref="M44:O44"/>
    <mergeCell ref="J43:K43"/>
    <mergeCell ref="M53:O53"/>
    <mergeCell ref="E54:O54"/>
    <mergeCell ref="G49:I51"/>
    <mergeCell ref="G52:I52"/>
    <mergeCell ref="E49:F51"/>
    <mergeCell ref="J49:K51"/>
    <mergeCell ref="M55:O55"/>
    <mergeCell ref="M56:O56"/>
    <mergeCell ref="B1:D1"/>
    <mergeCell ref="B4:J4"/>
    <mergeCell ref="C15:E15"/>
    <mergeCell ref="J15:L15"/>
    <mergeCell ref="G12:I14"/>
    <mergeCell ref="B19:F19"/>
    <mergeCell ref="C16:E16"/>
    <mergeCell ref="J16:L16"/>
    <mergeCell ref="C17:E17"/>
    <mergeCell ref="J17:L17"/>
    <mergeCell ref="C18:E18"/>
    <mergeCell ref="J18:L18"/>
    <mergeCell ref="G19:O19"/>
  </mergeCells>
  <conditionalFormatting sqref="J10">
    <cfRule type="expression" dxfId="755" priority="26">
      <formula>IF(NoColor,1,0)</formula>
    </cfRule>
  </conditionalFormatting>
  <conditionalFormatting sqref="L10">
    <cfRule type="expression" dxfId="754" priority="25">
      <formula>IF(NoColor,1,0)</formula>
    </cfRule>
  </conditionalFormatting>
  <conditionalFormatting sqref="H15:H18">
    <cfRule type="expression" dxfId="753" priority="24">
      <formula>IF(NoColor,1,0)</formula>
    </cfRule>
  </conditionalFormatting>
  <conditionalFormatting sqref="N15:N18">
    <cfRule type="expression" dxfId="752" priority="23">
      <formula>IF(NoColor,1,0)</formula>
    </cfRule>
  </conditionalFormatting>
  <conditionalFormatting sqref="C15:E18">
    <cfRule type="expression" dxfId="751" priority="22">
      <formula>IF(NoColor,1,0)</formula>
    </cfRule>
  </conditionalFormatting>
  <conditionalFormatting sqref="F15:F18">
    <cfRule type="expression" dxfId="750" priority="21">
      <formula>IF(NoColor,1,0)</formula>
    </cfRule>
  </conditionalFormatting>
  <conditionalFormatting sqref="J15:L18">
    <cfRule type="expression" dxfId="749" priority="20">
      <formula>IF(NoColor,1,0)</formula>
    </cfRule>
  </conditionalFormatting>
  <conditionalFormatting sqref="C23:O26">
    <cfRule type="expression" dxfId="748" priority="19">
      <formula>IF(NoColor,1,0)</formula>
    </cfRule>
  </conditionalFormatting>
  <conditionalFormatting sqref="E27:F27">
    <cfRule type="expression" dxfId="747" priority="18">
      <formula>IF(NoColor,1,0)</formula>
    </cfRule>
  </conditionalFormatting>
  <conditionalFormatting sqref="D28">
    <cfRule type="expression" dxfId="746" priority="17">
      <formula>IF(NoColor,1,0)</formula>
    </cfRule>
  </conditionalFormatting>
  <conditionalFormatting sqref="G28:L28">
    <cfRule type="expression" dxfId="745" priority="16">
      <formula>IF(NoColor,1,0)</formula>
    </cfRule>
  </conditionalFormatting>
  <conditionalFormatting sqref="M27:O27">
    <cfRule type="expression" dxfId="744" priority="15">
      <formula>IF(NoColor,1,0)</formula>
    </cfRule>
  </conditionalFormatting>
  <conditionalFormatting sqref="M29:O32">
    <cfRule type="expression" dxfId="743" priority="14">
      <formula>IF(NoColor,1,0)</formula>
    </cfRule>
  </conditionalFormatting>
  <conditionalFormatting sqref="C35:O36">
    <cfRule type="expression" dxfId="742" priority="13">
      <formula>IF(NoColor,1,0)</formula>
    </cfRule>
  </conditionalFormatting>
  <conditionalFormatting sqref="C40:O41">
    <cfRule type="expression" dxfId="741" priority="12">
      <formula>IF(NoColor,1,0)</formula>
    </cfRule>
  </conditionalFormatting>
  <conditionalFormatting sqref="D43:E43">
    <cfRule type="expression" dxfId="740" priority="11">
      <formula>IF(NoColor,1,0)</formula>
    </cfRule>
  </conditionalFormatting>
  <conditionalFormatting sqref="F42:I42">
    <cfRule type="expression" dxfId="739" priority="10">
      <formula>IF(NoColor,1,0)</formula>
    </cfRule>
  </conditionalFormatting>
  <conditionalFormatting sqref="J43:K43">
    <cfRule type="expression" dxfId="738" priority="9">
      <formula>IF(NoColor,1,0)</formula>
    </cfRule>
  </conditionalFormatting>
  <conditionalFormatting sqref="L42:O42">
    <cfRule type="expression" dxfId="737" priority="8">
      <formula>IF(NoColor,1,0)</formula>
    </cfRule>
  </conditionalFormatting>
  <conditionalFormatting sqref="M44:O47">
    <cfRule type="expression" dxfId="736" priority="7">
      <formula>IF(NoColor,1,0)</formula>
    </cfRule>
  </conditionalFormatting>
  <conditionalFormatting sqref="B52:O52">
    <cfRule type="expression" dxfId="735" priority="6">
      <formula>IF(NoColor,1,0)</formula>
    </cfRule>
  </conditionalFormatting>
  <conditionalFormatting sqref="M53:O53">
    <cfRule type="expression" dxfId="734" priority="5">
      <formula>IF(NoColor,1,0)</formula>
    </cfRule>
  </conditionalFormatting>
  <conditionalFormatting sqref="M55:O56">
    <cfRule type="expression" dxfId="733" priority="4">
      <formula>IF(NoColor,1,0)</formula>
    </cfRule>
  </conditionalFormatting>
  <conditionalFormatting sqref="K60">
    <cfRule type="expression" dxfId="732" priority="3">
      <formula>IF(NoColor,1,0)</formula>
    </cfRule>
  </conditionalFormatting>
  <conditionalFormatting sqref="K65">
    <cfRule type="expression" dxfId="731" priority="2">
      <formula>IF(NoColor,1,0)</formula>
    </cfRule>
  </conditionalFormatting>
  <conditionalFormatting sqref="B4:O4">
    <cfRule type="expression" dxfId="730" priority="1">
      <formula>IF(NoColor,1,0)</formula>
    </cfRule>
  </conditionalFormatting>
  <hyperlinks>
    <hyperlink ref="C71:F71" r:id="rId1" display="Download Form 1040 Schedule E"/>
    <hyperlink ref="C73:F73" r:id="rId2" display="Download Form 1040 Schedule E Instructions"/>
  </hyperlinks>
  <printOptions horizontalCentered="1" gridLines="1" gridLinesSet="0"/>
  <pageMargins left="0.56000000000000005" right="0.41" top="0.49" bottom="0.46" header="0.5" footer="0.4"/>
  <pageSetup scale="87" orientation="portrait" r:id="rId3"/>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27"/>
  <sheetViews>
    <sheetView zoomScaleNormal="100" workbookViewId="0">
      <selection activeCell="O11" sqref="O11"/>
    </sheetView>
  </sheetViews>
  <sheetFormatPr defaultRowHeight="12.75"/>
  <cols>
    <col min="1" max="1" width="2" customWidth="1"/>
    <col min="2" max="2" width="3.85546875" customWidth="1"/>
    <col min="3" max="3" width="4" customWidth="1"/>
    <col min="4" max="4" width="10.28515625" customWidth="1"/>
    <col min="5" max="5" width="10" customWidth="1"/>
    <col min="6" max="6" width="3" customWidth="1"/>
    <col min="7" max="7" width="6.28515625" customWidth="1"/>
    <col min="8" max="13" width="3.28515625" customWidth="1"/>
    <col min="14" max="14" width="1.7109375" customWidth="1"/>
    <col min="15" max="15" width="2.85546875" customWidth="1"/>
    <col min="16" max="16" width="4.85546875" customWidth="1"/>
    <col min="17" max="17" width="2.42578125" customWidth="1"/>
    <col min="18" max="18" width="9.42578125" customWidth="1"/>
    <col min="19" max="19" width="3.7109375" customWidth="1"/>
    <col min="20" max="28" width="3.28515625" customWidth="1"/>
    <col min="29" max="29" width="1.7109375" customWidth="1"/>
    <col min="30" max="30" width="11.5703125" style="68" customWidth="1"/>
    <col min="31" max="31" width="1.7109375" customWidth="1"/>
  </cols>
  <sheetData>
    <row r="1" spans="1:31" ht="15.75" customHeight="1">
      <c r="A1" s="117"/>
      <c r="B1" s="117"/>
      <c r="C1" s="117"/>
      <c r="D1" s="117"/>
      <c r="E1" s="1657"/>
      <c r="F1" s="117"/>
      <c r="G1" s="117"/>
      <c r="H1" s="117"/>
      <c r="I1" s="117"/>
      <c r="J1" s="117"/>
      <c r="K1" s="117"/>
      <c r="L1" s="117"/>
      <c r="M1" s="117"/>
      <c r="N1" s="117"/>
      <c r="O1" s="117"/>
      <c r="P1" s="117"/>
      <c r="Q1" s="117"/>
      <c r="R1" s="117"/>
      <c r="S1" s="117"/>
      <c r="T1" s="117"/>
      <c r="U1" s="117"/>
      <c r="V1" s="117"/>
      <c r="W1" s="117"/>
      <c r="X1" s="117"/>
      <c r="Y1" s="117"/>
      <c r="Z1" s="117"/>
      <c r="AA1" s="117"/>
      <c r="AB1" s="117"/>
      <c r="AC1" s="942"/>
      <c r="AD1" s="551"/>
      <c r="AE1" s="942"/>
    </row>
    <row r="2" spans="1:31" ht="15.75" customHeight="1">
      <c r="A2" s="117"/>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942"/>
      <c r="AD2" s="551"/>
      <c r="AE2" s="942"/>
    </row>
    <row r="3" spans="1:31" ht="10.5" customHeight="1">
      <c r="A3" s="117"/>
      <c r="B3" s="4604" t="s">
        <v>2008</v>
      </c>
      <c r="C3" s="4604"/>
      <c r="D3" s="4605"/>
      <c r="E3" s="2807"/>
      <c r="F3" s="2581"/>
      <c r="G3" s="2581"/>
      <c r="H3" s="2581"/>
      <c r="I3" s="2581"/>
      <c r="J3" s="2581"/>
      <c r="K3" s="2581"/>
      <c r="L3" s="2581"/>
      <c r="M3" s="2581"/>
      <c r="N3" s="2581"/>
      <c r="O3" s="2581"/>
      <c r="P3" s="2581"/>
      <c r="Q3" s="2581"/>
      <c r="R3" s="2581"/>
      <c r="S3" s="2581"/>
      <c r="T3" s="2581"/>
      <c r="U3" s="2581"/>
      <c r="V3" s="2581"/>
      <c r="W3" s="2581"/>
      <c r="X3" s="3181" t="s">
        <v>257</v>
      </c>
      <c r="Y3" s="3181"/>
      <c r="Z3" s="3182"/>
      <c r="AA3" s="3182"/>
      <c r="AB3" s="3182"/>
      <c r="AC3" s="942"/>
      <c r="AD3" s="551"/>
      <c r="AE3" s="942"/>
    </row>
    <row r="4" spans="1:31" s="3" customFormat="1" ht="21.75" customHeight="1">
      <c r="A4" s="1023"/>
      <c r="B4" s="4606"/>
      <c r="C4" s="4606"/>
      <c r="D4" s="4605"/>
      <c r="E4" s="3149"/>
      <c r="F4" s="231"/>
      <c r="G4" s="3196" t="s">
        <v>2004</v>
      </c>
      <c r="H4" s="364"/>
      <c r="I4" s="364"/>
      <c r="J4" s="364"/>
      <c r="K4" s="364"/>
      <c r="L4" s="364"/>
      <c r="M4" s="364"/>
      <c r="N4" s="198"/>
      <c r="O4" s="198"/>
      <c r="P4" s="198"/>
      <c r="Q4" s="198"/>
      <c r="R4" s="192"/>
      <c r="S4" s="192"/>
      <c r="T4" s="198"/>
      <c r="U4" s="364"/>
      <c r="V4" s="364"/>
      <c r="W4" s="235"/>
      <c r="X4" s="4581">
        <f>TaxYear</f>
        <v>2014</v>
      </c>
      <c r="Y4" s="4582"/>
      <c r="Z4" s="4582"/>
      <c r="AA4" s="4582"/>
      <c r="AB4" s="4582"/>
      <c r="AC4" s="1023"/>
      <c r="AD4" s="551"/>
      <c r="AE4" s="1023"/>
    </row>
    <row r="5" spans="1:31" ht="9.75" customHeight="1">
      <c r="A5" s="942"/>
      <c r="B5" s="3150"/>
      <c r="C5" s="3150"/>
      <c r="D5" s="3180"/>
      <c r="E5" s="3218" t="s">
        <v>2005</v>
      </c>
      <c r="F5" s="3184"/>
      <c r="G5" s="3184"/>
      <c r="H5" s="3184"/>
      <c r="I5" s="3184"/>
      <c r="J5" s="3184"/>
      <c r="K5" s="3184"/>
      <c r="L5" s="3184"/>
      <c r="M5" s="3184"/>
      <c r="N5" s="3184"/>
      <c r="O5" s="3184"/>
      <c r="P5" s="3184"/>
      <c r="Q5" s="3184"/>
      <c r="R5" s="3184"/>
      <c r="S5" s="3184"/>
      <c r="T5" s="3184"/>
      <c r="U5" s="3184"/>
      <c r="V5" s="3184"/>
      <c r="W5" s="3184"/>
      <c r="X5" s="4583" t="s">
        <v>2007</v>
      </c>
      <c r="Y5" s="4584"/>
      <c r="Z5" s="4584"/>
      <c r="AA5" s="4584"/>
      <c r="AB5" s="4584"/>
      <c r="AC5" s="942"/>
      <c r="AD5" s="551"/>
      <c r="AE5" s="942"/>
    </row>
    <row r="6" spans="1:31" ht="12" customHeight="1">
      <c r="A6" s="942"/>
      <c r="B6" s="4607" t="s">
        <v>2006</v>
      </c>
      <c r="C6" s="4607"/>
      <c r="D6" s="4608"/>
      <c r="E6" s="3219" t="s">
        <v>2143</v>
      </c>
      <c r="F6" s="3183"/>
      <c r="G6" s="3183"/>
      <c r="H6" s="3183"/>
      <c r="I6" s="3183"/>
      <c r="J6" s="3183"/>
      <c r="K6" s="3183"/>
      <c r="L6" s="3183"/>
      <c r="M6" s="3183"/>
      <c r="N6" s="3183"/>
      <c r="O6" s="3183"/>
      <c r="P6" s="3183"/>
      <c r="Q6" s="3183"/>
      <c r="R6" s="3183"/>
      <c r="S6" s="3183"/>
      <c r="T6" s="3183"/>
      <c r="U6" s="3183"/>
      <c r="V6" s="3183"/>
      <c r="W6" s="3183"/>
      <c r="X6" s="4585"/>
      <c r="Y6" s="4584"/>
      <c r="Z6" s="4584"/>
      <c r="AA6" s="4584"/>
      <c r="AB6" s="4584"/>
      <c r="AC6" s="942"/>
      <c r="AD6" s="551"/>
      <c r="AE6" s="942"/>
    </row>
    <row r="7" spans="1:31" ht="6.75" customHeight="1">
      <c r="A7" s="942"/>
      <c r="B7" s="4200"/>
      <c r="C7" s="4200"/>
      <c r="D7" s="4609"/>
      <c r="E7" s="3185"/>
      <c r="F7" s="3186"/>
      <c r="G7" s="3186"/>
      <c r="H7" s="3186"/>
      <c r="I7" s="3186"/>
      <c r="J7" s="3186"/>
      <c r="K7" s="3186"/>
      <c r="L7" s="3186"/>
      <c r="M7" s="3186"/>
      <c r="N7" s="3186"/>
      <c r="O7" s="3186"/>
      <c r="P7" s="3186"/>
      <c r="Q7" s="3186"/>
      <c r="R7" s="3186"/>
      <c r="S7" s="3186"/>
      <c r="T7" s="3186"/>
      <c r="U7" s="3186"/>
      <c r="V7" s="3186"/>
      <c r="W7" s="3186"/>
      <c r="X7" s="4586"/>
      <c r="Y7" s="4587"/>
      <c r="Z7" s="4587"/>
      <c r="AA7" s="4587"/>
      <c r="AB7" s="4587"/>
      <c r="AC7" s="942"/>
      <c r="AD7" s="551"/>
      <c r="AE7" s="942"/>
    </row>
    <row r="8" spans="1:31" ht="12" customHeight="1">
      <c r="A8" s="942"/>
      <c r="B8" s="234" t="s">
        <v>2009</v>
      </c>
      <c r="C8" s="234"/>
      <c r="D8" s="231"/>
      <c r="E8" s="231"/>
      <c r="F8" s="231"/>
      <c r="G8" s="196"/>
      <c r="H8" s="196"/>
      <c r="I8" s="198"/>
      <c r="J8" s="198"/>
      <c r="K8" s="198"/>
      <c r="L8" s="198"/>
      <c r="M8" s="198"/>
      <c r="N8" s="212"/>
      <c r="O8" s="212"/>
      <c r="P8" s="212"/>
      <c r="Q8" s="212"/>
      <c r="R8" s="223"/>
      <c r="S8" s="220"/>
      <c r="T8" s="3197" t="s">
        <v>241</v>
      </c>
      <c r="U8" s="198"/>
      <c r="V8" s="198"/>
      <c r="W8" s="198"/>
      <c r="X8" s="196"/>
      <c r="Y8" s="196"/>
      <c r="Z8" s="196"/>
      <c r="AA8" s="196"/>
      <c r="AB8" s="196"/>
      <c r="AC8" s="942"/>
      <c r="AD8" s="551"/>
      <c r="AE8" s="942"/>
    </row>
    <row r="9" spans="1:31" ht="14.25" customHeight="1" thickBot="1">
      <c r="A9" s="942"/>
      <c r="B9" s="4206"/>
      <c r="C9" s="4206"/>
      <c r="D9" s="3948"/>
      <c r="E9" s="3948"/>
      <c r="F9" s="3948"/>
      <c r="G9" s="4588"/>
      <c r="H9" s="4588"/>
      <c r="I9" s="4588"/>
      <c r="J9" s="4588"/>
      <c r="K9" s="4588"/>
      <c r="L9" s="4588"/>
      <c r="M9" s="4588"/>
      <c r="N9" s="3948"/>
      <c r="O9" s="3948"/>
      <c r="P9" s="3948"/>
      <c r="Q9" s="3948"/>
      <c r="R9" s="3948"/>
      <c r="S9" s="3911"/>
      <c r="T9" s="4589"/>
      <c r="U9" s="4590"/>
      <c r="V9" s="4590"/>
      <c r="W9" s="4590"/>
      <c r="X9" s="4590"/>
      <c r="Y9" s="4590"/>
      <c r="Z9" s="4590"/>
      <c r="AA9" s="4590"/>
      <c r="AB9" s="4591"/>
      <c r="AC9" s="942"/>
      <c r="AD9" s="551"/>
      <c r="AE9" s="942"/>
    </row>
    <row r="10" spans="1:31" ht="12.75" customHeight="1">
      <c r="A10" s="942"/>
      <c r="B10" s="329" t="s">
        <v>242</v>
      </c>
      <c r="C10" s="234" t="s">
        <v>2010</v>
      </c>
      <c r="D10" s="234"/>
      <c r="E10" s="243"/>
      <c r="F10" s="231"/>
      <c r="G10" s="3234" t="s">
        <v>2144</v>
      </c>
      <c r="H10" s="327"/>
      <c r="I10" s="2128"/>
      <c r="J10" s="2128"/>
      <c r="K10" s="2128"/>
      <c r="L10" s="2128"/>
      <c r="M10" s="3235"/>
      <c r="N10" s="4597" t="s">
        <v>2011</v>
      </c>
      <c r="O10" s="4598"/>
      <c r="P10" s="4598"/>
      <c r="Q10" s="4598"/>
      <c r="R10" s="4598"/>
      <c r="S10" s="3145"/>
      <c r="T10" s="3157" t="s">
        <v>2140</v>
      </c>
      <c r="U10" s="223"/>
      <c r="V10" s="223"/>
      <c r="W10" s="223"/>
      <c r="X10" s="3153"/>
      <c r="Y10" s="3153"/>
      <c r="Z10" s="3153"/>
      <c r="AA10" s="3153"/>
      <c r="AB10" s="3153"/>
      <c r="AC10" s="942"/>
      <c r="AD10" s="551"/>
      <c r="AE10" s="942"/>
    </row>
    <row r="11" spans="1:31" ht="12.75" customHeight="1">
      <c r="A11" s="942"/>
      <c r="B11" s="4599"/>
      <c r="C11" s="4599"/>
      <c r="D11" s="4588"/>
      <c r="E11" s="4588"/>
      <c r="F11" s="4588"/>
      <c r="G11" s="3236"/>
      <c r="H11" s="4600"/>
      <c r="I11" s="4600"/>
      <c r="J11" s="4600"/>
      <c r="K11" s="4600"/>
      <c r="L11" s="4600"/>
      <c r="M11" s="4602"/>
      <c r="N11" s="3152"/>
      <c r="O11" s="3151"/>
      <c r="P11" s="3154" t="s">
        <v>223</v>
      </c>
      <c r="Q11" s="3151"/>
      <c r="R11" s="3154" t="s">
        <v>2012</v>
      </c>
      <c r="S11" s="3154"/>
      <c r="T11" s="4600"/>
      <c r="U11" s="4615"/>
      <c r="V11" s="4617"/>
      <c r="W11" s="4600"/>
      <c r="X11" s="4600"/>
      <c r="Y11" s="4600"/>
      <c r="Z11" s="4600"/>
      <c r="AA11" s="4600"/>
      <c r="AB11" s="4600"/>
      <c r="AC11" s="942"/>
      <c r="AD11" s="551"/>
      <c r="AE11" s="942"/>
    </row>
    <row r="12" spans="1:31" ht="4.5" customHeight="1" thickBot="1">
      <c r="A12" s="942"/>
      <c r="B12" s="3948"/>
      <c r="C12" s="3948"/>
      <c r="D12" s="3948"/>
      <c r="E12" s="3948"/>
      <c r="F12" s="3948"/>
      <c r="G12" s="3237"/>
      <c r="H12" s="4601"/>
      <c r="I12" s="4601"/>
      <c r="J12" s="4601"/>
      <c r="K12" s="4601"/>
      <c r="L12" s="4601"/>
      <c r="M12" s="4603"/>
      <c r="N12" s="3155"/>
      <c r="O12" s="3155"/>
      <c r="P12" s="3156"/>
      <c r="Q12" s="3155"/>
      <c r="R12" s="3155"/>
      <c r="S12" s="3155"/>
      <c r="T12" s="4610"/>
      <c r="U12" s="4616"/>
      <c r="V12" s="4618"/>
      <c r="W12" s="4610"/>
      <c r="X12" s="4610"/>
      <c r="Y12" s="4610"/>
      <c r="Z12" s="4610"/>
      <c r="AA12" s="4610"/>
      <c r="AB12" s="4610"/>
      <c r="AC12" s="942"/>
      <c r="AD12" s="551"/>
      <c r="AE12" s="942"/>
    </row>
    <row r="13" spans="1:31" ht="3.75" customHeight="1">
      <c r="A13" s="942"/>
      <c r="B13" s="205"/>
      <c r="C13" s="205"/>
      <c r="D13" s="243"/>
      <c r="E13" s="243"/>
      <c r="F13" s="1275"/>
      <c r="G13" s="196"/>
      <c r="H13" s="246"/>
      <c r="I13" s="1276"/>
      <c r="J13" s="1276"/>
      <c r="K13" s="1276"/>
      <c r="L13" s="1276"/>
      <c r="M13" s="1276"/>
      <c r="N13" s="243"/>
      <c r="O13" s="247"/>
      <c r="P13" s="247"/>
      <c r="Q13" s="1276"/>
      <c r="R13" s="243"/>
      <c r="S13" s="243"/>
      <c r="T13" s="243"/>
      <c r="U13" s="964"/>
      <c r="V13" s="1277"/>
      <c r="W13" s="1277"/>
      <c r="X13" s="1277"/>
      <c r="Y13" s="1277"/>
      <c r="Z13" s="1277"/>
      <c r="AA13" s="1277"/>
      <c r="AB13" s="1277"/>
      <c r="AC13" s="942"/>
      <c r="AD13" s="551"/>
      <c r="AE13" s="942"/>
    </row>
    <row r="14" spans="1:31" ht="12.75" customHeight="1">
      <c r="A14" s="942"/>
      <c r="B14" s="232" t="s">
        <v>629</v>
      </c>
      <c r="C14" s="3240" t="str">
        <f>"Did you “materially participate” in the operation of this business during "&amp;TaxYear&amp;"?  If “No,” see instructions for limit on passive losses"</f>
        <v>Did you “materially participate” in the operation of this business during 2014?  If “No,” see instructions for limit on passive losses</v>
      </c>
      <c r="D14" s="34"/>
      <c r="E14" s="34"/>
      <c r="F14" s="196"/>
      <c r="G14" s="196"/>
      <c r="H14" s="246"/>
      <c r="I14" s="196"/>
      <c r="J14" s="196"/>
      <c r="K14" s="196"/>
      <c r="L14" s="196"/>
      <c r="M14" s="196"/>
      <c r="N14" s="243"/>
      <c r="O14" s="247"/>
      <c r="P14" s="247"/>
      <c r="Q14" s="247"/>
      <c r="R14" s="196"/>
      <c r="S14" s="196"/>
      <c r="T14" s="243"/>
      <c r="U14" s="196"/>
      <c r="V14" s="196"/>
      <c r="W14" s="196"/>
      <c r="X14" s="3198"/>
      <c r="Y14" s="535" t="s">
        <v>460</v>
      </c>
      <c r="Z14" s="233"/>
      <c r="AA14" s="3198"/>
      <c r="AB14" s="535" t="s">
        <v>461</v>
      </c>
      <c r="AC14" s="942"/>
      <c r="AD14" s="551"/>
      <c r="AE14" s="942"/>
    </row>
    <row r="15" spans="1:31" ht="12.75" customHeight="1">
      <c r="A15" s="942"/>
      <c r="B15" s="232" t="s">
        <v>631</v>
      </c>
      <c r="C15" s="234" t="str">
        <f>"Did you make any payments in "&amp;TaxYear&amp;" that would require you to file Form(s) 1099? (see instructions) "</f>
        <v xml:space="preserve">Did you make any payments in 2014 that would require you to file Form(s) 1099? (see instructions) </v>
      </c>
      <c r="D15" s="234"/>
      <c r="E15" s="34"/>
      <c r="F15" s="196"/>
      <c r="G15" s="196"/>
      <c r="H15" s="246"/>
      <c r="I15" s="196"/>
      <c r="J15" s="196"/>
      <c r="K15" s="196"/>
      <c r="L15" s="196"/>
      <c r="M15" s="196"/>
      <c r="N15" s="243"/>
      <c r="O15" s="247"/>
      <c r="P15" s="247"/>
      <c r="Q15" s="247"/>
      <c r="R15" s="196"/>
      <c r="S15" s="196"/>
      <c r="T15" s="243"/>
      <c r="U15" s="196"/>
      <c r="V15" s="196"/>
      <c r="W15" s="196"/>
      <c r="X15" s="3198"/>
      <c r="Y15" s="535" t="s">
        <v>460</v>
      </c>
      <c r="Z15" s="233"/>
      <c r="AA15" s="3198"/>
      <c r="AB15" s="535" t="s">
        <v>461</v>
      </c>
      <c r="AC15" s="942"/>
      <c r="AD15" s="551"/>
      <c r="AE15" s="942"/>
    </row>
    <row r="16" spans="1:31" ht="12.75" customHeight="1">
      <c r="A16" s="942"/>
      <c r="B16" s="232" t="s">
        <v>225</v>
      </c>
      <c r="C16" s="234" t="s">
        <v>1145</v>
      </c>
      <c r="D16" s="234"/>
      <c r="E16" s="34"/>
      <c r="F16" s="196"/>
      <c r="G16" s="196"/>
      <c r="H16" s="246"/>
      <c r="I16" s="196"/>
      <c r="J16" s="196"/>
      <c r="K16" s="196"/>
      <c r="L16" s="196"/>
      <c r="M16" s="196"/>
      <c r="N16" s="243"/>
      <c r="O16" s="247"/>
      <c r="P16" s="247"/>
      <c r="Q16" s="247"/>
      <c r="R16" s="196"/>
      <c r="S16" s="196"/>
      <c r="T16" s="243"/>
      <c r="U16" s="196"/>
      <c r="V16" s="196"/>
      <c r="W16" s="196"/>
      <c r="X16" s="3198"/>
      <c r="Y16" s="535" t="s">
        <v>460</v>
      </c>
      <c r="Z16" s="233"/>
      <c r="AA16" s="3198"/>
      <c r="AB16" s="535" t="s">
        <v>461</v>
      </c>
      <c r="AC16" s="942"/>
      <c r="AD16" s="3200" t="s">
        <v>152</v>
      </c>
      <c r="AE16" s="942"/>
    </row>
    <row r="17" spans="1:31" ht="3.75" customHeight="1">
      <c r="A17" s="942"/>
      <c r="B17" s="3201"/>
      <c r="C17" s="334"/>
      <c r="D17" s="334"/>
      <c r="E17" s="210"/>
      <c r="F17" s="28"/>
      <c r="G17" s="28"/>
      <c r="H17" s="3202"/>
      <c r="I17" s="28"/>
      <c r="J17" s="28"/>
      <c r="K17" s="28"/>
      <c r="L17" s="28"/>
      <c r="M17" s="28"/>
      <c r="N17" s="245"/>
      <c r="O17" s="3203"/>
      <c r="P17" s="3203"/>
      <c r="Q17" s="3203"/>
      <c r="R17" s="28"/>
      <c r="S17" s="28"/>
      <c r="T17" s="245"/>
      <c r="U17" s="28"/>
      <c r="V17" s="28"/>
      <c r="W17" s="28"/>
      <c r="X17" s="3204"/>
      <c r="Y17" s="1010"/>
      <c r="Z17" s="3205"/>
      <c r="AA17" s="3204"/>
      <c r="AB17" s="1010"/>
      <c r="AC17" s="942"/>
      <c r="AD17" s="3200"/>
      <c r="AE17" s="942"/>
    </row>
    <row r="18" spans="1:31" ht="15" customHeight="1">
      <c r="A18" s="942"/>
      <c r="B18" s="4644" t="s">
        <v>93</v>
      </c>
      <c r="C18" s="4471"/>
      <c r="D18" s="3158" t="s">
        <v>2139</v>
      </c>
      <c r="E18" s="248"/>
      <c r="F18" s="249"/>
      <c r="G18" s="250"/>
      <c r="H18" s="1603"/>
      <c r="I18" s="1603" t="s">
        <v>2013</v>
      </c>
      <c r="J18" s="1603"/>
      <c r="K18" s="250"/>
      <c r="L18" s="250"/>
      <c r="M18" s="250"/>
      <c r="N18" s="251"/>
      <c r="O18" s="251"/>
      <c r="P18" s="251"/>
      <c r="Q18" s="251"/>
      <c r="R18" s="251"/>
      <c r="S18" s="251"/>
      <c r="T18" s="251"/>
      <c r="U18" s="250"/>
      <c r="V18" s="250"/>
      <c r="W18" s="252"/>
      <c r="X18" s="442"/>
      <c r="Y18" s="250"/>
      <c r="Z18" s="250"/>
      <c r="AA18" s="442"/>
      <c r="AB18" s="250"/>
      <c r="AC18" s="942"/>
      <c r="AD18" s="2815" t="s">
        <v>706</v>
      </c>
      <c r="AE18" s="942"/>
    </row>
    <row r="19" spans="1:31" ht="13.5" customHeight="1">
      <c r="A19" s="942"/>
      <c r="B19" s="910" t="s">
        <v>19</v>
      </c>
      <c r="C19" s="535" t="s">
        <v>2014</v>
      </c>
      <c r="D19" s="535"/>
      <c r="E19" s="535"/>
      <c r="F19" s="254"/>
      <c r="G19" s="254"/>
      <c r="H19" s="254"/>
      <c r="I19" s="254"/>
      <c r="J19" s="254"/>
      <c r="K19" s="254"/>
      <c r="L19" s="254"/>
      <c r="M19" s="254"/>
      <c r="N19" s="255"/>
      <c r="O19" s="255"/>
      <c r="P19" s="255"/>
      <c r="Q19" s="255"/>
      <c r="R19" s="967" t="s">
        <v>2071</v>
      </c>
      <c r="S19" s="727" t="s">
        <v>19</v>
      </c>
      <c r="T19" s="4153"/>
      <c r="U19" s="4611"/>
      <c r="V19" s="4611"/>
      <c r="W19" s="4612"/>
      <c r="X19" s="538"/>
      <c r="Y19" s="1486"/>
      <c r="Z19" s="1486"/>
      <c r="AA19" s="1486"/>
      <c r="AB19" s="1486"/>
      <c r="AC19" s="942"/>
      <c r="AD19" s="551"/>
      <c r="AE19" s="942"/>
    </row>
    <row r="20" spans="1:31" ht="13.5" customHeight="1">
      <c r="A20" s="942"/>
      <c r="B20" s="910" t="s">
        <v>85</v>
      </c>
      <c r="C20" s="535" t="s">
        <v>2015</v>
      </c>
      <c r="D20" s="535"/>
      <c r="E20" s="535"/>
      <c r="F20" s="254"/>
      <c r="G20" s="254"/>
      <c r="H20" s="254"/>
      <c r="I20" s="254"/>
      <c r="J20" s="254"/>
      <c r="K20" s="254"/>
      <c r="L20" s="254"/>
      <c r="M20" s="254"/>
      <c r="N20" s="255"/>
      <c r="O20" s="255"/>
      <c r="P20" s="255"/>
      <c r="Q20" s="255"/>
      <c r="R20" s="967" t="s">
        <v>1566</v>
      </c>
      <c r="S20" s="727" t="s">
        <v>22</v>
      </c>
      <c r="T20" s="4153"/>
      <c r="U20" s="4611"/>
      <c r="V20" s="4611"/>
      <c r="W20" s="4612"/>
      <c r="X20" s="538"/>
      <c r="Y20" s="3165"/>
      <c r="Z20" s="4620"/>
      <c r="AA20" s="3832"/>
      <c r="AB20" s="3832"/>
      <c r="AC20" s="942"/>
      <c r="AD20" s="551"/>
      <c r="AE20" s="942"/>
    </row>
    <row r="21" spans="1:31" ht="12" customHeight="1">
      <c r="A21" s="942"/>
      <c r="B21" s="910" t="s">
        <v>86</v>
      </c>
      <c r="C21" s="535" t="s">
        <v>2016</v>
      </c>
      <c r="D21" s="535"/>
      <c r="E21" s="535"/>
      <c r="F21" s="254"/>
      <c r="G21" s="254"/>
      <c r="H21" s="254"/>
      <c r="I21" s="254"/>
      <c r="J21" s="254"/>
      <c r="K21" s="254"/>
      <c r="L21" s="254"/>
      <c r="M21" s="254"/>
      <c r="N21" s="255"/>
      <c r="O21" s="255"/>
      <c r="P21" s="255"/>
      <c r="Q21" s="255"/>
      <c r="R21" s="255"/>
      <c r="S21" s="255"/>
      <c r="T21" s="910"/>
      <c r="U21" s="254"/>
      <c r="V21" s="910"/>
      <c r="W21" s="967" t="s">
        <v>2136</v>
      </c>
      <c r="X21" s="1788" t="s">
        <v>2021</v>
      </c>
      <c r="Y21" s="4621">
        <f>IF(AD21&lt;&gt;"",AD21,SUM(T19,-T20))</f>
        <v>0</v>
      </c>
      <c r="Z21" s="4622"/>
      <c r="AA21" s="4623"/>
      <c r="AB21" s="4623"/>
      <c r="AC21" s="942"/>
      <c r="AD21" s="926"/>
      <c r="AE21" s="942"/>
    </row>
    <row r="22" spans="1:31" ht="12" customHeight="1">
      <c r="A22" s="942"/>
      <c r="B22" s="910" t="str">
        <f>"2  "</f>
        <v xml:space="preserve">2  </v>
      </c>
      <c r="C22" s="535" t="s">
        <v>2017</v>
      </c>
      <c r="D22" s="535"/>
      <c r="E22" s="258"/>
      <c r="F22" s="254"/>
      <c r="G22" s="254"/>
      <c r="H22" s="254"/>
      <c r="I22" s="254"/>
      <c r="J22" s="254"/>
      <c r="K22" s="254"/>
      <c r="L22" s="254"/>
      <c r="M22" s="254"/>
      <c r="N22" s="255"/>
      <c r="O22" s="255"/>
      <c r="P22" s="255"/>
      <c r="Q22" s="255"/>
      <c r="R22" s="255"/>
      <c r="S22" s="255"/>
      <c r="T22" s="255"/>
      <c r="U22" s="254"/>
      <c r="V22" s="254"/>
      <c r="W22" s="967" t="s">
        <v>2135</v>
      </c>
      <c r="X22" s="536">
        <v>2</v>
      </c>
      <c r="Y22" s="4194"/>
      <c r="Z22" s="4195"/>
      <c r="AA22" s="4595"/>
      <c r="AB22" s="4595"/>
      <c r="AC22" s="942"/>
      <c r="AD22" s="551"/>
      <c r="AE22" s="942"/>
    </row>
    <row r="23" spans="1:31" ht="12" customHeight="1">
      <c r="A23" s="942"/>
      <c r="B23" s="910" t="s">
        <v>2018</v>
      </c>
      <c r="C23" s="1636" t="s">
        <v>2019</v>
      </c>
      <c r="D23" s="1636"/>
      <c r="E23" s="259"/>
      <c r="F23" s="259"/>
      <c r="G23" s="256"/>
      <c r="H23" s="256"/>
      <c r="I23" s="256"/>
      <c r="J23" s="256"/>
      <c r="K23" s="256"/>
      <c r="L23" s="256"/>
      <c r="M23" s="256"/>
      <c r="N23" s="259"/>
      <c r="O23" s="967" t="s">
        <v>2036</v>
      </c>
      <c r="P23" s="3160" t="s">
        <v>2018</v>
      </c>
      <c r="Q23" s="4194"/>
      <c r="R23" s="4619"/>
      <c r="S23" s="3161" t="s">
        <v>2020</v>
      </c>
      <c r="T23" s="3163" t="s">
        <v>479</v>
      </c>
      <c r="U23" s="3163"/>
      <c r="V23" s="3164"/>
      <c r="W23" s="3164"/>
      <c r="X23" s="1790" t="s">
        <v>2020</v>
      </c>
      <c r="Y23" s="4194"/>
      <c r="Z23" s="4195"/>
      <c r="AA23" s="4595"/>
      <c r="AB23" s="4595"/>
      <c r="AC23" s="942"/>
      <c r="AD23" s="551"/>
      <c r="AE23" s="942"/>
    </row>
    <row r="24" spans="1:31" ht="12" customHeight="1">
      <c r="A24" s="942"/>
      <c r="B24" s="910" t="s">
        <v>193</v>
      </c>
      <c r="C24" s="1636" t="s">
        <v>2022</v>
      </c>
      <c r="D24" s="1636"/>
      <c r="E24" s="259"/>
      <c r="F24" s="259"/>
      <c r="G24" s="256"/>
      <c r="H24" s="256"/>
      <c r="I24" s="256"/>
      <c r="J24" s="256"/>
      <c r="K24" s="256"/>
      <c r="L24" s="256"/>
      <c r="M24" s="256"/>
      <c r="N24" s="259"/>
      <c r="O24" s="967" t="s">
        <v>2134</v>
      </c>
      <c r="P24" s="3160" t="s">
        <v>193</v>
      </c>
      <c r="Q24" s="4153"/>
      <c r="R24" s="4611"/>
      <c r="S24" s="3161" t="s">
        <v>163</v>
      </c>
      <c r="T24" s="3163" t="s">
        <v>479</v>
      </c>
      <c r="U24" s="3163"/>
      <c r="V24" s="3164"/>
      <c r="W24" s="3164"/>
      <c r="X24" s="1790" t="s">
        <v>163</v>
      </c>
      <c r="Y24" s="4194"/>
      <c r="Z24" s="4195"/>
      <c r="AA24" s="4595"/>
      <c r="AB24" s="4595"/>
      <c r="AC24" s="942"/>
      <c r="AD24" s="551"/>
      <c r="AE24" s="942"/>
    </row>
    <row r="25" spans="1:31" ht="12" customHeight="1">
      <c r="A25" s="942"/>
      <c r="B25" s="910" t="s">
        <v>627</v>
      </c>
      <c r="C25" s="535" t="s">
        <v>2023</v>
      </c>
      <c r="D25" s="535"/>
      <c r="E25" s="258"/>
      <c r="F25" s="254"/>
      <c r="G25" s="254"/>
      <c r="H25" s="254"/>
      <c r="I25" s="254"/>
      <c r="J25" s="254"/>
      <c r="K25" s="254"/>
      <c r="L25" s="254"/>
      <c r="M25" s="254"/>
      <c r="N25" s="255"/>
      <c r="O25" s="255"/>
      <c r="P25" s="255"/>
      <c r="Q25" s="255"/>
      <c r="R25" s="255"/>
      <c r="S25" s="255"/>
      <c r="T25" s="255"/>
      <c r="U25" s="254"/>
      <c r="V25" s="254"/>
      <c r="W25" s="967" t="s">
        <v>2034</v>
      </c>
      <c r="X25" s="1788" t="s">
        <v>627</v>
      </c>
      <c r="Y25" s="4194"/>
      <c r="Z25" s="4195"/>
      <c r="AA25" s="4595"/>
      <c r="AB25" s="4595"/>
      <c r="AC25" s="942"/>
      <c r="AD25" s="551"/>
      <c r="AE25" s="942"/>
    </row>
    <row r="26" spans="1:31" ht="12" customHeight="1">
      <c r="A26" s="942"/>
      <c r="B26" s="910" t="s">
        <v>85</v>
      </c>
      <c r="C26" s="1636" t="s">
        <v>2024</v>
      </c>
      <c r="D26" s="1636"/>
      <c r="E26" s="259"/>
      <c r="F26" s="259"/>
      <c r="G26" s="256"/>
      <c r="H26" s="256"/>
      <c r="I26" s="256"/>
      <c r="J26" s="256"/>
      <c r="K26" s="256"/>
      <c r="L26" s="256"/>
      <c r="M26" s="256"/>
      <c r="N26" s="259"/>
      <c r="O26" s="967" t="s">
        <v>2034</v>
      </c>
      <c r="P26" s="3160" t="s">
        <v>628</v>
      </c>
      <c r="Q26" s="4194"/>
      <c r="R26" s="4619"/>
      <c r="S26" s="3161" t="s">
        <v>2030</v>
      </c>
      <c r="T26" s="3163" t="s">
        <v>479</v>
      </c>
      <c r="U26" s="3163"/>
      <c r="V26" s="3164"/>
      <c r="W26" s="3164"/>
      <c r="X26" s="1790" t="s">
        <v>2030</v>
      </c>
      <c r="Y26" s="4194"/>
      <c r="Z26" s="4195"/>
      <c r="AA26" s="4595"/>
      <c r="AB26" s="4595"/>
      <c r="AC26" s="942"/>
      <c r="AD26" s="551"/>
      <c r="AE26" s="942"/>
    </row>
    <row r="27" spans="1:31" ht="12" customHeight="1">
      <c r="A27" s="942"/>
      <c r="B27" s="910" t="str">
        <f>"6  "</f>
        <v xml:space="preserve">6  </v>
      </c>
      <c r="C27" s="535" t="s">
        <v>2025</v>
      </c>
      <c r="D27" s="535"/>
      <c r="E27" s="258"/>
      <c r="F27" s="254"/>
      <c r="G27" s="254"/>
      <c r="H27" s="254"/>
      <c r="I27" s="254"/>
      <c r="J27" s="254"/>
      <c r="K27" s="254"/>
      <c r="L27" s="254"/>
      <c r="M27" s="254"/>
      <c r="N27" s="255"/>
      <c r="O27" s="255"/>
      <c r="P27" s="255"/>
      <c r="Q27" s="255"/>
      <c r="R27" s="255"/>
      <c r="S27" s="255"/>
      <c r="T27" s="255"/>
      <c r="U27" s="254"/>
      <c r="V27" s="254"/>
      <c r="W27" s="256"/>
      <c r="X27" s="538"/>
      <c r="Y27" s="4613"/>
      <c r="Z27" s="4614"/>
      <c r="AA27" s="4614"/>
      <c r="AB27" s="4614"/>
      <c r="AC27" s="942"/>
      <c r="AD27" s="551"/>
      <c r="AE27" s="942"/>
    </row>
    <row r="28" spans="1:31" ht="12" customHeight="1">
      <c r="A28" s="942"/>
      <c r="B28" s="910" t="s">
        <v>62</v>
      </c>
      <c r="C28" s="1636" t="str">
        <f>"Amount received in "&amp;TaxYear</f>
        <v>Amount received in 2014</v>
      </c>
      <c r="D28" s="1636"/>
      <c r="E28" s="259"/>
      <c r="F28" s="259"/>
      <c r="G28" s="256"/>
      <c r="H28" s="256"/>
      <c r="I28" s="256"/>
      <c r="J28" s="256"/>
      <c r="K28" s="256"/>
      <c r="L28" s="256"/>
      <c r="M28" s="256"/>
      <c r="N28" s="259"/>
      <c r="O28" s="967" t="s">
        <v>2192</v>
      </c>
      <c r="P28" s="3160" t="s">
        <v>738</v>
      </c>
      <c r="Q28" s="4194"/>
      <c r="R28" s="4619"/>
      <c r="S28" s="3161" t="s">
        <v>2026</v>
      </c>
      <c r="T28" s="3163" t="s">
        <v>479</v>
      </c>
      <c r="U28" s="3163"/>
      <c r="V28" s="3164"/>
      <c r="W28" s="3164"/>
      <c r="X28" s="1790" t="s">
        <v>2026</v>
      </c>
      <c r="Y28" s="4194"/>
      <c r="Z28" s="4195"/>
      <c r="AA28" s="4595"/>
      <c r="AB28" s="4595"/>
      <c r="AC28" s="942"/>
      <c r="AD28" s="551"/>
      <c r="AE28" s="942"/>
    </row>
    <row r="29" spans="1:31" ht="12" customHeight="1">
      <c r="A29" s="942"/>
      <c r="B29" s="910" t="s">
        <v>86</v>
      </c>
      <c r="C29" s="1636" t="str">
        <f>"If election to defer to "&amp;TaxYear+1&amp;" is attached, check here"</f>
        <v>If election to defer to 2015 is attached, check here</v>
      </c>
      <c r="D29" s="1636"/>
      <c r="E29" s="259"/>
      <c r="F29" s="259"/>
      <c r="G29" s="256"/>
      <c r="H29" s="256"/>
      <c r="I29" s="256"/>
      <c r="J29" s="256"/>
      <c r="K29" s="3167"/>
      <c r="L29" s="256"/>
      <c r="M29" s="256"/>
      <c r="N29" s="259"/>
      <c r="O29" s="259"/>
      <c r="P29" s="259"/>
      <c r="Q29" s="259"/>
      <c r="R29" s="259"/>
      <c r="S29" s="259"/>
      <c r="T29" s="259"/>
      <c r="U29" s="285" t="s">
        <v>2027</v>
      </c>
      <c r="V29" s="4626" t="str">
        <f>TaxYear-1&amp;" "</f>
        <v xml:space="preserve">2013 </v>
      </c>
      <c r="W29" s="3893"/>
      <c r="X29" s="1790" t="s">
        <v>2028</v>
      </c>
      <c r="Y29" s="4194"/>
      <c r="Z29" s="4195"/>
      <c r="AA29" s="4595"/>
      <c r="AB29" s="4595"/>
      <c r="AC29" s="942"/>
      <c r="AD29" s="551"/>
      <c r="AE29" s="942"/>
    </row>
    <row r="30" spans="1:31" ht="12" customHeight="1">
      <c r="A30" s="942"/>
      <c r="B30" s="910" t="str">
        <f>"7  "</f>
        <v xml:space="preserve">7  </v>
      </c>
      <c r="C30" s="1636" t="s">
        <v>2029</v>
      </c>
      <c r="D30" s="1636"/>
      <c r="E30" s="261"/>
      <c r="F30" s="259"/>
      <c r="G30" s="256"/>
      <c r="H30" s="256"/>
      <c r="I30" s="256"/>
      <c r="J30" s="256"/>
      <c r="K30" s="256"/>
      <c r="L30" s="256"/>
      <c r="M30" s="256"/>
      <c r="N30" s="259"/>
      <c r="O30" s="259"/>
      <c r="P30" s="259"/>
      <c r="Q30" s="259"/>
      <c r="R30" s="259"/>
      <c r="S30" s="259"/>
      <c r="T30" s="259"/>
      <c r="U30" s="256"/>
      <c r="V30" s="256"/>
      <c r="W30" s="967" t="s">
        <v>2193</v>
      </c>
      <c r="X30" s="257">
        <v>7</v>
      </c>
      <c r="Y30" s="4194"/>
      <c r="Z30" s="4195"/>
      <c r="AA30" s="4595"/>
      <c r="AB30" s="4595"/>
      <c r="AC30" s="942"/>
      <c r="AD30" s="551"/>
      <c r="AE30" s="942"/>
    </row>
    <row r="31" spans="1:31" ht="12" customHeight="1">
      <c r="A31" s="942"/>
      <c r="B31" s="910" t="str">
        <f>"8  "</f>
        <v xml:space="preserve">8  </v>
      </c>
      <c r="C31" s="1636" t="s">
        <v>2031</v>
      </c>
      <c r="D31" s="1636"/>
      <c r="E31" s="259"/>
      <c r="F31" s="259"/>
      <c r="G31" s="256"/>
      <c r="H31" s="256"/>
      <c r="I31" s="256"/>
      <c r="J31" s="256"/>
      <c r="K31" s="256"/>
      <c r="L31" s="256"/>
      <c r="M31" s="256"/>
      <c r="N31" s="259"/>
      <c r="O31" s="259"/>
      <c r="P31" s="259"/>
      <c r="Q31" s="259"/>
      <c r="R31" s="259"/>
      <c r="S31" s="259"/>
      <c r="T31" s="259"/>
      <c r="U31" s="256"/>
      <c r="V31" s="256"/>
      <c r="W31" s="967" t="s">
        <v>2036</v>
      </c>
      <c r="X31" s="257">
        <v>8</v>
      </c>
      <c r="Y31" s="4194"/>
      <c r="Z31" s="4195"/>
      <c r="AA31" s="4595"/>
      <c r="AB31" s="4595"/>
      <c r="AC31" s="942"/>
      <c r="AD31" s="551"/>
      <c r="AE31" s="942"/>
    </row>
    <row r="32" spans="1:31" ht="12" customHeight="1">
      <c r="A32" s="942"/>
      <c r="B32" s="910" t="str">
        <f>"9  "</f>
        <v xml:space="preserve">9  </v>
      </c>
      <c r="C32" s="1636" t="s">
        <v>2032</v>
      </c>
      <c r="D32" s="1636"/>
      <c r="E32" s="259"/>
      <c r="F32" s="259"/>
      <c r="G32" s="256"/>
      <c r="H32" s="256"/>
      <c r="I32" s="256"/>
      <c r="J32" s="256"/>
      <c r="K32" s="256"/>
      <c r="L32" s="256"/>
      <c r="M32" s="256"/>
      <c r="N32" s="259"/>
      <c r="O32" s="259"/>
      <c r="P32" s="259"/>
      <c r="Q32" s="259"/>
      <c r="R32" s="259"/>
      <c r="S32" s="259"/>
      <c r="T32" s="259"/>
      <c r="U32" s="256"/>
      <c r="V32" s="256"/>
      <c r="W32" s="259"/>
      <c r="X32" s="4624">
        <v>9</v>
      </c>
      <c r="Y32" s="4613"/>
      <c r="Z32" s="4614"/>
      <c r="AA32" s="4614"/>
      <c r="AB32" s="4614"/>
      <c r="AC32" s="942"/>
      <c r="AD32" s="551"/>
      <c r="AE32" s="942"/>
    </row>
    <row r="33" spans="1:31" ht="12" customHeight="1">
      <c r="A33" s="942"/>
      <c r="B33" s="910"/>
      <c r="C33" s="234" t="s">
        <v>2033</v>
      </c>
      <c r="D33" s="234"/>
      <c r="E33" s="265"/>
      <c r="F33" s="243"/>
      <c r="G33" s="254"/>
      <c r="H33" s="254"/>
      <c r="I33" s="262"/>
      <c r="J33" s="262"/>
      <c r="K33" s="262"/>
      <c r="L33" s="262"/>
      <c r="M33" s="262"/>
      <c r="N33" s="259"/>
      <c r="O33" s="259"/>
      <c r="P33" s="259"/>
      <c r="Q33" s="259"/>
      <c r="R33" s="263"/>
      <c r="S33" s="263"/>
      <c r="T33" s="259"/>
      <c r="U33" s="262"/>
      <c r="V33" s="262"/>
      <c r="W33" s="967" t="s">
        <v>2133</v>
      </c>
      <c r="X33" s="4625"/>
      <c r="Y33" s="4621">
        <f>IF(AD33&lt;&gt;"",AD33,IF(ScheduleF_PartIII,Y94,ROUND(SUM(Y21,Y22,Y23,Y24,Y25,Y26,Y28,Y29,Y30,Y31),0)))</f>
        <v>0</v>
      </c>
      <c r="Z33" s="4622"/>
      <c r="AA33" s="4623"/>
      <c r="AB33" s="4623"/>
      <c r="AC33" s="942"/>
      <c r="AD33" s="926"/>
      <c r="AE33" s="942"/>
    </row>
    <row r="34" spans="1:31" ht="15">
      <c r="A34" s="942"/>
      <c r="B34" s="4644" t="s">
        <v>197</v>
      </c>
      <c r="C34" s="4471"/>
      <c r="D34" s="249" t="s">
        <v>2138</v>
      </c>
      <c r="E34" s="250"/>
      <c r="F34" s="250"/>
      <c r="G34" s="250"/>
      <c r="H34" s="250"/>
      <c r="I34" s="249"/>
      <c r="J34" s="249"/>
      <c r="K34" s="249"/>
      <c r="L34" s="3159"/>
      <c r="M34" s="3159" t="s">
        <v>2035</v>
      </c>
      <c r="N34" s="3171"/>
      <c r="O34" s="3171"/>
      <c r="P34" s="250"/>
      <c r="Q34" s="250"/>
      <c r="R34" s="250"/>
      <c r="S34" s="250"/>
      <c r="T34" s="250"/>
      <c r="U34" s="250"/>
      <c r="V34" s="250"/>
      <c r="W34" s="250"/>
      <c r="X34" s="250"/>
      <c r="Y34" s="250"/>
      <c r="Z34" s="250"/>
      <c r="AA34" s="549"/>
      <c r="AB34" s="549"/>
      <c r="AC34" s="942"/>
      <c r="AD34" s="551"/>
      <c r="AE34" s="942"/>
    </row>
    <row r="35" spans="1:31" ht="12" customHeight="1">
      <c r="A35" s="942"/>
      <c r="B35" s="274">
        <v>10</v>
      </c>
      <c r="C35" s="1683" t="s">
        <v>2037</v>
      </c>
      <c r="D35" s="1683"/>
      <c r="E35" s="266"/>
      <c r="F35" s="254"/>
      <c r="G35" s="254"/>
      <c r="H35" s="262"/>
      <c r="I35" s="3169"/>
      <c r="J35" s="4627"/>
      <c r="K35" s="4474"/>
      <c r="L35" s="4474"/>
      <c r="M35" s="4474"/>
      <c r="N35" s="4645">
        <v>23</v>
      </c>
      <c r="O35" s="4646"/>
      <c r="P35" s="3144" t="s">
        <v>2051</v>
      </c>
      <c r="Q35" s="441"/>
      <c r="R35" s="580"/>
      <c r="S35" s="580"/>
      <c r="T35" s="441"/>
      <c r="U35" s="441"/>
      <c r="V35" s="441"/>
      <c r="W35" s="441"/>
      <c r="X35" s="257">
        <v>23</v>
      </c>
      <c r="Y35" s="4194"/>
      <c r="Z35" s="4195"/>
      <c r="AA35" s="4595"/>
      <c r="AB35" s="4595"/>
      <c r="AC35" s="942"/>
      <c r="AD35" s="551"/>
      <c r="AE35" s="942"/>
    </row>
    <row r="36" spans="1:31" ht="11.25" customHeight="1">
      <c r="A36" s="942"/>
      <c r="B36" s="274"/>
      <c r="C36" s="1683" t="s">
        <v>2145</v>
      </c>
      <c r="D36" s="266"/>
      <c r="E36" s="266"/>
      <c r="F36" s="254"/>
      <c r="G36" s="254"/>
      <c r="H36" s="262"/>
      <c r="I36" s="536">
        <f>B35</f>
        <v>10</v>
      </c>
      <c r="J36" s="4194"/>
      <c r="K36" s="4195"/>
      <c r="L36" s="4595"/>
      <c r="M36" s="4595"/>
      <c r="N36" s="4647">
        <v>24</v>
      </c>
      <c r="O36" s="4629"/>
      <c r="P36" s="3144" t="s">
        <v>1154</v>
      </c>
      <c r="Q36" s="535"/>
      <c r="R36" s="267"/>
      <c r="S36" s="267"/>
      <c r="T36" s="268"/>
      <c r="U36" s="266"/>
      <c r="V36" s="266"/>
      <c r="W36" s="269"/>
      <c r="X36" s="538"/>
      <c r="Y36" s="3170"/>
      <c r="Z36" s="3177"/>
      <c r="AA36" s="2637"/>
      <c r="AB36" s="2637"/>
      <c r="AC36" s="942"/>
      <c r="AD36" s="551"/>
      <c r="AE36" s="942"/>
    </row>
    <row r="37" spans="1:31" ht="11.25" customHeight="1">
      <c r="A37" s="942"/>
      <c r="B37" s="274">
        <v>11</v>
      </c>
      <c r="C37" s="1683" t="s">
        <v>2038</v>
      </c>
      <c r="D37" s="1683"/>
      <c r="E37" s="266"/>
      <c r="F37" s="254"/>
      <c r="G37" s="254"/>
      <c r="H37" s="910" t="s">
        <v>466</v>
      </c>
      <c r="I37" s="536">
        <v>11</v>
      </c>
      <c r="J37" s="4194"/>
      <c r="K37" s="4195"/>
      <c r="L37" s="4595"/>
      <c r="M37" s="4595"/>
      <c r="N37" s="4628" t="s">
        <v>62</v>
      </c>
      <c r="O37" s="4629"/>
      <c r="P37" s="580" t="s">
        <v>2052</v>
      </c>
      <c r="Q37" s="1789"/>
      <c r="R37" s="1789"/>
      <c r="S37" s="1789"/>
      <c r="T37" s="268"/>
      <c r="U37" s="271"/>
      <c r="V37" s="271"/>
      <c r="W37" s="910" t="s">
        <v>2146</v>
      </c>
      <c r="X37" s="3178" t="s">
        <v>296</v>
      </c>
      <c r="Y37" s="4194"/>
      <c r="Z37" s="4195"/>
      <c r="AA37" s="4595"/>
      <c r="AB37" s="4595"/>
      <c r="AC37" s="942"/>
      <c r="AD37" s="551"/>
      <c r="AE37" s="942"/>
    </row>
    <row r="38" spans="1:31" ht="11.25" customHeight="1">
      <c r="A38" s="942"/>
      <c r="B38" s="274">
        <v>12</v>
      </c>
      <c r="C38" s="1683" t="s">
        <v>2039</v>
      </c>
      <c r="D38" s="1683"/>
      <c r="E38" s="266"/>
      <c r="F38" s="254"/>
      <c r="G38" s="254"/>
      <c r="H38" s="262"/>
      <c r="I38" s="802">
        <f>B38</f>
        <v>12</v>
      </c>
      <c r="J38" s="4194"/>
      <c r="K38" s="4195"/>
      <c r="L38" s="4595"/>
      <c r="M38" s="4595"/>
      <c r="N38" s="4628" t="s">
        <v>85</v>
      </c>
      <c r="O38" s="4629"/>
      <c r="P38" s="580" t="s">
        <v>2053</v>
      </c>
      <c r="Q38" s="535"/>
      <c r="R38" s="267"/>
      <c r="S38" s="267"/>
      <c r="T38" s="268"/>
      <c r="U38" s="266"/>
      <c r="V38" s="266"/>
      <c r="W38" s="910" t="s">
        <v>1499</v>
      </c>
      <c r="X38" s="3178" t="s">
        <v>113</v>
      </c>
      <c r="Y38" s="4194"/>
      <c r="Z38" s="4195"/>
      <c r="AA38" s="4595"/>
      <c r="AB38" s="4595"/>
      <c r="AC38" s="942"/>
      <c r="AD38" s="551"/>
      <c r="AE38" s="942"/>
    </row>
    <row r="39" spans="1:31" ht="11.25" customHeight="1">
      <c r="A39" s="942"/>
      <c r="B39" s="274">
        <v>13</v>
      </c>
      <c r="C39" s="1683" t="s">
        <v>2040</v>
      </c>
      <c r="D39" s="1683"/>
      <c r="E39" s="266"/>
      <c r="F39" s="254"/>
      <c r="G39" s="254"/>
      <c r="H39" s="910" t="s">
        <v>1184</v>
      </c>
      <c r="I39" s="536">
        <f>B39</f>
        <v>13</v>
      </c>
      <c r="J39" s="4194"/>
      <c r="K39" s="4195"/>
      <c r="L39" s="4595"/>
      <c r="M39" s="4595"/>
      <c r="N39" s="4628">
        <v>25</v>
      </c>
      <c r="O39" s="4629"/>
      <c r="P39" s="580" t="s">
        <v>43</v>
      </c>
      <c r="Q39" s="535"/>
      <c r="R39" s="3142"/>
      <c r="S39" s="3144"/>
      <c r="T39" s="269"/>
      <c r="U39" s="266"/>
      <c r="V39" s="266"/>
      <c r="W39" s="910" t="s">
        <v>1499</v>
      </c>
      <c r="X39" s="257">
        <v>25</v>
      </c>
      <c r="Y39" s="4194"/>
      <c r="Z39" s="4195"/>
      <c r="AA39" s="4595"/>
      <c r="AB39" s="4595"/>
      <c r="AC39" s="942"/>
      <c r="AD39" s="551"/>
      <c r="AE39" s="942"/>
    </row>
    <row r="40" spans="1:31" ht="11.25" customHeight="1">
      <c r="A40" s="942"/>
      <c r="B40" s="274">
        <v>14</v>
      </c>
      <c r="C40" s="1683" t="s">
        <v>729</v>
      </c>
      <c r="D40" s="1683"/>
      <c r="E40" s="266"/>
      <c r="F40" s="254"/>
      <c r="G40" s="254"/>
      <c r="H40" s="262"/>
      <c r="I40" s="3169"/>
      <c r="J40" s="3172"/>
      <c r="K40" s="3173"/>
      <c r="L40" s="3173"/>
      <c r="M40" s="3173"/>
      <c r="N40" s="4628">
        <v>26</v>
      </c>
      <c r="O40" s="4629"/>
      <c r="P40" s="3144" t="s">
        <v>2054</v>
      </c>
      <c r="Q40" s="535"/>
      <c r="R40" s="3142"/>
      <c r="S40" s="3144"/>
      <c r="T40" s="3142"/>
      <c r="U40" s="3142"/>
      <c r="V40" s="3142"/>
      <c r="W40" s="910" t="s">
        <v>1203</v>
      </c>
      <c r="X40" s="257">
        <v>26</v>
      </c>
      <c r="Y40" s="4194"/>
      <c r="Z40" s="4195"/>
      <c r="AA40" s="4595"/>
      <c r="AB40" s="4595"/>
      <c r="AC40" s="942"/>
      <c r="AD40" s="551"/>
      <c r="AE40" s="942"/>
    </row>
    <row r="41" spans="1:31" ht="11.25" customHeight="1">
      <c r="A41" s="942"/>
      <c r="B41" s="274"/>
      <c r="C41" s="1683" t="s">
        <v>2041</v>
      </c>
      <c r="D41" s="1683"/>
      <c r="E41" s="266"/>
      <c r="F41" s="254"/>
      <c r="G41" s="254"/>
      <c r="H41" s="910" t="s">
        <v>1152</v>
      </c>
      <c r="I41" s="536">
        <f>B40</f>
        <v>14</v>
      </c>
      <c r="J41" s="4194"/>
      <c r="K41" s="4195"/>
      <c r="L41" s="4595"/>
      <c r="M41" s="4595"/>
      <c r="N41" s="4628">
        <v>27</v>
      </c>
      <c r="O41" s="4629"/>
      <c r="P41" s="3144" t="s">
        <v>2055</v>
      </c>
      <c r="Q41" s="535"/>
      <c r="R41" s="3142"/>
      <c r="S41" s="3144"/>
      <c r="T41" s="3142"/>
      <c r="U41" s="3142"/>
      <c r="V41" s="3142"/>
      <c r="W41" s="910" t="s">
        <v>983</v>
      </c>
      <c r="X41" s="257">
        <v>27</v>
      </c>
      <c r="Y41" s="4194"/>
      <c r="Z41" s="4195"/>
      <c r="AA41" s="4595"/>
      <c r="AB41" s="4595"/>
      <c r="AC41" s="942"/>
      <c r="AD41" s="551"/>
      <c r="AE41" s="942"/>
    </row>
    <row r="42" spans="1:31" ht="11.25" customHeight="1">
      <c r="A42" s="942"/>
      <c r="B42" s="274">
        <v>15</v>
      </c>
      <c r="C42" s="266" t="s">
        <v>435</v>
      </c>
      <c r="D42" s="266"/>
      <c r="E42" s="266"/>
      <c r="F42" s="254"/>
      <c r="G42" s="254"/>
      <c r="H42" s="262"/>
      <c r="I42" s="3169"/>
      <c r="J42" s="3172"/>
      <c r="K42" s="3173"/>
      <c r="L42" s="3173"/>
      <c r="M42" s="3173"/>
      <c r="N42" s="4628">
        <v>28</v>
      </c>
      <c r="O42" s="4629"/>
      <c r="P42" s="3144" t="s">
        <v>1377</v>
      </c>
      <c r="Q42" s="535"/>
      <c r="R42" s="3142"/>
      <c r="S42" s="3144"/>
      <c r="T42" s="3142"/>
      <c r="U42" s="3142"/>
      <c r="V42" s="3142"/>
      <c r="W42" s="910" t="s">
        <v>1228</v>
      </c>
      <c r="X42" s="257">
        <v>28</v>
      </c>
      <c r="Y42" s="4194"/>
      <c r="Z42" s="4195"/>
      <c r="AA42" s="4595"/>
      <c r="AB42" s="4595"/>
      <c r="AC42" s="942"/>
      <c r="AD42" s="551"/>
      <c r="AE42" s="942"/>
    </row>
    <row r="43" spans="1:31" ht="11.25" customHeight="1">
      <c r="A43" s="942"/>
      <c r="B43" s="274"/>
      <c r="C43" s="1683" t="s">
        <v>2042</v>
      </c>
      <c r="D43" s="1683"/>
      <c r="E43" s="266"/>
      <c r="F43" s="254"/>
      <c r="G43" s="254"/>
      <c r="H43" s="910" t="s">
        <v>761</v>
      </c>
      <c r="I43" s="536">
        <f>B42</f>
        <v>15</v>
      </c>
      <c r="J43" s="4194"/>
      <c r="K43" s="4195"/>
      <c r="L43" s="4595"/>
      <c r="M43" s="4595"/>
      <c r="N43" s="4628">
        <v>29</v>
      </c>
      <c r="O43" s="4629"/>
      <c r="P43" s="580" t="s">
        <v>1378</v>
      </c>
      <c r="Q43" s="535"/>
      <c r="R43" s="3142"/>
      <c r="S43" s="3144"/>
      <c r="T43" s="3142"/>
      <c r="U43" s="3142"/>
      <c r="V43" s="3142"/>
      <c r="W43" s="910" t="s">
        <v>1228</v>
      </c>
      <c r="X43" s="257">
        <v>29</v>
      </c>
      <c r="Y43" s="4194"/>
      <c r="Z43" s="4195"/>
      <c r="AA43" s="4595"/>
      <c r="AB43" s="4595"/>
      <c r="AC43" s="942"/>
      <c r="AD43" s="551"/>
      <c r="AE43" s="942"/>
    </row>
    <row r="44" spans="1:31" ht="11.25" customHeight="1">
      <c r="A44" s="942"/>
      <c r="B44" s="274">
        <v>16</v>
      </c>
      <c r="C44" s="1683" t="s">
        <v>2043</v>
      </c>
      <c r="D44" s="1683"/>
      <c r="E44" s="266"/>
      <c r="F44" s="254"/>
      <c r="G44" s="254"/>
      <c r="H44" s="910" t="s">
        <v>2147</v>
      </c>
      <c r="I44" s="536">
        <f>B44</f>
        <v>16</v>
      </c>
      <c r="J44" s="4194"/>
      <c r="K44" s="4195"/>
      <c r="L44" s="4595"/>
      <c r="M44" s="4595"/>
      <c r="N44" s="4628">
        <v>30</v>
      </c>
      <c r="O44" s="4629"/>
      <c r="P44" s="3144" t="s">
        <v>1379</v>
      </c>
      <c r="Q44" s="535"/>
      <c r="R44" s="580"/>
      <c r="S44" s="580"/>
      <c r="T44" s="3142"/>
      <c r="U44" s="3142"/>
      <c r="V44" s="3142"/>
      <c r="W44" s="910" t="s">
        <v>1228</v>
      </c>
      <c r="X44" s="257">
        <v>30</v>
      </c>
      <c r="Y44" s="4194"/>
      <c r="Z44" s="4195"/>
      <c r="AA44" s="4595"/>
      <c r="AB44" s="4595"/>
      <c r="AC44" s="942"/>
      <c r="AD44" s="551"/>
      <c r="AE44" s="942"/>
    </row>
    <row r="45" spans="1:31" ht="11.25" customHeight="1">
      <c r="A45" s="942"/>
      <c r="B45" s="274">
        <v>17</v>
      </c>
      <c r="C45" s="266" t="s">
        <v>2044</v>
      </c>
      <c r="D45" s="266"/>
      <c r="E45" s="266"/>
      <c r="F45" s="254"/>
      <c r="G45" s="254"/>
      <c r="H45" s="910" t="s">
        <v>2137</v>
      </c>
      <c r="I45" s="536">
        <f>B45</f>
        <v>17</v>
      </c>
      <c r="J45" s="4194"/>
      <c r="K45" s="4195"/>
      <c r="L45" s="4595"/>
      <c r="M45" s="4595"/>
      <c r="N45" s="4628">
        <v>31</v>
      </c>
      <c r="O45" s="4629"/>
      <c r="P45" s="3144" t="s">
        <v>2056</v>
      </c>
      <c r="Q45" s="535"/>
      <c r="R45" s="3142"/>
      <c r="S45" s="3144"/>
      <c r="T45" s="3142"/>
      <c r="U45" s="3142"/>
      <c r="V45" s="3142"/>
      <c r="W45" s="3142"/>
      <c r="X45" s="257">
        <v>31</v>
      </c>
      <c r="Y45" s="4194"/>
      <c r="Z45" s="4195"/>
      <c r="AA45" s="4595"/>
      <c r="AB45" s="4595"/>
      <c r="AC45" s="942"/>
      <c r="AD45" s="551"/>
      <c r="AE45" s="942"/>
    </row>
    <row r="46" spans="1:31" ht="11.25" customHeight="1">
      <c r="A46" s="942"/>
      <c r="B46" s="274">
        <v>18</v>
      </c>
      <c r="C46" s="1683" t="s">
        <v>2045</v>
      </c>
      <c r="D46" s="1683"/>
      <c r="E46" s="266"/>
      <c r="F46" s="254"/>
      <c r="G46" s="254"/>
      <c r="H46" s="910" t="s">
        <v>1042</v>
      </c>
      <c r="I46" s="536">
        <f>B46</f>
        <v>18</v>
      </c>
      <c r="J46" s="4194"/>
      <c r="K46" s="4195"/>
      <c r="L46" s="4595"/>
      <c r="M46" s="4595"/>
      <c r="N46" s="4628">
        <v>32</v>
      </c>
      <c r="O46" s="4629"/>
      <c r="P46" s="3144" t="s">
        <v>2057</v>
      </c>
      <c r="Q46" s="535"/>
      <c r="R46" s="3144"/>
      <c r="S46" s="3175"/>
      <c r="T46" s="3176"/>
      <c r="U46" s="3176"/>
      <c r="V46" s="3176"/>
      <c r="W46" s="3176"/>
      <c r="X46" s="538"/>
      <c r="Y46" s="2891"/>
      <c r="Z46" s="3177"/>
      <c r="AA46" s="2637"/>
      <c r="AB46" s="2637"/>
      <c r="AC46" s="942"/>
      <c r="AD46" s="551"/>
      <c r="AE46" s="942"/>
    </row>
    <row r="47" spans="1:31" ht="11.25" customHeight="1">
      <c r="A47" s="942"/>
      <c r="B47" s="274">
        <v>19</v>
      </c>
      <c r="C47" s="266" t="s">
        <v>2046</v>
      </c>
      <c r="D47" s="266"/>
      <c r="E47" s="266"/>
      <c r="F47" s="254"/>
      <c r="G47" s="254"/>
      <c r="H47" s="910" t="s">
        <v>761</v>
      </c>
      <c r="I47" s="536">
        <f>B47</f>
        <v>19</v>
      </c>
      <c r="J47" s="4194"/>
      <c r="K47" s="4195"/>
      <c r="L47" s="4595"/>
      <c r="M47" s="4595"/>
      <c r="N47" s="4628" t="s">
        <v>62</v>
      </c>
      <c r="O47" s="4629"/>
      <c r="P47" s="4638"/>
      <c r="Q47" s="4639"/>
      <c r="R47" s="4639"/>
      <c r="S47" s="4639"/>
      <c r="T47" s="4639"/>
      <c r="U47" s="4639"/>
      <c r="V47" s="4639"/>
      <c r="W47" s="4640"/>
      <c r="X47" s="1790" t="s">
        <v>218</v>
      </c>
      <c r="Y47" s="4194"/>
      <c r="Z47" s="4195"/>
      <c r="AA47" s="4595"/>
      <c r="AB47" s="4595"/>
      <c r="AC47" s="942"/>
      <c r="AD47" s="551"/>
      <c r="AE47" s="942"/>
    </row>
    <row r="48" spans="1:31" ht="11.25" customHeight="1">
      <c r="A48" s="942"/>
      <c r="B48" s="274">
        <v>20</v>
      </c>
      <c r="C48" s="1683" t="s">
        <v>2047</v>
      </c>
      <c r="D48" s="1683"/>
      <c r="E48" s="266"/>
      <c r="F48" s="254"/>
      <c r="G48" s="254"/>
      <c r="H48" s="910" t="s">
        <v>1697</v>
      </c>
      <c r="I48" s="536">
        <f>B48</f>
        <v>20</v>
      </c>
      <c r="J48" s="4194"/>
      <c r="K48" s="4195"/>
      <c r="L48" s="4595"/>
      <c r="M48" s="4595"/>
      <c r="N48" s="4628" t="s">
        <v>85</v>
      </c>
      <c r="O48" s="4629"/>
      <c r="P48" s="4638"/>
      <c r="Q48" s="4639"/>
      <c r="R48" s="4639"/>
      <c r="S48" s="4639"/>
      <c r="T48" s="4639"/>
      <c r="U48" s="4639"/>
      <c r="V48" s="4639"/>
      <c r="W48" s="4640"/>
      <c r="X48" s="1790" t="s">
        <v>520</v>
      </c>
      <c r="Y48" s="4194"/>
      <c r="Z48" s="4195"/>
      <c r="AA48" s="4595"/>
      <c r="AB48" s="4595"/>
      <c r="AC48" s="942"/>
      <c r="AD48" s="551"/>
      <c r="AE48" s="942"/>
    </row>
    <row r="49" spans="1:31" ht="11.25" customHeight="1">
      <c r="A49" s="942"/>
      <c r="B49" s="274">
        <v>21</v>
      </c>
      <c r="C49" s="1683" t="s">
        <v>440</v>
      </c>
      <c r="D49" s="1683"/>
      <c r="E49" s="266"/>
      <c r="F49" s="254"/>
      <c r="G49" s="254"/>
      <c r="H49" s="262"/>
      <c r="I49" s="538"/>
      <c r="J49" s="3172"/>
      <c r="K49" s="3173"/>
      <c r="L49" s="3173"/>
      <c r="M49" s="3173"/>
      <c r="N49" s="4628" t="s">
        <v>86</v>
      </c>
      <c r="O49" s="4629"/>
      <c r="P49" s="4638"/>
      <c r="Q49" s="4639"/>
      <c r="R49" s="4639"/>
      <c r="S49" s="4639"/>
      <c r="T49" s="4639"/>
      <c r="U49" s="4639"/>
      <c r="V49" s="4639"/>
      <c r="W49" s="4640"/>
      <c r="X49" s="1790" t="s">
        <v>2060</v>
      </c>
      <c r="Y49" s="4194"/>
      <c r="Z49" s="4195"/>
      <c r="AA49" s="4595"/>
      <c r="AB49" s="4595"/>
      <c r="AC49" s="942"/>
      <c r="AD49" s="551"/>
      <c r="AE49" s="942"/>
    </row>
    <row r="50" spans="1:31" ht="11.25" customHeight="1">
      <c r="A50" s="942"/>
      <c r="B50" s="247" t="s">
        <v>62</v>
      </c>
      <c r="C50" s="266" t="s">
        <v>606</v>
      </c>
      <c r="D50" s="266"/>
      <c r="E50" s="266"/>
      <c r="F50" s="254"/>
      <c r="G50" s="254"/>
      <c r="H50" s="262"/>
      <c r="I50" s="3174" t="s">
        <v>2048</v>
      </c>
      <c r="J50" s="4194"/>
      <c r="K50" s="4195"/>
      <c r="L50" s="4595"/>
      <c r="M50" s="4595"/>
      <c r="N50" s="4628" t="s">
        <v>154</v>
      </c>
      <c r="O50" s="4629"/>
      <c r="P50" s="4638"/>
      <c r="Q50" s="4639"/>
      <c r="R50" s="4639"/>
      <c r="S50" s="4639"/>
      <c r="T50" s="4639"/>
      <c r="U50" s="4639"/>
      <c r="V50" s="4639"/>
      <c r="W50" s="4640"/>
      <c r="X50" s="1790" t="s">
        <v>2061</v>
      </c>
      <c r="Y50" s="4194"/>
      <c r="Z50" s="4195"/>
      <c r="AA50" s="4595"/>
      <c r="AB50" s="4595"/>
      <c r="AC50" s="942"/>
      <c r="AD50" s="551"/>
      <c r="AE50" s="942"/>
    </row>
    <row r="51" spans="1:31" ht="11.25" customHeight="1">
      <c r="A51" s="942"/>
      <c r="B51" s="247" t="s">
        <v>85</v>
      </c>
      <c r="C51" s="1683" t="s">
        <v>689</v>
      </c>
      <c r="D51" s="1683"/>
      <c r="E51" s="266"/>
      <c r="F51" s="254"/>
      <c r="G51" s="254"/>
      <c r="H51" s="910" t="s">
        <v>1229</v>
      </c>
      <c r="I51" s="3174" t="s">
        <v>2049</v>
      </c>
      <c r="J51" s="4194"/>
      <c r="K51" s="4195"/>
      <c r="L51" s="4595"/>
      <c r="M51" s="4595"/>
      <c r="N51" s="4628" t="s">
        <v>2058</v>
      </c>
      <c r="O51" s="4629"/>
      <c r="P51" s="4638"/>
      <c r="Q51" s="4639"/>
      <c r="R51" s="4639"/>
      <c r="S51" s="4639"/>
      <c r="T51" s="4639"/>
      <c r="U51" s="4639"/>
      <c r="V51" s="4639"/>
      <c r="W51" s="4640"/>
      <c r="X51" s="1790" t="s">
        <v>2062</v>
      </c>
      <c r="Y51" s="4194"/>
      <c r="Z51" s="4195"/>
      <c r="AA51" s="4595"/>
      <c r="AB51" s="4595"/>
      <c r="AC51" s="942"/>
      <c r="AD51" s="551"/>
      <c r="AE51" s="942"/>
    </row>
    <row r="52" spans="1:31" ht="11.25" customHeight="1">
      <c r="A52" s="942"/>
      <c r="B52" s="274">
        <v>22</v>
      </c>
      <c r="C52" s="1683" t="s">
        <v>2050</v>
      </c>
      <c r="D52" s="1683"/>
      <c r="E52" s="266"/>
      <c r="F52" s="254"/>
      <c r="G52" s="254"/>
      <c r="H52" s="262"/>
      <c r="I52" s="537">
        <v>22</v>
      </c>
      <c r="J52" s="4631"/>
      <c r="K52" s="4632"/>
      <c r="L52" s="4350"/>
      <c r="M52" s="4350"/>
      <c r="N52" s="4636" t="s">
        <v>2059</v>
      </c>
      <c r="O52" s="4637"/>
      <c r="P52" s="4641"/>
      <c r="Q52" s="4642"/>
      <c r="R52" s="4642"/>
      <c r="S52" s="4642"/>
      <c r="T52" s="4642"/>
      <c r="U52" s="4642"/>
      <c r="V52" s="4642"/>
      <c r="W52" s="4643"/>
      <c r="X52" s="3229" t="s">
        <v>2063</v>
      </c>
      <c r="Y52" s="4631"/>
      <c r="Z52" s="4632"/>
      <c r="AA52" s="4350"/>
      <c r="AB52" s="4350"/>
      <c r="AC52" s="942"/>
      <c r="AD52" s="551"/>
      <c r="AE52" s="942"/>
    </row>
    <row r="53" spans="1:31" ht="15" customHeight="1">
      <c r="A53" s="942"/>
      <c r="B53" s="3173">
        <v>33</v>
      </c>
      <c r="C53" s="3230" t="s">
        <v>2064</v>
      </c>
      <c r="D53" s="3230"/>
      <c r="E53" s="3230"/>
      <c r="F53" s="3231"/>
      <c r="G53" s="3232"/>
      <c r="H53" s="3232"/>
      <c r="I53" s="3232"/>
      <c r="J53" s="3232"/>
      <c r="K53" s="3232"/>
      <c r="L53" s="3232"/>
      <c r="M53" s="3232"/>
      <c r="N53" s="3231"/>
      <c r="O53" s="3231"/>
      <c r="P53" s="3231"/>
      <c r="Q53" s="3231"/>
      <c r="R53" s="3231"/>
      <c r="S53" s="3231"/>
      <c r="T53" s="3231"/>
      <c r="U53" s="3232"/>
      <c r="V53" s="3232"/>
      <c r="W53" s="3231"/>
      <c r="X53" s="3233">
        <v>33</v>
      </c>
      <c r="Y53" s="4633">
        <f>IF(AD53&lt;&gt;"",AD53,ROUND(SUM(J36,J37,J38,J39,J41,J43,J44,J45,J46,J47,J48,J50,J51,J52,Y35,Y36,Y37,Y38,Y39,Y40,Y41,Y42,Y43,Y44,Y45,Y47,Y48,Y49,Y50,Y51,Y52),0))</f>
        <v>0</v>
      </c>
      <c r="Z53" s="4634"/>
      <c r="AA53" s="4635"/>
      <c r="AB53" s="4635"/>
      <c r="AC53" s="942"/>
      <c r="AD53" s="926"/>
      <c r="AE53" s="942"/>
    </row>
    <row r="54" spans="1:31" ht="15" customHeight="1">
      <c r="A54" s="942"/>
      <c r="B54" s="274">
        <v>34</v>
      </c>
      <c r="C54" s="1636" t="s">
        <v>2065</v>
      </c>
      <c r="D54" s="1636"/>
      <c r="E54" s="259"/>
      <c r="F54" s="259"/>
      <c r="G54" s="256"/>
      <c r="H54" s="256"/>
      <c r="I54" s="256"/>
      <c r="J54" s="256"/>
      <c r="K54" s="256"/>
      <c r="L54" s="256"/>
      <c r="M54" s="256"/>
      <c r="N54" s="259"/>
      <c r="O54" s="259"/>
      <c r="P54" s="259"/>
      <c r="Q54" s="259"/>
      <c r="R54" s="259"/>
      <c r="S54" s="259"/>
      <c r="T54" s="259"/>
      <c r="U54" s="256"/>
      <c r="V54" s="256"/>
      <c r="W54" s="259"/>
      <c r="X54" s="257">
        <v>34</v>
      </c>
      <c r="Y54" s="4592">
        <f>IF(AD54&lt;&gt;"",AD54,SUM(Y33,-Y53))</f>
        <v>0</v>
      </c>
      <c r="Z54" s="4593"/>
      <c r="AA54" s="4594"/>
      <c r="AB54" s="4594"/>
      <c r="AC54" s="942"/>
      <c r="AD54" s="926"/>
      <c r="AE54" s="942"/>
    </row>
    <row r="55" spans="1:31" ht="14.25" customHeight="1">
      <c r="A55" s="942"/>
      <c r="B55" s="274"/>
      <c r="C55" s="2893" t="s">
        <v>2066</v>
      </c>
      <c r="D55" s="2893"/>
      <c r="E55" s="259"/>
      <c r="F55" s="259"/>
      <c r="G55" s="256"/>
      <c r="H55" s="256"/>
      <c r="I55" s="256"/>
      <c r="J55" s="256"/>
      <c r="K55" s="256"/>
      <c r="L55" s="256"/>
      <c r="M55" s="256"/>
      <c r="N55" s="259"/>
      <c r="O55" s="259"/>
      <c r="P55" s="259"/>
      <c r="Q55" s="259"/>
      <c r="R55" s="259"/>
      <c r="S55" s="259"/>
      <c r="T55" s="3179"/>
      <c r="U55" s="256"/>
      <c r="V55" s="256"/>
      <c r="W55" s="256"/>
      <c r="X55" s="256"/>
      <c r="Y55" s="256"/>
      <c r="Z55" s="256"/>
      <c r="AA55" s="256"/>
      <c r="AB55" s="256"/>
      <c r="AC55" s="942"/>
      <c r="AD55" s="551"/>
      <c r="AE55" s="942"/>
    </row>
    <row r="56" spans="1:31" ht="14.25" customHeight="1">
      <c r="A56" s="942"/>
      <c r="B56" s="274">
        <v>35</v>
      </c>
      <c r="C56" s="2893" t="str">
        <f>"Did you receive an applicable subsidy in "&amp;TaxYear&amp;"? (see instructions)"</f>
        <v>Did you receive an applicable subsidy in 2014? (see instructions)</v>
      </c>
      <c r="D56" s="2893"/>
      <c r="E56" s="259"/>
      <c r="F56" s="259"/>
      <c r="G56" s="256"/>
      <c r="H56" s="256"/>
      <c r="I56" s="256"/>
      <c r="J56" s="256"/>
      <c r="K56" s="256"/>
      <c r="L56" s="256"/>
      <c r="M56" s="256"/>
      <c r="N56" s="259"/>
      <c r="O56" s="259"/>
      <c r="P56" s="259"/>
      <c r="Q56" s="259"/>
      <c r="R56" s="259"/>
      <c r="S56" s="259"/>
      <c r="T56" s="3179"/>
      <c r="U56" s="256"/>
      <c r="V56" s="256"/>
      <c r="W56" s="256"/>
      <c r="X56" s="3167"/>
      <c r="Y56" s="3162" t="s">
        <v>460</v>
      </c>
      <c r="Z56" s="256"/>
      <c r="AA56" s="3167"/>
      <c r="AB56" s="3143" t="s">
        <v>461</v>
      </c>
      <c r="AC56" s="942"/>
      <c r="AD56" s="551"/>
      <c r="AE56" s="942"/>
    </row>
    <row r="57" spans="1:31" ht="14.25" customHeight="1">
      <c r="A57" s="942"/>
      <c r="B57" s="274">
        <v>36</v>
      </c>
      <c r="C57" s="2893" t="s">
        <v>2067</v>
      </c>
      <c r="D57" s="2893"/>
      <c r="E57" s="259"/>
      <c r="F57" s="259"/>
      <c r="G57" s="256"/>
      <c r="H57" s="256"/>
      <c r="I57" s="256"/>
      <c r="J57" s="256"/>
      <c r="K57" s="256"/>
      <c r="L57" s="256"/>
      <c r="M57" s="256"/>
      <c r="N57" s="259"/>
      <c r="O57" s="259"/>
      <c r="P57" s="259"/>
      <c r="Q57" s="259"/>
      <c r="R57" s="259"/>
      <c r="S57" s="259"/>
      <c r="T57" s="3179"/>
      <c r="U57" s="256"/>
      <c r="V57" s="256"/>
      <c r="W57" s="256"/>
      <c r="X57" s="256"/>
      <c r="Y57" s="256"/>
      <c r="Z57" s="256"/>
      <c r="AA57" s="256"/>
      <c r="AB57" s="3143"/>
      <c r="AC57" s="942"/>
      <c r="AD57" s="551"/>
      <c r="AE57" s="942"/>
    </row>
    <row r="58" spans="1:31" ht="12.75" customHeight="1">
      <c r="A58" s="942"/>
      <c r="B58" s="910" t="s">
        <v>62</v>
      </c>
      <c r="C58" s="3167"/>
      <c r="D58" s="535" t="s">
        <v>2068</v>
      </c>
      <c r="E58" s="910"/>
      <c r="F58" s="535"/>
      <c r="G58" s="535"/>
      <c r="H58" s="910" t="s">
        <v>85</v>
      </c>
      <c r="I58" s="3167"/>
      <c r="J58" s="234" t="s">
        <v>2069</v>
      </c>
      <c r="K58" s="254"/>
      <c r="L58" s="910"/>
      <c r="M58" s="243"/>
      <c r="N58" s="243"/>
      <c r="O58" s="243"/>
      <c r="P58" s="243"/>
      <c r="Q58" s="243"/>
      <c r="R58" s="263"/>
      <c r="S58" s="263"/>
      <c r="T58" s="243"/>
      <c r="U58" s="254"/>
      <c r="V58" s="254"/>
      <c r="W58" s="259"/>
      <c r="X58" s="528"/>
      <c r="Y58" s="528"/>
      <c r="Z58" s="1078"/>
      <c r="AA58" s="528"/>
      <c r="AB58" s="528"/>
      <c r="AC58" s="942"/>
      <c r="AD58" s="551"/>
      <c r="AE58" s="942"/>
    </row>
    <row r="59" spans="1:31" ht="3.75" customHeight="1" thickBot="1">
      <c r="A59" s="942"/>
      <c r="B59" s="910"/>
      <c r="C59" s="910"/>
      <c r="D59" s="234"/>
      <c r="E59" s="243"/>
      <c r="F59" s="243"/>
      <c r="G59" s="254"/>
      <c r="H59" s="254"/>
      <c r="I59" s="254"/>
      <c r="J59" s="254"/>
      <c r="K59" s="254"/>
      <c r="L59" s="254"/>
      <c r="M59" s="254"/>
      <c r="N59" s="243"/>
      <c r="O59" s="243"/>
      <c r="P59" s="243"/>
      <c r="Q59" s="243"/>
      <c r="R59" s="263"/>
      <c r="S59" s="263"/>
      <c r="T59" s="243"/>
      <c r="U59" s="254"/>
      <c r="V59" s="254"/>
      <c r="W59" s="259"/>
      <c r="X59" s="528"/>
      <c r="Y59" s="528"/>
      <c r="Z59" s="1078"/>
      <c r="AA59" s="528"/>
      <c r="AB59" s="528"/>
      <c r="AC59" s="942"/>
      <c r="AD59" s="551"/>
      <c r="AE59" s="942"/>
    </row>
    <row r="60" spans="1:31" ht="22.5" customHeight="1">
      <c r="A60" s="942"/>
      <c r="B60" s="804" t="s">
        <v>943</v>
      </c>
      <c r="C60" s="804"/>
      <c r="D60" s="805"/>
      <c r="E60" s="805"/>
      <c r="F60" s="805"/>
      <c r="G60" s="806"/>
      <c r="H60" s="806"/>
      <c r="I60" s="806"/>
      <c r="J60" s="806"/>
      <c r="K60" s="806"/>
      <c r="L60" s="806"/>
      <c r="M60" s="806"/>
      <c r="N60" s="805"/>
      <c r="O60" s="805"/>
      <c r="P60" s="805"/>
      <c r="Q60" s="805"/>
      <c r="R60" s="1797" t="s">
        <v>2070</v>
      </c>
      <c r="S60" s="1797"/>
      <c r="T60" s="805"/>
      <c r="U60" s="1797"/>
      <c r="V60" s="806"/>
      <c r="W60" s="808"/>
      <c r="X60" s="806"/>
      <c r="Y60" s="806"/>
      <c r="Z60" s="809"/>
      <c r="AA60" s="810"/>
      <c r="AB60" s="810" t="str">
        <f>"Schedule F (Form 1040)  "&amp;TaxYear</f>
        <v>Schedule F (Form 1040)  2014</v>
      </c>
      <c r="AC60" s="942"/>
      <c r="AD60" s="551"/>
      <c r="AE60" s="942"/>
    </row>
    <row r="61" spans="1:31" ht="19.5" customHeight="1" thickBot="1">
      <c r="A61" s="942"/>
      <c r="B61" s="3206" t="str">
        <f>"Schedule F (Form 1040) "&amp;TaxYear</f>
        <v>Schedule F (Form 1040) 2014</v>
      </c>
      <c r="C61" s="3206"/>
      <c r="D61" s="3206"/>
      <c r="E61" s="3206"/>
      <c r="F61" s="3206"/>
      <c r="G61" s="3206"/>
      <c r="H61" s="3206"/>
      <c r="I61" s="3206"/>
      <c r="J61" s="3206"/>
      <c r="K61" s="3206"/>
      <c r="L61" s="3206"/>
      <c r="M61" s="3206"/>
      <c r="N61" s="3206"/>
      <c r="O61" s="3206"/>
      <c r="P61" s="3206"/>
      <c r="Q61" s="3206"/>
      <c r="R61" s="3206"/>
      <c r="S61" s="3206"/>
      <c r="T61" s="3206"/>
      <c r="U61" s="3206"/>
      <c r="V61" s="3206"/>
      <c r="W61" s="3206"/>
      <c r="X61" s="3206"/>
      <c r="Y61" s="3207"/>
      <c r="Z61" s="3208"/>
      <c r="AA61" s="3208" t="s">
        <v>342</v>
      </c>
      <c r="AB61" s="3209" t="str">
        <f>"2"</f>
        <v>2</v>
      </c>
      <c r="AC61" s="942"/>
      <c r="AD61" s="551"/>
      <c r="AE61" s="942"/>
    </row>
    <row r="62" spans="1:31" ht="15.75" thickTop="1">
      <c r="A62" s="942"/>
      <c r="B62" s="4579" t="s">
        <v>546</v>
      </c>
      <c r="C62" s="3866"/>
      <c r="D62" s="3217" t="s">
        <v>2142</v>
      </c>
      <c r="E62" s="3210"/>
      <c r="F62" s="3210"/>
      <c r="G62" s="3210"/>
      <c r="H62" s="3210"/>
      <c r="I62" s="3210"/>
      <c r="J62" s="3210"/>
      <c r="K62" s="3210"/>
      <c r="L62" s="3210"/>
      <c r="M62" s="3210"/>
      <c r="N62" s="3210"/>
      <c r="O62" s="3210"/>
      <c r="P62" s="3210"/>
      <c r="Q62" s="3210"/>
      <c r="R62" s="3210"/>
      <c r="S62" s="3210"/>
      <c r="T62" s="3210"/>
      <c r="U62" s="3210"/>
      <c r="V62" s="3210"/>
      <c r="W62" s="3210"/>
      <c r="X62" s="3210"/>
      <c r="Y62" s="3210"/>
      <c r="Z62" s="3210"/>
      <c r="AA62" s="3210"/>
      <c r="AB62" s="3210"/>
      <c r="AC62" s="942"/>
      <c r="AD62" s="551"/>
      <c r="AE62" s="942"/>
    </row>
    <row r="63" spans="1:31" ht="9.75" customHeight="1">
      <c r="A63" s="942"/>
      <c r="B63" s="441"/>
      <c r="C63" s="441"/>
      <c r="D63" s="441"/>
      <c r="E63" s="441"/>
      <c r="F63" s="441"/>
      <c r="G63" s="441"/>
      <c r="H63" s="441"/>
      <c r="I63" s="441"/>
      <c r="J63" s="441"/>
      <c r="K63" s="441"/>
      <c r="L63" s="441"/>
      <c r="M63" s="441"/>
      <c r="N63" s="441"/>
      <c r="O63" s="441"/>
      <c r="P63" s="441"/>
      <c r="Q63" s="441"/>
      <c r="R63" s="441"/>
      <c r="S63" s="441"/>
      <c r="T63" s="441"/>
      <c r="U63" s="441"/>
      <c r="V63" s="441"/>
      <c r="W63" s="441"/>
      <c r="X63" s="3187"/>
      <c r="Y63" s="441"/>
      <c r="Z63" s="441"/>
      <c r="AA63" s="441"/>
      <c r="AB63" s="441"/>
      <c r="AC63" s="942"/>
      <c r="AD63" s="551"/>
      <c r="AE63" s="942"/>
    </row>
    <row r="64" spans="1:31" ht="14.25" customHeight="1">
      <c r="A64" s="942"/>
      <c r="B64" s="274">
        <v>37</v>
      </c>
      <c r="C64" s="243" t="s">
        <v>2072</v>
      </c>
      <c r="D64" s="243"/>
      <c r="E64" s="243"/>
      <c r="F64" s="243"/>
      <c r="G64" s="243"/>
      <c r="H64" s="243"/>
      <c r="I64" s="243"/>
      <c r="J64" s="243"/>
      <c r="K64" s="243"/>
      <c r="L64" s="243"/>
      <c r="M64" s="243"/>
      <c r="N64" s="243"/>
      <c r="O64" s="243"/>
      <c r="P64" s="243"/>
      <c r="Q64" s="243"/>
      <c r="R64" s="243"/>
      <c r="S64" s="243"/>
      <c r="T64" s="243"/>
      <c r="U64" s="243"/>
      <c r="V64" s="243"/>
      <c r="W64" s="967" t="s">
        <v>2194</v>
      </c>
      <c r="X64" s="1790">
        <v>37</v>
      </c>
      <c r="Y64" s="4194"/>
      <c r="Z64" s="4195"/>
      <c r="AA64" s="4595"/>
      <c r="AB64" s="4595"/>
      <c r="AC64" s="942"/>
      <c r="AD64" s="551"/>
      <c r="AE64" s="942"/>
    </row>
    <row r="65" spans="1:31" ht="12" customHeight="1">
      <c r="A65" s="942"/>
      <c r="B65" s="274"/>
      <c r="C65" s="274"/>
      <c r="D65" s="243"/>
      <c r="E65" s="243"/>
      <c r="F65" s="243"/>
      <c r="G65" s="243"/>
      <c r="H65" s="243"/>
      <c r="I65" s="243"/>
      <c r="J65" s="243"/>
      <c r="K65" s="243"/>
      <c r="L65" s="243"/>
      <c r="M65" s="243"/>
      <c r="N65" s="243"/>
      <c r="O65" s="243"/>
      <c r="P65" s="243"/>
      <c r="Q65" s="243"/>
      <c r="R65" s="243"/>
      <c r="S65" s="243"/>
      <c r="T65" s="243"/>
      <c r="U65" s="243"/>
      <c r="V65" s="243"/>
      <c r="W65" s="243"/>
      <c r="X65" s="3187"/>
      <c r="Y65" s="243"/>
      <c r="Z65" s="243"/>
      <c r="AA65" s="243"/>
      <c r="AB65" s="243"/>
      <c r="AC65" s="942"/>
      <c r="AD65" s="551"/>
      <c r="AE65" s="942"/>
    </row>
    <row r="66" spans="1:31" ht="15" customHeight="1">
      <c r="A66" s="942"/>
      <c r="B66" s="232" t="s">
        <v>2073</v>
      </c>
      <c r="C66" s="1636" t="s">
        <v>2019</v>
      </c>
      <c r="D66" s="1636"/>
      <c r="E66" s="259"/>
      <c r="F66" s="259"/>
      <c r="G66" s="259"/>
      <c r="H66" s="259"/>
      <c r="I66" s="259"/>
      <c r="J66" s="259"/>
      <c r="K66" s="3191" t="s">
        <v>2153</v>
      </c>
      <c r="L66" s="3214" t="s">
        <v>2073</v>
      </c>
      <c r="M66" s="4194"/>
      <c r="N66" s="4195"/>
      <c r="O66" s="4595"/>
      <c r="P66" s="4596"/>
      <c r="Q66" s="243"/>
      <c r="R66" s="967" t="s">
        <v>2074</v>
      </c>
      <c r="S66" s="3163" t="s">
        <v>479</v>
      </c>
      <c r="T66" s="3163"/>
      <c r="U66" s="3163"/>
      <c r="V66" s="3164"/>
      <c r="W66" s="3164"/>
      <c r="X66" s="3147" t="s">
        <v>2074</v>
      </c>
      <c r="Y66" s="4194"/>
      <c r="Z66" s="4195"/>
      <c r="AA66" s="4595"/>
      <c r="AB66" s="4595"/>
      <c r="AC66" s="942"/>
      <c r="AD66" s="551"/>
      <c r="AE66" s="942"/>
    </row>
    <row r="67" spans="1:31" ht="12.75" customHeight="1">
      <c r="A67" s="942"/>
      <c r="B67" s="274"/>
      <c r="C67" s="274"/>
      <c r="D67" s="1636"/>
      <c r="E67" s="259"/>
      <c r="F67" s="259"/>
      <c r="G67" s="259"/>
      <c r="H67" s="259"/>
      <c r="I67" s="259"/>
      <c r="J67" s="259"/>
      <c r="K67" s="259"/>
      <c r="L67" s="259"/>
      <c r="M67" s="259"/>
      <c r="N67" s="259"/>
      <c r="O67" s="259"/>
      <c r="P67" s="243"/>
      <c r="Q67" s="243"/>
      <c r="R67" s="243"/>
      <c r="S67" s="259"/>
      <c r="T67" s="259"/>
      <c r="U67" s="259"/>
      <c r="V67" s="259"/>
      <c r="W67" s="259"/>
      <c r="X67" s="3187"/>
      <c r="Y67" s="259"/>
      <c r="Z67" s="288" t="str">
        <f>IF(AND(U67&lt;&gt;"",X67&lt;&gt;""),"Check ONLY one.","")</f>
        <v/>
      </c>
      <c r="AA67" s="259"/>
      <c r="AB67" s="259"/>
      <c r="AC67" s="942"/>
      <c r="AD67" s="551"/>
      <c r="AE67" s="942"/>
    </row>
    <row r="68" spans="1:31" ht="15" customHeight="1">
      <c r="A68" s="942"/>
      <c r="B68" s="232" t="s">
        <v>98</v>
      </c>
      <c r="C68" s="1636" t="s">
        <v>2075</v>
      </c>
      <c r="D68" s="1636"/>
      <c r="E68" s="259"/>
      <c r="F68" s="259"/>
      <c r="G68" s="259"/>
      <c r="H68" s="259"/>
      <c r="I68" s="259"/>
      <c r="J68" s="259"/>
      <c r="K68" s="3191" t="s">
        <v>1775</v>
      </c>
      <c r="L68" s="3214" t="s">
        <v>98</v>
      </c>
      <c r="M68" s="4194"/>
      <c r="N68" s="4195"/>
      <c r="O68" s="4595"/>
      <c r="P68" s="4596"/>
      <c r="Q68" s="243"/>
      <c r="R68" s="967" t="s">
        <v>2076</v>
      </c>
      <c r="S68" s="3163" t="s">
        <v>479</v>
      </c>
      <c r="T68" s="3163"/>
      <c r="U68" s="3163"/>
      <c r="V68" s="3164"/>
      <c r="W68" s="3164"/>
      <c r="X68" s="3147" t="s">
        <v>2076</v>
      </c>
      <c r="Y68" s="4194"/>
      <c r="Z68" s="4195"/>
      <c r="AA68" s="4595"/>
      <c r="AB68" s="4595"/>
      <c r="AC68" s="942"/>
      <c r="AD68" s="551"/>
      <c r="AE68" s="942"/>
    </row>
    <row r="69" spans="1:31" ht="12.75" customHeight="1">
      <c r="A69" s="942"/>
      <c r="B69" s="274"/>
      <c r="C69" s="274"/>
      <c r="D69" s="1636"/>
      <c r="E69" s="259"/>
      <c r="F69" s="259"/>
      <c r="G69" s="259"/>
      <c r="H69" s="259"/>
      <c r="I69" s="259"/>
      <c r="J69" s="259"/>
      <c r="K69" s="259"/>
      <c r="L69" s="259"/>
      <c r="M69" s="259"/>
      <c r="N69" s="259"/>
      <c r="O69" s="259"/>
      <c r="P69" s="243"/>
      <c r="Q69" s="243"/>
      <c r="R69" s="243"/>
      <c r="S69" s="259"/>
      <c r="T69" s="259"/>
      <c r="U69" s="259"/>
      <c r="V69" s="259"/>
      <c r="W69" s="259"/>
      <c r="X69" s="3188"/>
      <c r="Y69" s="259"/>
      <c r="Z69" s="288" t="str">
        <f>IF(AND(U69&lt;&gt;"",X69&lt;&gt;""),"Check ONLY one.","")</f>
        <v/>
      </c>
      <c r="AA69" s="259"/>
      <c r="AB69" s="259"/>
      <c r="AC69" s="942"/>
      <c r="AD69" s="551"/>
      <c r="AE69" s="942"/>
    </row>
    <row r="70" spans="1:31" ht="12.75" customHeight="1">
      <c r="A70" s="942"/>
      <c r="B70" s="232">
        <v>40</v>
      </c>
      <c r="C70" s="1636" t="s">
        <v>2078</v>
      </c>
      <c r="D70" s="1636"/>
      <c r="E70" s="259"/>
      <c r="F70" s="259"/>
      <c r="G70" s="259"/>
      <c r="H70" s="259"/>
      <c r="I70" s="259"/>
      <c r="J70" s="259"/>
      <c r="K70" s="259"/>
      <c r="L70" s="259"/>
      <c r="M70" s="259"/>
      <c r="N70" s="259"/>
      <c r="O70" s="259"/>
      <c r="P70" s="243"/>
      <c r="Q70" s="243"/>
      <c r="R70" s="243"/>
      <c r="S70" s="259"/>
      <c r="T70" s="259"/>
      <c r="U70" s="259"/>
      <c r="V70" s="259"/>
      <c r="W70" s="259"/>
      <c r="X70" s="3189"/>
      <c r="Y70" s="259"/>
      <c r="Z70" s="288"/>
      <c r="AA70" s="259"/>
      <c r="AB70" s="259"/>
      <c r="AC70" s="942"/>
      <c r="AD70" s="551"/>
      <c r="AE70" s="942"/>
    </row>
    <row r="71" spans="1:31" ht="15" customHeight="1">
      <c r="A71" s="942"/>
      <c r="B71" s="3166" t="s">
        <v>62</v>
      </c>
      <c r="C71" s="1636" t="s">
        <v>2079</v>
      </c>
      <c r="D71" s="1636"/>
      <c r="E71" s="259"/>
      <c r="F71" s="259"/>
      <c r="G71" s="259"/>
      <c r="H71" s="259"/>
      <c r="I71" s="259"/>
      <c r="J71" s="259"/>
      <c r="K71" s="259"/>
      <c r="L71" s="259"/>
      <c r="M71" s="259"/>
      <c r="N71" s="259"/>
      <c r="O71" s="259"/>
      <c r="P71" s="259"/>
      <c r="Q71" s="259"/>
      <c r="R71" s="243"/>
      <c r="S71" s="967"/>
      <c r="T71" s="3163"/>
      <c r="U71" s="3163"/>
      <c r="V71" s="3164"/>
      <c r="W71" s="967" t="s">
        <v>2148</v>
      </c>
      <c r="X71" s="3147" t="s">
        <v>2077</v>
      </c>
      <c r="Y71" s="4194"/>
      <c r="Z71" s="4195"/>
      <c r="AA71" s="4595"/>
      <c r="AB71" s="4595"/>
      <c r="AC71" s="942"/>
      <c r="AD71" s="551"/>
      <c r="AE71" s="942"/>
    </row>
    <row r="72" spans="1:31" ht="12" customHeight="1">
      <c r="A72" s="942"/>
      <c r="B72" s="274"/>
      <c r="C72" s="274"/>
      <c r="D72" s="259"/>
      <c r="E72" s="259"/>
      <c r="F72" s="259"/>
      <c r="G72" s="259"/>
      <c r="H72" s="259"/>
      <c r="I72" s="259"/>
      <c r="J72" s="259"/>
      <c r="K72" s="259"/>
      <c r="L72" s="259"/>
      <c r="M72" s="259"/>
      <c r="N72" s="259"/>
      <c r="O72" s="259"/>
      <c r="P72" s="243"/>
      <c r="Q72" s="243"/>
      <c r="R72" s="243"/>
      <c r="S72" s="259"/>
      <c r="T72" s="259"/>
      <c r="U72" s="259"/>
      <c r="V72" s="259"/>
      <c r="W72" s="3211"/>
      <c r="X72" s="3187"/>
      <c r="Y72" s="259"/>
      <c r="Z72" s="259"/>
      <c r="AA72" s="259"/>
      <c r="AB72" s="259"/>
      <c r="AC72" s="942"/>
      <c r="AD72" s="551"/>
      <c r="AE72" s="942"/>
    </row>
    <row r="73" spans="1:31" ht="15" customHeight="1">
      <c r="A73" s="942"/>
      <c r="B73" s="3166" t="s">
        <v>85</v>
      </c>
      <c r="C73" s="1636" t="s">
        <v>2024</v>
      </c>
      <c r="D73" s="1636"/>
      <c r="E73" s="259"/>
      <c r="F73" s="259"/>
      <c r="G73" s="259"/>
      <c r="H73" s="259"/>
      <c r="I73" s="259"/>
      <c r="J73" s="259"/>
      <c r="K73" s="967" t="s">
        <v>2152</v>
      </c>
      <c r="L73" s="3214" t="s">
        <v>2080</v>
      </c>
      <c r="M73" s="4194"/>
      <c r="N73" s="4195"/>
      <c r="O73" s="4595"/>
      <c r="P73" s="4596"/>
      <c r="Q73" s="243"/>
      <c r="R73" s="967" t="s">
        <v>2081</v>
      </c>
      <c r="S73" s="3163" t="s">
        <v>479</v>
      </c>
      <c r="T73" s="3163"/>
      <c r="U73" s="3163"/>
      <c r="V73" s="3164"/>
      <c r="W73" s="3212"/>
      <c r="X73" s="3147" t="s">
        <v>2081</v>
      </c>
      <c r="Y73" s="4194"/>
      <c r="Z73" s="4195"/>
      <c r="AA73" s="4595"/>
      <c r="AB73" s="4595"/>
      <c r="AC73" s="942"/>
      <c r="AD73" s="551"/>
      <c r="AE73" s="942"/>
    </row>
    <row r="74" spans="1:31" ht="9.75" customHeight="1">
      <c r="A74" s="942"/>
      <c r="B74" s="441"/>
      <c r="C74" s="441"/>
      <c r="D74" s="441"/>
      <c r="E74" s="441"/>
      <c r="F74" s="441"/>
      <c r="G74" s="441"/>
      <c r="H74" s="441"/>
      <c r="I74" s="441"/>
      <c r="J74" s="441"/>
      <c r="K74" s="441"/>
      <c r="L74" s="441"/>
      <c r="M74" s="441"/>
      <c r="N74" s="441"/>
      <c r="O74" s="441"/>
      <c r="P74" s="441"/>
      <c r="Q74" s="441"/>
      <c r="R74" s="441"/>
      <c r="S74" s="441"/>
      <c r="T74" s="441"/>
      <c r="U74" s="441"/>
      <c r="V74" s="441"/>
      <c r="W74" s="3213"/>
      <c r="X74" s="3187"/>
      <c r="Y74" s="441"/>
      <c r="Z74" s="441"/>
      <c r="AA74" s="441"/>
      <c r="AB74" s="441"/>
      <c r="AC74" s="942"/>
      <c r="AD74" s="551"/>
      <c r="AE74" s="942"/>
    </row>
    <row r="75" spans="1:31" ht="14.25" customHeight="1">
      <c r="A75" s="942"/>
      <c r="B75" s="274">
        <v>41</v>
      </c>
      <c r="C75" s="234" t="s">
        <v>2082</v>
      </c>
      <c r="D75" s="234"/>
      <c r="E75" s="243"/>
      <c r="F75" s="243"/>
      <c r="G75" s="243"/>
      <c r="H75" s="243"/>
      <c r="I75" s="243"/>
      <c r="J75" s="243"/>
      <c r="K75" s="243"/>
      <c r="L75" s="243"/>
      <c r="M75" s="243"/>
      <c r="N75" s="243"/>
      <c r="O75" s="243"/>
      <c r="P75" s="243"/>
      <c r="Q75" s="243"/>
      <c r="R75" s="243"/>
      <c r="S75" s="243"/>
      <c r="T75" s="243"/>
      <c r="U75" s="243"/>
      <c r="V75" s="243"/>
      <c r="W75" s="967" t="s">
        <v>2151</v>
      </c>
      <c r="X75" s="1790">
        <v>41</v>
      </c>
      <c r="Y75" s="4194"/>
      <c r="Z75" s="4195"/>
      <c r="AA75" s="4595"/>
      <c r="AB75" s="4595"/>
      <c r="AC75" s="942"/>
      <c r="AD75" s="551"/>
      <c r="AE75" s="942"/>
    </row>
    <row r="76" spans="1:31" ht="9.75" customHeight="1">
      <c r="A76" s="942"/>
      <c r="B76" s="441"/>
      <c r="C76" s="441"/>
      <c r="D76" s="441"/>
      <c r="E76" s="441"/>
      <c r="F76" s="441"/>
      <c r="G76" s="441"/>
      <c r="H76" s="441"/>
      <c r="I76" s="441"/>
      <c r="J76" s="441"/>
      <c r="K76" s="441"/>
      <c r="L76" s="441"/>
      <c r="M76" s="441"/>
      <c r="N76" s="441"/>
      <c r="O76" s="441"/>
      <c r="P76" s="441"/>
      <c r="Q76" s="441"/>
      <c r="R76" s="441"/>
      <c r="S76" s="441"/>
      <c r="T76" s="441"/>
      <c r="U76" s="441"/>
      <c r="V76" s="441"/>
      <c r="W76" s="441"/>
      <c r="X76" s="3187"/>
      <c r="Y76" s="441"/>
      <c r="Z76" s="441"/>
      <c r="AA76" s="441"/>
      <c r="AB76" s="441"/>
      <c r="AC76" s="942"/>
      <c r="AD76" s="551"/>
      <c r="AE76" s="942"/>
    </row>
    <row r="77" spans="1:31" ht="14.25" customHeight="1">
      <c r="A77" s="942"/>
      <c r="B77" s="274">
        <v>42</v>
      </c>
      <c r="C77" s="234" t="s">
        <v>2029</v>
      </c>
      <c r="D77" s="234"/>
      <c r="E77" s="243"/>
      <c r="F77" s="243"/>
      <c r="G77" s="243"/>
      <c r="H77" s="243"/>
      <c r="I77" s="243"/>
      <c r="J77" s="243"/>
      <c r="K77" s="243"/>
      <c r="L77" s="243"/>
      <c r="M77" s="243"/>
      <c r="N77" s="243"/>
      <c r="O77" s="243"/>
      <c r="P77" s="243"/>
      <c r="Q77" s="243"/>
      <c r="R77" s="243"/>
      <c r="S77" s="243"/>
      <c r="T77" s="243"/>
      <c r="U77" s="243"/>
      <c r="V77" s="243"/>
      <c r="W77" s="967" t="s">
        <v>2148</v>
      </c>
      <c r="X77" s="1790">
        <v>42</v>
      </c>
      <c r="Y77" s="4194"/>
      <c r="Z77" s="4195"/>
      <c r="AA77" s="4595"/>
      <c r="AB77" s="4595"/>
      <c r="AC77" s="942"/>
      <c r="AD77" s="551"/>
      <c r="AE77" s="942"/>
    </row>
    <row r="78" spans="1:31" ht="9.75" customHeight="1">
      <c r="A78" s="942"/>
      <c r="B78" s="441"/>
      <c r="C78" s="441"/>
      <c r="D78" s="441"/>
      <c r="E78" s="441"/>
      <c r="F78" s="441"/>
      <c r="G78" s="441"/>
      <c r="H78" s="441"/>
      <c r="I78" s="441"/>
      <c r="J78" s="441"/>
      <c r="K78" s="441"/>
      <c r="L78" s="441"/>
      <c r="M78" s="441"/>
      <c r="N78" s="441"/>
      <c r="O78" s="441"/>
      <c r="P78" s="441"/>
      <c r="Q78" s="441"/>
      <c r="R78" s="441"/>
      <c r="S78" s="441"/>
      <c r="T78" s="441"/>
      <c r="U78" s="441"/>
      <c r="V78" s="441"/>
      <c r="W78" s="441"/>
      <c r="X78" s="3187"/>
      <c r="Y78" s="441"/>
      <c r="Z78" s="441"/>
      <c r="AA78" s="441"/>
      <c r="AB78" s="441"/>
      <c r="AC78" s="942"/>
      <c r="AD78" s="551"/>
      <c r="AE78" s="942"/>
    </row>
    <row r="79" spans="1:31" ht="14.25" customHeight="1">
      <c r="A79" s="942"/>
      <c r="B79" s="274">
        <v>43</v>
      </c>
      <c r="C79" s="234" t="s">
        <v>2083</v>
      </c>
      <c r="D79" s="234"/>
      <c r="E79" s="243"/>
      <c r="F79" s="243"/>
      <c r="G79" s="243"/>
      <c r="H79" s="243"/>
      <c r="I79" s="243"/>
      <c r="J79" s="243"/>
      <c r="K79" s="243"/>
      <c r="L79" s="243"/>
      <c r="M79" s="243"/>
      <c r="N79" s="243"/>
      <c r="O79" s="243"/>
      <c r="P79" s="243"/>
      <c r="Q79" s="243"/>
      <c r="R79" s="243"/>
      <c r="S79" s="243"/>
      <c r="T79" s="243"/>
      <c r="U79" s="243"/>
      <c r="V79" s="243"/>
      <c r="W79" s="967" t="s">
        <v>2150</v>
      </c>
      <c r="X79" s="1790">
        <v>43</v>
      </c>
      <c r="Y79" s="4194"/>
      <c r="Z79" s="4195"/>
      <c r="AA79" s="4595"/>
      <c r="AB79" s="4595"/>
      <c r="AC79" s="942"/>
      <c r="AD79" s="551"/>
      <c r="AE79" s="942"/>
    </row>
    <row r="80" spans="1:31" ht="9.75" customHeight="1">
      <c r="A80" s="942"/>
      <c r="B80" s="441"/>
      <c r="C80" s="441"/>
      <c r="D80" s="441"/>
      <c r="E80" s="441"/>
      <c r="F80" s="441"/>
      <c r="G80" s="441"/>
      <c r="H80" s="441"/>
      <c r="I80" s="441"/>
      <c r="J80" s="441"/>
      <c r="K80" s="441"/>
      <c r="L80" s="441"/>
      <c r="M80" s="441"/>
      <c r="N80" s="441"/>
      <c r="O80" s="441"/>
      <c r="P80" s="441"/>
      <c r="Q80" s="441"/>
      <c r="R80" s="441"/>
      <c r="S80" s="441"/>
      <c r="T80" s="441"/>
      <c r="U80" s="441"/>
      <c r="V80" s="441"/>
      <c r="W80" s="441"/>
      <c r="X80" s="3187"/>
      <c r="Y80" s="3190"/>
      <c r="Z80" s="3171"/>
      <c r="AA80" s="3171"/>
      <c r="AB80" s="3171"/>
      <c r="AC80" s="942"/>
      <c r="AD80" s="551"/>
      <c r="AE80" s="942"/>
    </row>
    <row r="81" spans="1:31" ht="14.25" customHeight="1">
      <c r="A81" s="942"/>
      <c r="B81" s="274">
        <v>44</v>
      </c>
      <c r="C81" s="234" t="s">
        <v>2084</v>
      </c>
      <c r="D81" s="234"/>
      <c r="E81" s="243"/>
      <c r="F81" s="243"/>
      <c r="G81" s="243"/>
      <c r="H81" s="243"/>
      <c r="I81" s="243"/>
      <c r="J81" s="243"/>
      <c r="K81" s="243"/>
      <c r="L81" s="243"/>
      <c r="M81" s="243"/>
      <c r="N81" s="243"/>
      <c r="O81" s="243"/>
      <c r="P81" s="243"/>
      <c r="Q81" s="243"/>
      <c r="R81" s="243"/>
      <c r="S81" s="243"/>
      <c r="T81" s="243"/>
      <c r="U81" s="243"/>
      <c r="V81" s="243"/>
      <c r="W81" s="967" t="s">
        <v>2149</v>
      </c>
      <c r="X81" s="1790">
        <v>44</v>
      </c>
      <c r="Y81" s="4251">
        <f>IF(AD81&lt;&gt;"",AD81,ROUND(SUM(Y64,Y66,Y68,Y71,Y73,Y75,Y77,Y79),0))</f>
        <v>0</v>
      </c>
      <c r="Z81" s="4160"/>
      <c r="AA81" s="4630"/>
      <c r="AB81" s="4630"/>
      <c r="AC81" s="942"/>
      <c r="AD81" s="926"/>
      <c r="AE81" s="942"/>
    </row>
    <row r="82" spans="1:31" ht="9.75" customHeight="1">
      <c r="A82" s="942"/>
      <c r="B82" s="441"/>
      <c r="C82" s="441"/>
      <c r="D82" s="441"/>
      <c r="E82" s="441"/>
      <c r="F82" s="441"/>
      <c r="G82" s="441"/>
      <c r="H82" s="441"/>
      <c r="I82" s="441"/>
      <c r="J82" s="441"/>
      <c r="K82" s="441"/>
      <c r="L82" s="441"/>
      <c r="M82" s="441"/>
      <c r="N82" s="441"/>
      <c r="O82" s="441"/>
      <c r="P82" s="441"/>
      <c r="Q82" s="441"/>
      <c r="R82" s="441"/>
      <c r="S82" s="441"/>
      <c r="T82" s="441"/>
      <c r="U82" s="441"/>
      <c r="V82" s="441"/>
      <c r="W82" s="441"/>
      <c r="X82" s="3188"/>
      <c r="Y82" s="441"/>
      <c r="Z82" s="441"/>
      <c r="AA82" s="441"/>
      <c r="AB82" s="441"/>
      <c r="AC82" s="942"/>
      <c r="AD82" s="551"/>
      <c r="AE82" s="942"/>
    </row>
    <row r="83" spans="1:31" ht="14.25" customHeight="1">
      <c r="A83" s="942"/>
      <c r="B83" s="274">
        <v>45</v>
      </c>
      <c r="C83" s="234" t="s">
        <v>2085</v>
      </c>
      <c r="D83" s="234"/>
      <c r="E83" s="243"/>
      <c r="F83" s="243"/>
      <c r="G83" s="243"/>
      <c r="H83" s="243"/>
      <c r="I83" s="243"/>
      <c r="J83" s="243"/>
      <c r="K83" s="243"/>
      <c r="L83" s="243"/>
      <c r="M83" s="243"/>
      <c r="N83" s="243"/>
      <c r="O83" s="243"/>
      <c r="P83" s="243"/>
      <c r="Q83" s="243"/>
      <c r="R83" s="243"/>
      <c r="S83" s="967"/>
      <c r="T83" s="3163"/>
      <c r="U83" s="3163"/>
      <c r="V83" s="3164"/>
      <c r="W83" s="3164"/>
      <c r="X83" s="3189"/>
      <c r="Y83" s="441"/>
      <c r="Z83" s="441"/>
      <c r="AA83" s="441"/>
      <c r="AB83" s="441"/>
      <c r="AC83" s="942"/>
      <c r="AD83" s="551"/>
      <c r="AE83" s="942"/>
    </row>
    <row r="84" spans="1:31" ht="12.75" customHeight="1">
      <c r="A84" s="942"/>
      <c r="B84" s="274"/>
      <c r="C84" s="259" t="s">
        <v>2086</v>
      </c>
      <c r="D84" s="259"/>
      <c r="E84" s="259"/>
      <c r="F84" s="259"/>
      <c r="G84" s="259"/>
      <c r="H84" s="259"/>
      <c r="I84" s="259"/>
      <c r="J84" s="259"/>
      <c r="K84" s="259"/>
      <c r="L84" s="259"/>
      <c r="M84" s="259"/>
      <c r="N84" s="259"/>
      <c r="O84" s="259"/>
      <c r="P84" s="259"/>
      <c r="Q84" s="259"/>
      <c r="R84" s="3191" t="s">
        <v>13</v>
      </c>
      <c r="S84" s="3193">
        <v>45</v>
      </c>
      <c r="T84" s="4195"/>
      <c r="U84" s="4195"/>
      <c r="V84" s="4595"/>
      <c r="W84" s="4595"/>
      <c r="X84" s="3189"/>
      <c r="Y84" s="441"/>
      <c r="Z84" s="441"/>
      <c r="AA84" s="441"/>
      <c r="AB84" s="441"/>
      <c r="AC84" s="942"/>
      <c r="AD84" s="551"/>
      <c r="AE84" s="942"/>
    </row>
    <row r="85" spans="1:31" ht="14.25" customHeight="1">
      <c r="A85" s="942"/>
      <c r="B85" s="274">
        <v>46</v>
      </c>
      <c r="C85" s="234" t="s">
        <v>2087</v>
      </c>
      <c r="D85" s="234"/>
      <c r="E85" s="243"/>
      <c r="F85" s="243"/>
      <c r="G85" s="243"/>
      <c r="H85" s="243"/>
      <c r="I85" s="243"/>
      <c r="J85" s="243"/>
      <c r="K85" s="243"/>
      <c r="L85" s="243"/>
      <c r="M85" s="243"/>
      <c r="N85" s="243"/>
      <c r="O85" s="243"/>
      <c r="P85" s="243"/>
      <c r="Q85" s="243"/>
      <c r="R85" s="243"/>
      <c r="S85" s="3192"/>
      <c r="T85" s="3163"/>
      <c r="U85" s="3163"/>
      <c r="V85" s="3164"/>
      <c r="W85" s="3164"/>
      <c r="X85" s="3189"/>
      <c r="Y85" s="441"/>
      <c r="Z85" s="441"/>
      <c r="AA85" s="441"/>
      <c r="AB85" s="441"/>
      <c r="AC85" s="942"/>
      <c r="AD85" s="551"/>
      <c r="AE85" s="942"/>
    </row>
    <row r="86" spans="1:31" ht="12.75" customHeight="1">
      <c r="A86" s="942"/>
      <c r="B86" s="274"/>
      <c r="C86" s="1636" t="s">
        <v>2088</v>
      </c>
      <c r="D86" s="1636"/>
      <c r="E86" s="259"/>
      <c r="F86" s="259"/>
      <c r="G86" s="259"/>
      <c r="H86" s="259"/>
      <c r="I86" s="259"/>
      <c r="J86" s="259"/>
      <c r="K86" s="259"/>
      <c r="L86" s="259"/>
      <c r="M86" s="259"/>
      <c r="N86" s="259"/>
      <c r="O86" s="259"/>
      <c r="P86" s="259"/>
      <c r="Q86" s="259"/>
      <c r="R86" s="3191" t="s">
        <v>2089</v>
      </c>
      <c r="S86" s="3193">
        <v>46</v>
      </c>
      <c r="T86" s="4195"/>
      <c r="U86" s="4195"/>
      <c r="V86" s="4595"/>
      <c r="W86" s="4595"/>
      <c r="X86" s="3189"/>
      <c r="Y86" s="441"/>
      <c r="Z86" s="441"/>
      <c r="AA86" s="441"/>
      <c r="AB86" s="441"/>
      <c r="AC86" s="942"/>
      <c r="AD86" s="551"/>
      <c r="AE86" s="942"/>
    </row>
    <row r="87" spans="1:31" ht="14.25" customHeight="1">
      <c r="A87" s="942"/>
      <c r="B87" s="274"/>
      <c r="C87" s="274"/>
      <c r="D87" s="234"/>
      <c r="E87" s="243"/>
      <c r="F87" s="243"/>
      <c r="G87" s="243"/>
      <c r="H87" s="243"/>
      <c r="I87" s="243"/>
      <c r="J87" s="243"/>
      <c r="K87" s="243"/>
      <c r="L87" s="243"/>
      <c r="M87" s="243"/>
      <c r="N87" s="243"/>
      <c r="O87" s="243"/>
      <c r="P87" s="243"/>
      <c r="Q87" s="243"/>
      <c r="R87" s="243"/>
      <c r="S87" s="3192"/>
      <c r="T87" s="3163"/>
      <c r="U87" s="3163"/>
      <c r="V87" s="3164"/>
      <c r="W87" s="3164"/>
      <c r="X87" s="3189"/>
      <c r="Y87" s="441"/>
      <c r="Z87" s="441"/>
      <c r="AA87" s="441"/>
      <c r="AB87" s="441"/>
      <c r="AC87" s="942"/>
      <c r="AD87" s="551"/>
      <c r="AE87" s="942"/>
    </row>
    <row r="88" spans="1:31" ht="12.75" customHeight="1">
      <c r="A88" s="942"/>
      <c r="B88" s="274">
        <v>47</v>
      </c>
      <c r="C88" s="1636" t="s">
        <v>2090</v>
      </c>
      <c r="D88" s="1636"/>
      <c r="E88" s="259"/>
      <c r="F88" s="259"/>
      <c r="G88" s="259"/>
      <c r="H88" s="259"/>
      <c r="I88" s="259"/>
      <c r="J88" s="259"/>
      <c r="K88" s="259"/>
      <c r="L88" s="259"/>
      <c r="M88" s="259"/>
      <c r="N88" s="259"/>
      <c r="O88" s="259"/>
      <c r="P88" s="259"/>
      <c r="Q88" s="259"/>
      <c r="R88" s="3191" t="s">
        <v>2195</v>
      </c>
      <c r="S88" s="3193">
        <v>47</v>
      </c>
      <c r="T88" s="4251">
        <f>ROUND(SUM(T84,T86),0)</f>
        <v>0</v>
      </c>
      <c r="U88" s="4160"/>
      <c r="V88" s="4630"/>
      <c r="W88" s="4630"/>
      <c r="X88" s="3189"/>
      <c r="Y88" s="441"/>
      <c r="Z88" s="441"/>
      <c r="AA88" s="441"/>
      <c r="AB88" s="441"/>
      <c r="AC88" s="942"/>
      <c r="AD88" s="551"/>
      <c r="AE88" s="942"/>
    </row>
    <row r="89" spans="1:31" ht="14.25" customHeight="1">
      <c r="A89" s="942"/>
      <c r="B89" s="274"/>
      <c r="C89" s="274"/>
      <c r="D89" s="234"/>
      <c r="E89" s="243"/>
      <c r="F89" s="243"/>
      <c r="G89" s="243"/>
      <c r="H89" s="243"/>
      <c r="I89" s="243"/>
      <c r="J89" s="243"/>
      <c r="K89" s="243"/>
      <c r="L89" s="243"/>
      <c r="M89" s="243"/>
      <c r="N89" s="243"/>
      <c r="O89" s="243"/>
      <c r="P89" s="243"/>
      <c r="Q89" s="243"/>
      <c r="R89" s="243"/>
      <c r="S89" s="3192"/>
      <c r="T89" s="3163"/>
      <c r="U89" s="3163"/>
      <c r="V89" s="3164"/>
      <c r="W89" s="3164"/>
      <c r="X89" s="3189"/>
      <c r="Y89" s="441"/>
      <c r="Z89" s="441"/>
      <c r="AA89" s="441"/>
      <c r="AB89" s="441"/>
      <c r="AC89" s="942"/>
      <c r="AD89" s="551"/>
      <c r="AE89" s="942"/>
    </row>
    <row r="90" spans="1:31" ht="12.75" customHeight="1">
      <c r="A90" s="942"/>
      <c r="B90" s="274">
        <v>48</v>
      </c>
      <c r="C90" s="1636" t="s">
        <v>2091</v>
      </c>
      <c r="D90" s="1636"/>
      <c r="E90" s="259"/>
      <c r="F90" s="259"/>
      <c r="G90" s="259"/>
      <c r="H90" s="259"/>
      <c r="I90" s="259"/>
      <c r="J90" s="259"/>
      <c r="K90" s="259"/>
      <c r="L90" s="259"/>
      <c r="M90" s="259"/>
      <c r="N90" s="259"/>
      <c r="O90" s="259"/>
      <c r="P90" s="259"/>
      <c r="Q90" s="259"/>
      <c r="R90" s="3191" t="s">
        <v>761</v>
      </c>
      <c r="S90" s="3193">
        <v>48</v>
      </c>
      <c r="T90" s="4195"/>
      <c r="U90" s="4195"/>
      <c r="V90" s="4595"/>
      <c r="W90" s="4595"/>
      <c r="X90" s="3189"/>
      <c r="Y90" s="441"/>
      <c r="Z90" s="441"/>
      <c r="AA90" s="441"/>
      <c r="AB90" s="441"/>
      <c r="AC90" s="942"/>
      <c r="AD90" s="551"/>
      <c r="AE90" s="942"/>
    </row>
    <row r="91" spans="1:31" ht="9.75" customHeight="1">
      <c r="A91" s="942"/>
      <c r="B91" s="441"/>
      <c r="C91" s="441"/>
      <c r="D91" s="441"/>
      <c r="E91" s="441"/>
      <c r="F91" s="441"/>
      <c r="G91" s="441"/>
      <c r="H91" s="441"/>
      <c r="I91" s="441"/>
      <c r="J91" s="441"/>
      <c r="K91" s="441"/>
      <c r="L91" s="441"/>
      <c r="M91" s="441"/>
      <c r="N91" s="441"/>
      <c r="O91" s="441"/>
      <c r="P91" s="441"/>
      <c r="Q91" s="441"/>
      <c r="R91" s="441"/>
      <c r="S91" s="441"/>
      <c r="T91" s="441"/>
      <c r="U91" s="441"/>
      <c r="V91" s="441"/>
      <c r="W91" s="441"/>
      <c r="X91" s="3187"/>
      <c r="Y91" s="441"/>
      <c r="Z91" s="441"/>
      <c r="AA91" s="441"/>
      <c r="AB91" s="441"/>
      <c r="AC91" s="942"/>
      <c r="AD91" s="551"/>
      <c r="AE91" s="942"/>
    </row>
    <row r="92" spans="1:31" ht="14.25" customHeight="1">
      <c r="A92" s="942"/>
      <c r="B92" s="274">
        <v>49</v>
      </c>
      <c r="C92" s="234" t="s">
        <v>2092</v>
      </c>
      <c r="D92" s="234"/>
      <c r="E92" s="243"/>
      <c r="F92" s="243"/>
      <c r="G92" s="243"/>
      <c r="H92" s="243"/>
      <c r="I92" s="243"/>
      <c r="J92" s="243"/>
      <c r="K92" s="243"/>
      <c r="L92" s="243"/>
      <c r="M92" s="243"/>
      <c r="N92" s="243"/>
      <c r="O92" s="243"/>
      <c r="P92" s="243"/>
      <c r="Q92" s="243"/>
      <c r="R92" s="243"/>
      <c r="S92" s="243"/>
      <c r="T92" s="243"/>
      <c r="U92" s="243"/>
      <c r="V92" s="243"/>
      <c r="W92" s="3191" t="s">
        <v>1782</v>
      </c>
      <c r="X92" s="1790">
        <v>49</v>
      </c>
      <c r="Y92" s="4251">
        <f>SUM(T88,-T90)</f>
        <v>0</v>
      </c>
      <c r="Z92" s="4160"/>
      <c r="AA92" s="4630"/>
      <c r="AB92" s="4630"/>
      <c r="AC92" s="942"/>
      <c r="AD92" s="551"/>
      <c r="AE92" s="942"/>
    </row>
    <row r="93" spans="1:31" ht="9.75" customHeight="1">
      <c r="A93" s="942"/>
      <c r="B93" s="441"/>
      <c r="C93" s="441"/>
      <c r="D93" s="441"/>
      <c r="E93" s="441"/>
      <c r="F93" s="441"/>
      <c r="G93" s="441"/>
      <c r="H93" s="441"/>
      <c r="I93" s="441"/>
      <c r="J93" s="441"/>
      <c r="K93" s="441"/>
      <c r="L93" s="441"/>
      <c r="M93" s="441"/>
      <c r="N93" s="441"/>
      <c r="O93" s="441"/>
      <c r="P93" s="441"/>
      <c r="Q93" s="441"/>
      <c r="R93" s="441"/>
      <c r="S93" s="441"/>
      <c r="T93" s="441"/>
      <c r="U93" s="441"/>
      <c r="V93" s="441"/>
      <c r="W93" s="441"/>
      <c r="X93" s="3187"/>
      <c r="Y93" s="4577" t="b">
        <f>IF(OR(Y81&lt;&gt;0,T88&lt;&gt;0,Y92&lt;&gt;0),TRUE,FALSE)</f>
        <v>0</v>
      </c>
      <c r="Z93" s="4578"/>
      <c r="AA93" s="4578"/>
      <c r="AB93" s="4578"/>
      <c r="AC93" s="942"/>
      <c r="AD93" s="551"/>
      <c r="AE93" s="942"/>
    </row>
    <row r="94" spans="1:31" ht="14.25" customHeight="1">
      <c r="A94" s="942"/>
      <c r="B94" s="532">
        <v>50</v>
      </c>
      <c r="C94" s="334" t="s">
        <v>2093</v>
      </c>
      <c r="D94" s="334"/>
      <c r="E94" s="245"/>
      <c r="F94" s="245"/>
      <c r="G94" s="245"/>
      <c r="H94" s="245"/>
      <c r="I94" s="245"/>
      <c r="J94" s="245"/>
      <c r="K94" s="245"/>
      <c r="L94" s="245"/>
      <c r="M94" s="245"/>
      <c r="N94" s="245"/>
      <c r="O94" s="245"/>
      <c r="P94" s="245"/>
      <c r="Q94" s="245"/>
      <c r="R94" s="245"/>
      <c r="S94" s="245"/>
      <c r="T94" s="245"/>
      <c r="U94" s="245"/>
      <c r="V94" s="245"/>
      <c r="W94" s="3220" t="s">
        <v>2154</v>
      </c>
      <c r="X94" s="1790">
        <v>50</v>
      </c>
      <c r="Y94" s="4251">
        <f>IF(AD94&lt;&gt;"",AD94,SUM(Y81,-Y92))</f>
        <v>0</v>
      </c>
      <c r="Z94" s="4160"/>
      <c r="AA94" s="4630"/>
      <c r="AB94" s="4630"/>
      <c r="AC94" s="942"/>
      <c r="AD94" s="926"/>
      <c r="AE94" s="942"/>
    </row>
    <row r="95" spans="1:31">
      <c r="A95" s="942"/>
      <c r="B95" s="3148" t="s">
        <v>2094</v>
      </c>
      <c r="C95" s="535"/>
      <c r="D95" s="1636"/>
      <c r="E95" s="259"/>
      <c r="F95" s="259"/>
      <c r="G95" s="259"/>
      <c r="H95" s="259"/>
      <c r="I95" s="259"/>
      <c r="J95" s="259"/>
      <c r="K95" s="259"/>
      <c r="L95" s="259"/>
      <c r="M95" s="259"/>
      <c r="N95" s="259"/>
      <c r="O95" s="259"/>
      <c r="P95" s="259"/>
      <c r="Q95" s="259"/>
      <c r="R95" s="259"/>
      <c r="S95" s="259"/>
      <c r="T95" s="259"/>
      <c r="U95" s="259"/>
      <c r="V95" s="259"/>
      <c r="W95" s="259"/>
      <c r="X95" s="3179"/>
      <c r="Y95" s="3179"/>
      <c r="Z95" s="3179"/>
      <c r="AA95" s="3179"/>
      <c r="AB95" s="3179"/>
      <c r="AC95" s="942"/>
      <c r="AD95" s="551"/>
      <c r="AE95" s="942"/>
    </row>
    <row r="96" spans="1:31" ht="12.75" customHeight="1" thickBot="1">
      <c r="A96" s="942"/>
      <c r="B96" s="586" t="s">
        <v>2095</v>
      </c>
      <c r="C96" s="3215"/>
      <c r="D96" s="3206"/>
      <c r="E96" s="3206"/>
      <c r="F96" s="3206"/>
      <c r="G96" s="3206"/>
      <c r="H96" s="3206"/>
      <c r="I96" s="3206"/>
      <c r="J96" s="3206"/>
      <c r="K96" s="3206"/>
      <c r="L96" s="3206"/>
      <c r="M96" s="3206"/>
      <c r="N96" s="3206"/>
      <c r="O96" s="3206"/>
      <c r="P96" s="3206"/>
      <c r="Q96" s="3206"/>
      <c r="R96" s="3206"/>
      <c r="S96" s="3206"/>
      <c r="T96" s="3206"/>
      <c r="U96" s="3206"/>
      <c r="V96" s="3206"/>
      <c r="W96" s="3206"/>
      <c r="X96" s="3216"/>
      <c r="Y96" s="3216"/>
      <c r="Z96" s="3216"/>
      <c r="AA96" s="3216"/>
      <c r="AB96" s="3216"/>
      <c r="AC96" s="942"/>
      <c r="AD96" s="551"/>
      <c r="AE96" s="942"/>
    </row>
    <row r="97" spans="1:31" ht="12.75" customHeight="1" thickTop="1">
      <c r="A97" s="942"/>
      <c r="B97" s="4579" t="s">
        <v>802</v>
      </c>
      <c r="C97" s="4580"/>
      <c r="D97" s="3217" t="s">
        <v>2098</v>
      </c>
      <c r="E97" s="3210"/>
      <c r="F97" s="3210"/>
      <c r="G97" s="3210"/>
      <c r="H97" s="3210"/>
      <c r="I97" s="3210"/>
      <c r="J97" s="3210"/>
      <c r="K97" s="3210"/>
      <c r="L97" s="3210"/>
      <c r="M97" s="3210"/>
      <c r="N97" s="3210"/>
      <c r="O97" s="3210"/>
      <c r="P97" s="3210"/>
      <c r="Q97" s="3210"/>
      <c r="R97" s="3210"/>
      <c r="S97" s="3210"/>
      <c r="T97" s="3210"/>
      <c r="U97" s="3210"/>
      <c r="V97" s="3210"/>
      <c r="W97" s="3210"/>
      <c r="X97" s="3210"/>
      <c r="Y97" s="3210"/>
      <c r="Z97" s="3210"/>
      <c r="AA97" s="3210"/>
      <c r="AB97" s="3210"/>
      <c r="AC97" s="942"/>
      <c r="AD97" s="551"/>
      <c r="AE97" s="942"/>
    </row>
    <row r="98" spans="1:31" ht="12.75" customHeight="1">
      <c r="A98" s="942"/>
      <c r="B98" s="274"/>
      <c r="C98" s="274"/>
      <c r="D98" s="3199" t="s">
        <v>2099</v>
      </c>
      <c r="E98" s="3194"/>
      <c r="F98" s="441"/>
      <c r="G98" s="441"/>
      <c r="H98" s="441"/>
      <c r="I98" s="441"/>
      <c r="J98" s="441"/>
      <c r="K98" s="441"/>
      <c r="L98" s="441"/>
      <c r="M98" s="441"/>
      <c r="N98" s="441"/>
      <c r="O98" s="4575">
        <v>111300</v>
      </c>
      <c r="P98" s="3743"/>
      <c r="Q98" s="3743"/>
      <c r="R98" s="234" t="s">
        <v>2119</v>
      </c>
      <c r="S98" s="441"/>
      <c r="T98" s="441"/>
      <c r="U98" s="441"/>
      <c r="V98" s="441"/>
      <c r="W98" s="441"/>
      <c r="X98" s="441"/>
      <c r="Y98" s="441"/>
      <c r="Z98" s="441"/>
      <c r="AA98" s="441"/>
      <c r="AB98" s="441"/>
      <c r="AC98" s="942"/>
      <c r="AD98" s="551"/>
      <c r="AE98" s="942"/>
    </row>
    <row r="99" spans="1:31" ht="12.75" customHeight="1">
      <c r="A99" s="942"/>
      <c r="B99" s="274"/>
      <c r="C99" s="274"/>
      <c r="D99" s="3199" t="s">
        <v>2100</v>
      </c>
      <c r="E99" s="3194"/>
      <c r="F99" s="441"/>
      <c r="G99" s="441"/>
      <c r="H99" s="441"/>
      <c r="I99" s="441"/>
      <c r="J99" s="441"/>
      <c r="K99" s="441"/>
      <c r="L99" s="441"/>
      <c r="M99" s="441"/>
      <c r="N99" s="441"/>
      <c r="O99" s="4575">
        <v>111400</v>
      </c>
      <c r="P99" s="3743"/>
      <c r="Q99" s="3743"/>
      <c r="R99" s="234" t="s">
        <v>2123</v>
      </c>
      <c r="S99" s="441"/>
      <c r="T99" s="441"/>
      <c r="U99" s="441"/>
      <c r="V99" s="441"/>
      <c r="W99" s="441"/>
      <c r="X99" s="441"/>
      <c r="Y99" s="441"/>
      <c r="Z99" s="441"/>
      <c r="AA99" s="441"/>
      <c r="AB99" s="441"/>
      <c r="AC99" s="942"/>
      <c r="AD99" s="551"/>
      <c r="AE99" s="942"/>
    </row>
    <row r="100" spans="1:31" ht="12.75" customHeight="1">
      <c r="A100" s="942"/>
      <c r="B100" s="274"/>
      <c r="C100" s="274"/>
      <c r="D100" s="3199" t="s">
        <v>2101</v>
      </c>
      <c r="E100" s="3194"/>
      <c r="F100" s="441"/>
      <c r="G100" s="441"/>
      <c r="H100" s="441"/>
      <c r="I100" s="441"/>
      <c r="J100" s="441"/>
      <c r="K100" s="441"/>
      <c r="L100" s="441"/>
      <c r="M100" s="441"/>
      <c r="N100" s="441"/>
      <c r="O100" s="4575">
        <v>111900</v>
      </c>
      <c r="P100" s="3743"/>
      <c r="Q100" s="3743"/>
      <c r="R100" s="234" t="s">
        <v>2124</v>
      </c>
      <c r="S100" s="441"/>
      <c r="T100" s="441"/>
      <c r="U100" s="441"/>
      <c r="V100" s="441"/>
      <c r="W100" s="441"/>
      <c r="X100" s="441"/>
      <c r="Y100" s="441"/>
      <c r="Z100" s="441"/>
      <c r="AA100" s="441"/>
      <c r="AB100" s="441"/>
      <c r="AC100" s="942"/>
      <c r="AD100" s="551"/>
      <c r="AE100" s="942"/>
    </row>
    <row r="101" spans="1:31" ht="12.75" customHeight="1">
      <c r="A101" s="942"/>
      <c r="B101" s="274"/>
      <c r="C101" s="274"/>
      <c r="D101" s="3199" t="s">
        <v>2102</v>
      </c>
      <c r="E101" s="3194"/>
      <c r="F101" s="441"/>
      <c r="G101" s="441"/>
      <c r="H101" s="441"/>
      <c r="I101" s="441"/>
      <c r="J101" s="441"/>
      <c r="K101" s="441"/>
      <c r="L101" s="441"/>
      <c r="M101" s="441"/>
      <c r="N101" s="441"/>
      <c r="O101" s="231" t="s">
        <v>2120</v>
      </c>
      <c r="P101" s="441"/>
      <c r="Q101" s="441"/>
      <c r="R101" s="441"/>
      <c r="S101" s="441"/>
      <c r="T101" s="441"/>
      <c r="U101" s="441"/>
      <c r="V101" s="441"/>
      <c r="W101" s="441"/>
      <c r="X101" s="441"/>
      <c r="Y101" s="441"/>
      <c r="Z101" s="441"/>
      <c r="AA101" s="441"/>
      <c r="AB101" s="441"/>
      <c r="AC101" s="942"/>
      <c r="AD101" s="551"/>
      <c r="AE101" s="942"/>
    </row>
    <row r="102" spans="1:31" ht="12.75" customHeight="1">
      <c r="A102" s="942"/>
      <c r="B102" s="3194" t="s">
        <v>2103</v>
      </c>
      <c r="C102" s="3194"/>
      <c r="D102" s="3194"/>
      <c r="E102" s="441"/>
      <c r="F102" s="441"/>
      <c r="G102" s="441"/>
      <c r="H102" s="441"/>
      <c r="I102" s="441"/>
      <c r="J102" s="441"/>
      <c r="K102" s="441"/>
      <c r="L102" s="441"/>
      <c r="M102" s="441"/>
      <c r="N102" s="441"/>
      <c r="O102" s="4575">
        <v>112111</v>
      </c>
      <c r="P102" s="3743"/>
      <c r="Q102" s="3743"/>
      <c r="R102" s="234" t="s">
        <v>2125</v>
      </c>
      <c r="S102" s="441"/>
      <c r="T102" s="441"/>
      <c r="U102" s="441"/>
      <c r="V102" s="441"/>
      <c r="W102" s="441"/>
      <c r="X102" s="441"/>
      <c r="Y102" s="441"/>
      <c r="Z102" s="441"/>
      <c r="AA102" s="441"/>
      <c r="AB102" s="441"/>
      <c r="AC102" s="942"/>
      <c r="AD102" s="551"/>
      <c r="AE102" s="942"/>
    </row>
    <row r="103" spans="1:31" ht="12.75" customHeight="1">
      <c r="A103" s="942"/>
      <c r="B103" s="3194" t="s">
        <v>2104</v>
      </c>
      <c r="C103" s="3194"/>
      <c r="D103" s="3194"/>
      <c r="E103" s="441"/>
      <c r="F103" s="441"/>
      <c r="G103" s="441"/>
      <c r="H103" s="441"/>
      <c r="I103" s="441"/>
      <c r="J103" s="441"/>
      <c r="K103" s="441"/>
      <c r="L103" s="441"/>
      <c r="M103" s="441"/>
      <c r="N103" s="441"/>
      <c r="O103" s="4575">
        <v>112112</v>
      </c>
      <c r="P103" s="3743"/>
      <c r="Q103" s="3743"/>
      <c r="R103" s="234" t="s">
        <v>2126</v>
      </c>
      <c r="S103" s="441"/>
      <c r="T103" s="441"/>
      <c r="U103" s="441"/>
      <c r="V103" s="441"/>
      <c r="W103" s="441"/>
      <c r="X103" s="441"/>
      <c r="Y103" s="441"/>
      <c r="Z103" s="441"/>
      <c r="AA103" s="441"/>
      <c r="AB103" s="441"/>
      <c r="AC103" s="942"/>
      <c r="AD103" s="551"/>
      <c r="AE103" s="942"/>
    </row>
    <row r="104" spans="1:31" ht="12.75" customHeight="1">
      <c r="A104" s="942"/>
      <c r="B104" s="3194" t="s">
        <v>2105</v>
      </c>
      <c r="C104" s="3194"/>
      <c r="D104" s="3194"/>
      <c r="E104" s="269"/>
      <c r="F104" s="290"/>
      <c r="G104" s="290"/>
      <c r="H104" s="290"/>
      <c r="I104" s="290"/>
      <c r="J104" s="290"/>
      <c r="K104" s="290"/>
      <c r="L104" s="290"/>
      <c r="M104" s="290"/>
      <c r="N104" s="290"/>
      <c r="O104" s="4575">
        <v>112120</v>
      </c>
      <c r="P104" s="3743"/>
      <c r="Q104" s="3743"/>
      <c r="R104" s="234" t="s">
        <v>2127</v>
      </c>
      <c r="S104" s="290"/>
      <c r="T104" s="290"/>
      <c r="U104" s="290"/>
      <c r="V104" s="290"/>
      <c r="W104" s="290"/>
      <c r="X104" s="290"/>
      <c r="Y104" s="290"/>
      <c r="Z104" s="290"/>
      <c r="AA104" s="290"/>
      <c r="AB104" s="290"/>
      <c r="AC104" s="942"/>
      <c r="AD104" s="551"/>
      <c r="AE104" s="942"/>
    </row>
    <row r="105" spans="1:31" ht="12.75" customHeight="1">
      <c r="A105" s="942"/>
      <c r="B105" s="3194" t="s">
        <v>2106</v>
      </c>
      <c r="C105" s="3194"/>
      <c r="D105" s="3194"/>
      <c r="E105" s="269"/>
      <c r="F105" s="290"/>
      <c r="G105" s="290"/>
      <c r="H105" s="290"/>
      <c r="I105" s="290"/>
      <c r="J105" s="290"/>
      <c r="K105" s="290"/>
      <c r="L105" s="290"/>
      <c r="M105" s="290"/>
      <c r="N105" s="290"/>
      <c r="O105" s="4575">
        <v>112210</v>
      </c>
      <c r="P105" s="3743"/>
      <c r="Q105" s="3743"/>
      <c r="R105" s="234" t="s">
        <v>2128</v>
      </c>
      <c r="S105" s="290"/>
      <c r="T105" s="290"/>
      <c r="U105" s="290"/>
      <c r="V105" s="290"/>
      <c r="W105" s="290"/>
      <c r="X105" s="290"/>
      <c r="Y105" s="290"/>
      <c r="Z105" s="290"/>
      <c r="AA105" s="290"/>
      <c r="AB105" s="290"/>
      <c r="AC105" s="942"/>
      <c r="AD105" s="551"/>
      <c r="AE105" s="942"/>
    </row>
    <row r="106" spans="1:31" ht="12.75" customHeight="1">
      <c r="A106" s="942"/>
      <c r="B106" s="3194" t="s">
        <v>2107</v>
      </c>
      <c r="C106" s="3194"/>
      <c r="D106" s="3194"/>
      <c r="E106" s="269"/>
      <c r="F106" s="290"/>
      <c r="G106" s="290"/>
      <c r="H106" s="290"/>
      <c r="I106" s="290"/>
      <c r="J106" s="290"/>
      <c r="K106" s="290"/>
      <c r="L106" s="290"/>
      <c r="M106" s="290"/>
      <c r="N106" s="290"/>
      <c r="O106" s="4575">
        <v>112300</v>
      </c>
      <c r="P106" s="3743"/>
      <c r="Q106" s="3743"/>
      <c r="R106" s="234" t="s">
        <v>2129</v>
      </c>
      <c r="S106" s="290"/>
      <c r="T106" s="290"/>
      <c r="U106" s="290"/>
      <c r="V106" s="290"/>
      <c r="W106" s="290"/>
      <c r="X106" s="290"/>
      <c r="Y106" s="290"/>
      <c r="Z106" s="290"/>
      <c r="AA106" s="290"/>
      <c r="AB106" s="290"/>
      <c r="AC106" s="942"/>
      <c r="AD106" s="551"/>
      <c r="AE106" s="942"/>
    </row>
    <row r="107" spans="1:31" ht="12.75" customHeight="1">
      <c r="A107" s="942"/>
      <c r="B107" s="3194" t="s">
        <v>2108</v>
      </c>
      <c r="C107" s="3194"/>
      <c r="D107" s="3194"/>
      <c r="E107" s="269"/>
      <c r="F107" s="290"/>
      <c r="G107" s="290"/>
      <c r="H107" s="290"/>
      <c r="I107" s="290"/>
      <c r="J107" s="290"/>
      <c r="K107" s="290"/>
      <c r="L107" s="290"/>
      <c r="M107" s="290"/>
      <c r="N107" s="290"/>
      <c r="O107" s="4575">
        <v>112400</v>
      </c>
      <c r="P107" s="3743"/>
      <c r="Q107" s="3743"/>
      <c r="R107" s="234" t="s">
        <v>2130</v>
      </c>
      <c r="S107" s="290"/>
      <c r="T107" s="290"/>
      <c r="U107" s="290"/>
      <c r="V107" s="290"/>
      <c r="W107" s="290"/>
      <c r="X107" s="290"/>
      <c r="Y107" s="290"/>
      <c r="Z107" s="290"/>
      <c r="AA107" s="290"/>
      <c r="AB107" s="290"/>
      <c r="AC107" s="942"/>
      <c r="AD107" s="551"/>
      <c r="AE107" s="942"/>
    </row>
    <row r="108" spans="1:31" ht="12.75" customHeight="1">
      <c r="A108" s="942"/>
      <c r="B108" s="3194" t="s">
        <v>2109</v>
      </c>
      <c r="C108" s="3194"/>
      <c r="D108" s="3194"/>
      <c r="E108" s="269"/>
      <c r="F108" s="290"/>
      <c r="G108" s="290"/>
      <c r="H108" s="290"/>
      <c r="I108" s="290"/>
      <c r="J108" s="290"/>
      <c r="K108" s="290"/>
      <c r="L108" s="290"/>
      <c r="M108" s="290"/>
      <c r="N108" s="290"/>
      <c r="O108" s="4575">
        <v>112510</v>
      </c>
      <c r="P108" s="3743"/>
      <c r="Q108" s="3743"/>
      <c r="R108" s="234" t="s">
        <v>2131</v>
      </c>
      <c r="S108" s="290"/>
      <c r="T108" s="290"/>
      <c r="U108" s="290"/>
      <c r="V108" s="290"/>
      <c r="W108" s="290"/>
      <c r="X108" s="290"/>
      <c r="Y108" s="290"/>
      <c r="Z108" s="290"/>
      <c r="AA108" s="290"/>
      <c r="AB108" s="290"/>
      <c r="AC108" s="942"/>
      <c r="AD108" s="551"/>
      <c r="AE108" s="942"/>
    </row>
    <row r="109" spans="1:31" ht="12.75" customHeight="1">
      <c r="A109" s="942"/>
      <c r="B109" s="3194"/>
      <c r="C109" s="3194"/>
      <c r="D109" s="3194"/>
      <c r="E109" s="269"/>
      <c r="F109" s="290"/>
      <c r="G109" s="290"/>
      <c r="H109" s="290"/>
      <c r="I109" s="290"/>
      <c r="J109" s="290"/>
      <c r="K109" s="290"/>
      <c r="L109" s="290"/>
      <c r="M109" s="290"/>
      <c r="N109" s="290"/>
      <c r="O109" s="4575">
        <v>112900</v>
      </c>
      <c r="P109" s="3743"/>
      <c r="Q109" s="3743"/>
      <c r="R109" s="234" t="s">
        <v>2132</v>
      </c>
      <c r="S109" s="290"/>
      <c r="T109" s="290"/>
      <c r="U109" s="290"/>
      <c r="V109" s="290"/>
      <c r="W109" s="290"/>
      <c r="X109" s="290"/>
      <c r="Y109" s="290"/>
      <c r="Z109" s="290"/>
      <c r="AA109" s="290"/>
      <c r="AB109" s="290"/>
      <c r="AC109" s="942"/>
      <c r="AD109" s="551"/>
      <c r="AE109" s="942"/>
    </row>
    <row r="110" spans="1:31" ht="12.75" customHeight="1">
      <c r="A110" s="942"/>
      <c r="B110" s="3195" t="s">
        <v>2110</v>
      </c>
      <c r="C110" s="3195"/>
      <c r="D110" s="3194"/>
      <c r="E110" s="269"/>
      <c r="F110" s="290"/>
      <c r="G110" s="290"/>
      <c r="H110" s="290"/>
      <c r="I110" s="290"/>
      <c r="J110" s="290"/>
      <c r="K110" s="290"/>
      <c r="L110" s="290"/>
      <c r="M110" s="290"/>
      <c r="N110" s="290"/>
      <c r="O110" s="231" t="s">
        <v>2121</v>
      </c>
      <c r="P110" s="290"/>
      <c r="Q110" s="290"/>
      <c r="R110" s="290"/>
      <c r="S110" s="290"/>
      <c r="T110" s="290"/>
      <c r="U110" s="290"/>
      <c r="V110" s="290"/>
      <c r="W110" s="290"/>
      <c r="X110" s="290"/>
      <c r="Y110" s="290"/>
      <c r="Z110" s="290"/>
      <c r="AA110" s="290"/>
      <c r="AB110" s="290"/>
      <c r="AC110" s="942"/>
      <c r="AD110" s="551"/>
      <c r="AE110" s="942"/>
    </row>
    <row r="111" spans="1:31" ht="12.75" customHeight="1">
      <c r="A111" s="942"/>
      <c r="B111" s="34" t="s">
        <v>2111</v>
      </c>
      <c r="C111" s="34"/>
      <c r="D111" s="3194"/>
      <c r="E111" s="269"/>
      <c r="F111" s="290"/>
      <c r="G111" s="290"/>
      <c r="H111" s="290"/>
      <c r="I111" s="290"/>
      <c r="J111" s="290"/>
      <c r="K111" s="290"/>
      <c r="L111" s="290"/>
      <c r="M111" s="290"/>
      <c r="N111" s="290"/>
      <c r="O111" s="4575">
        <v>113000</v>
      </c>
      <c r="P111" s="3743"/>
      <c r="Q111" s="3743"/>
      <c r="R111" s="234" t="s">
        <v>2141</v>
      </c>
      <c r="S111" s="290"/>
      <c r="T111" s="290"/>
      <c r="U111" s="290"/>
      <c r="V111" s="290"/>
      <c r="W111" s="290"/>
      <c r="X111" s="290"/>
      <c r="Y111" s="290"/>
      <c r="Z111" s="290"/>
      <c r="AA111" s="290"/>
      <c r="AB111" s="290"/>
      <c r="AC111" s="942"/>
      <c r="AD111" s="551"/>
      <c r="AE111" s="942"/>
    </row>
    <row r="112" spans="1:31" ht="12.75" customHeight="1">
      <c r="A112" s="942"/>
      <c r="B112" s="34" t="s">
        <v>2112</v>
      </c>
      <c r="C112" s="34"/>
      <c r="D112" s="3194"/>
      <c r="E112" s="269"/>
      <c r="F112" s="290"/>
      <c r="G112" s="290"/>
      <c r="H112" s="290"/>
      <c r="I112" s="290"/>
      <c r="J112" s="290"/>
      <c r="K112" s="290"/>
      <c r="L112" s="290"/>
      <c r="M112" s="290"/>
      <c r="N112" s="290"/>
      <c r="O112" s="290"/>
      <c r="P112" s="290"/>
      <c r="Q112" s="290"/>
      <c r="R112" s="234" t="s">
        <v>2122</v>
      </c>
      <c r="S112" s="290"/>
      <c r="T112" s="290"/>
      <c r="U112" s="290"/>
      <c r="V112" s="290"/>
      <c r="W112" s="290"/>
      <c r="X112" s="290"/>
      <c r="Y112" s="290"/>
      <c r="Z112" s="290"/>
      <c r="AA112" s="290"/>
      <c r="AB112" s="290"/>
      <c r="AC112" s="942"/>
      <c r="AD112" s="551"/>
      <c r="AE112" s="942"/>
    </row>
    <row r="113" spans="1:31" ht="12.75" customHeight="1">
      <c r="A113" s="942"/>
      <c r="B113" s="34" t="s">
        <v>2113</v>
      </c>
      <c r="C113" s="34"/>
      <c r="D113" s="3194"/>
      <c r="E113" s="269"/>
      <c r="F113" s="290"/>
      <c r="G113" s="290"/>
      <c r="H113" s="290"/>
      <c r="I113" s="290"/>
      <c r="J113" s="290"/>
      <c r="K113" s="290"/>
      <c r="L113" s="290"/>
      <c r="M113" s="290"/>
      <c r="N113" s="290"/>
      <c r="O113" s="290"/>
      <c r="P113" s="290"/>
      <c r="Q113" s="290"/>
      <c r="R113" s="234"/>
      <c r="S113" s="290"/>
      <c r="T113" s="290"/>
      <c r="U113" s="290"/>
      <c r="V113" s="290"/>
      <c r="W113" s="290"/>
      <c r="X113" s="290"/>
      <c r="Y113" s="290"/>
      <c r="Z113" s="290"/>
      <c r="AA113" s="290"/>
      <c r="AB113" s="290"/>
      <c r="AC113" s="942"/>
      <c r="AD113" s="551"/>
      <c r="AE113" s="942"/>
    </row>
    <row r="114" spans="1:31" ht="12.75" customHeight="1">
      <c r="A114" s="942"/>
      <c r="B114" s="3195" t="s">
        <v>2114</v>
      </c>
      <c r="C114" s="3195"/>
      <c r="D114" s="3194"/>
      <c r="E114" s="269"/>
      <c r="F114" s="290"/>
      <c r="G114" s="290"/>
      <c r="H114" s="290"/>
      <c r="I114" s="290"/>
      <c r="J114" s="290"/>
      <c r="K114" s="290"/>
      <c r="L114" s="290"/>
      <c r="M114" s="290"/>
      <c r="N114" s="290"/>
      <c r="O114" s="290"/>
      <c r="P114" s="290"/>
      <c r="Q114" s="290"/>
      <c r="R114" s="234"/>
      <c r="S114" s="290"/>
      <c r="T114" s="290"/>
      <c r="U114" s="290"/>
      <c r="V114" s="290"/>
      <c r="W114" s="290"/>
      <c r="X114" s="290"/>
      <c r="Y114" s="290"/>
      <c r="Z114" s="290"/>
      <c r="AA114" s="290"/>
      <c r="AB114" s="290"/>
      <c r="AC114" s="942"/>
      <c r="AD114" s="551"/>
      <c r="AE114" s="942"/>
    </row>
    <row r="115" spans="1:31" ht="12.75" customHeight="1">
      <c r="A115" s="942"/>
      <c r="B115" s="34" t="s">
        <v>2115</v>
      </c>
      <c r="C115" s="34"/>
      <c r="D115" s="3194"/>
      <c r="E115" s="269"/>
      <c r="F115" s="290"/>
      <c r="G115" s="290"/>
      <c r="H115" s="290"/>
      <c r="I115" s="290"/>
      <c r="J115" s="290"/>
      <c r="K115" s="290"/>
      <c r="L115" s="290"/>
      <c r="M115" s="290"/>
      <c r="N115" s="290"/>
      <c r="O115" s="290"/>
      <c r="P115" s="290"/>
      <c r="Q115" s="290"/>
      <c r="R115" s="234"/>
      <c r="S115" s="290"/>
      <c r="T115" s="290"/>
      <c r="U115" s="290"/>
      <c r="V115" s="290"/>
      <c r="W115" s="290"/>
      <c r="X115" s="290"/>
      <c r="Y115" s="290"/>
      <c r="Z115" s="290"/>
      <c r="AA115" s="290"/>
      <c r="AB115" s="290"/>
      <c r="AC115" s="942"/>
      <c r="AD115" s="551"/>
      <c r="AE115" s="942"/>
    </row>
    <row r="116" spans="1:31" ht="12.75" customHeight="1">
      <c r="A116" s="942"/>
      <c r="B116" s="231" t="s">
        <v>2116</v>
      </c>
      <c r="C116" s="192"/>
      <c r="D116" s="3194"/>
      <c r="E116" s="269"/>
      <c r="F116" s="290"/>
      <c r="G116" s="290"/>
      <c r="H116" s="290"/>
      <c r="I116" s="290"/>
      <c r="J116" s="290"/>
      <c r="K116" s="290"/>
      <c r="L116" s="290"/>
      <c r="M116" s="290"/>
      <c r="N116" s="290"/>
      <c r="O116" s="290"/>
      <c r="P116" s="290"/>
      <c r="Q116" s="290"/>
      <c r="R116" s="234"/>
      <c r="S116" s="290"/>
      <c r="T116" s="290"/>
      <c r="U116" s="290"/>
      <c r="V116" s="290"/>
      <c r="W116" s="290"/>
      <c r="X116" s="290"/>
      <c r="Y116" s="290"/>
      <c r="Z116" s="290"/>
      <c r="AA116" s="290"/>
      <c r="AB116" s="290"/>
      <c r="AC116" s="942"/>
      <c r="AD116" s="551"/>
      <c r="AE116" s="942"/>
    </row>
    <row r="117" spans="1:31" ht="12.75" customHeight="1">
      <c r="A117" s="942"/>
      <c r="B117" s="4576">
        <v>111100</v>
      </c>
      <c r="C117" s="3889"/>
      <c r="D117" s="234" t="s">
        <v>2117</v>
      </c>
      <c r="E117" s="269"/>
      <c r="F117" s="290"/>
      <c r="G117" s="290"/>
      <c r="H117" s="290"/>
      <c r="I117" s="290"/>
      <c r="J117" s="290"/>
      <c r="K117" s="290"/>
      <c r="L117" s="290"/>
      <c r="M117" s="290"/>
      <c r="N117" s="290"/>
      <c r="O117" s="290"/>
      <c r="P117" s="290"/>
      <c r="Q117" s="290"/>
      <c r="R117" s="234"/>
      <c r="S117" s="290"/>
      <c r="T117" s="290"/>
      <c r="U117" s="290"/>
      <c r="V117" s="290"/>
      <c r="W117" s="290"/>
      <c r="X117" s="290"/>
      <c r="Y117" s="290"/>
      <c r="Z117" s="290"/>
      <c r="AA117" s="290"/>
      <c r="AB117" s="290"/>
      <c r="AC117" s="942"/>
      <c r="AD117" s="551"/>
      <c r="AE117" s="942"/>
    </row>
    <row r="118" spans="1:31" ht="12.75" customHeight="1">
      <c r="A118" s="942"/>
      <c r="B118" s="4576">
        <v>111210</v>
      </c>
      <c r="C118" s="3889"/>
      <c r="D118" s="234" t="s">
        <v>2118</v>
      </c>
      <c r="E118" s="269"/>
      <c r="F118" s="290"/>
      <c r="G118" s="290"/>
      <c r="H118" s="290"/>
      <c r="I118" s="290"/>
      <c r="J118" s="290"/>
      <c r="K118" s="290"/>
      <c r="L118" s="290"/>
      <c r="M118" s="290"/>
      <c r="N118" s="290"/>
      <c r="O118" s="290"/>
      <c r="P118" s="290"/>
      <c r="Q118" s="290"/>
      <c r="R118" s="234"/>
      <c r="S118" s="290"/>
      <c r="T118" s="290"/>
      <c r="U118" s="290"/>
      <c r="V118" s="290"/>
      <c r="W118" s="290"/>
      <c r="X118" s="290"/>
      <c r="Y118" s="290"/>
      <c r="Z118" s="290"/>
      <c r="AA118" s="290"/>
      <c r="AB118" s="290"/>
      <c r="AC118" s="942"/>
      <c r="AD118" s="551"/>
      <c r="AE118" s="942"/>
    </row>
    <row r="119" spans="1:31" ht="4.5" customHeight="1" thickBot="1">
      <c r="A119" s="942"/>
      <c r="B119" s="283"/>
      <c r="C119" s="283"/>
      <c r="D119" s="1796"/>
      <c r="E119" s="296"/>
      <c r="F119" s="281"/>
      <c r="G119" s="281"/>
      <c r="H119" s="281"/>
      <c r="I119" s="281"/>
      <c r="J119" s="281"/>
      <c r="K119" s="281"/>
      <c r="L119" s="281"/>
      <c r="M119" s="281"/>
      <c r="N119" s="281"/>
      <c r="O119" s="281"/>
      <c r="P119" s="281"/>
      <c r="Q119" s="281"/>
      <c r="R119" s="281"/>
      <c r="S119" s="281"/>
      <c r="T119" s="281"/>
      <c r="U119" s="281"/>
      <c r="V119" s="281"/>
      <c r="W119" s="281"/>
      <c r="X119" s="281"/>
      <c r="Y119" s="281"/>
      <c r="Z119" s="281"/>
      <c r="AA119" s="281"/>
      <c r="AB119" s="281"/>
      <c r="AC119" s="942"/>
      <c r="AD119" s="551"/>
      <c r="AE119" s="942"/>
    </row>
    <row r="120" spans="1:31" ht="20.25" customHeight="1">
      <c r="A120" s="942"/>
      <c r="B120" s="539"/>
      <c r="C120" s="539"/>
      <c r="D120" s="539"/>
      <c r="E120" s="539"/>
      <c r="F120" s="539"/>
      <c r="G120" s="540"/>
      <c r="H120" s="540"/>
      <c r="I120" s="540"/>
      <c r="J120" s="540"/>
      <c r="K120" s="540"/>
      <c r="L120" s="540"/>
      <c r="M120" s="540"/>
      <c r="N120" s="541"/>
      <c r="O120" s="541"/>
      <c r="P120" s="541"/>
      <c r="Q120" s="541"/>
      <c r="R120" s="542"/>
      <c r="S120" s="3168"/>
      <c r="T120" s="541"/>
      <c r="U120" s="540"/>
      <c r="V120" s="540"/>
      <c r="W120" s="543"/>
      <c r="X120" s="540"/>
      <c r="Y120" s="540"/>
      <c r="Z120" s="542"/>
      <c r="AA120" s="544"/>
      <c r="AB120" s="544" t="str">
        <f>"Schedule F   (Form 1040)  "&amp;TaxYear</f>
        <v>Schedule F   (Form 1040)  2014</v>
      </c>
      <c r="AC120" s="942"/>
      <c r="AD120" s="551"/>
      <c r="AE120" s="942"/>
    </row>
    <row r="121" spans="1:31" ht="8.25" customHeight="1">
      <c r="A121" s="942"/>
      <c r="B121" s="1024"/>
      <c r="C121" s="1024"/>
      <c r="D121" s="1024"/>
      <c r="E121" s="1024"/>
      <c r="F121" s="1024"/>
      <c r="G121" s="1019"/>
      <c r="H121" s="1019"/>
      <c r="I121" s="1019"/>
      <c r="J121" s="1019"/>
      <c r="K121" s="1019"/>
      <c r="L121" s="1019"/>
      <c r="M121" s="1019"/>
      <c r="N121" s="1025"/>
      <c r="O121" s="1025"/>
      <c r="P121" s="1025"/>
      <c r="Q121" s="1025"/>
      <c r="R121" s="1025"/>
      <c r="S121" s="1025"/>
      <c r="T121" s="1025"/>
      <c r="U121" s="1019"/>
      <c r="V121" s="1019"/>
      <c r="W121" s="1026"/>
      <c r="X121" s="1019"/>
      <c r="Y121" s="1019"/>
      <c r="Z121" s="1019"/>
      <c r="AA121" s="1019"/>
      <c r="AB121" s="1019"/>
      <c r="AC121" s="942"/>
      <c r="AD121" s="551"/>
      <c r="AE121" s="942"/>
    </row>
    <row r="122" spans="1:31">
      <c r="B122" s="16"/>
      <c r="C122" s="16"/>
      <c r="D122" s="17"/>
      <c r="E122" s="17"/>
      <c r="F122" s="17"/>
      <c r="G122" s="17"/>
      <c r="H122" s="17"/>
      <c r="I122" s="17"/>
      <c r="J122" s="17"/>
      <c r="K122" s="17"/>
      <c r="L122" s="17"/>
      <c r="M122" s="17"/>
      <c r="N122" s="18"/>
      <c r="O122" s="18"/>
      <c r="P122" s="18"/>
      <c r="Q122" s="18"/>
      <c r="R122" s="18"/>
      <c r="S122" s="18"/>
      <c r="T122" s="19"/>
      <c r="U122" s="17"/>
      <c r="V122" s="17"/>
      <c r="W122" s="15"/>
      <c r="X122" s="17"/>
      <c r="Y122" s="17"/>
      <c r="Z122" s="17"/>
      <c r="AA122" s="17"/>
      <c r="AB122" s="17"/>
    </row>
    <row r="123" spans="1:31" ht="13.5" thickBot="1">
      <c r="B123" s="16"/>
      <c r="C123" s="16"/>
      <c r="D123" s="17"/>
      <c r="E123" s="17"/>
      <c r="F123" s="17"/>
      <c r="G123" s="17"/>
      <c r="H123" s="17"/>
      <c r="I123" s="17"/>
      <c r="J123" s="17"/>
      <c r="K123" s="17"/>
      <c r="L123" s="17"/>
      <c r="M123" s="17"/>
      <c r="N123" s="18"/>
      <c r="O123" s="18"/>
      <c r="P123" s="18"/>
      <c r="Q123" s="18"/>
      <c r="R123" s="16"/>
      <c r="S123" s="16"/>
      <c r="T123" s="20"/>
      <c r="U123" s="17"/>
      <c r="V123" s="17"/>
      <c r="W123" s="15"/>
      <c r="X123" s="17"/>
      <c r="Y123" s="17"/>
      <c r="Z123" s="17"/>
      <c r="AA123" s="17"/>
      <c r="AB123" s="17"/>
    </row>
    <row r="124" spans="1:31" ht="14.25" thickTop="1" thickBot="1">
      <c r="B124" s="886"/>
      <c r="C124" s="886"/>
      <c r="D124" s="4178" t="s">
        <v>2096</v>
      </c>
      <c r="E124" s="4179"/>
      <c r="F124" s="4179"/>
      <c r="G124" s="4179"/>
      <c r="H124" s="4180"/>
      <c r="I124" s="887"/>
      <c r="J124" s="887"/>
      <c r="K124" s="887"/>
      <c r="L124" s="887"/>
      <c r="M124" s="887"/>
      <c r="N124" s="888"/>
      <c r="O124" s="888"/>
      <c r="P124" s="888"/>
      <c r="Q124" s="888"/>
      <c r="R124" s="886"/>
      <c r="S124" s="886"/>
      <c r="T124" s="889"/>
      <c r="U124" s="887"/>
      <c r="V124" s="887"/>
      <c r="W124" s="890"/>
      <c r="X124" s="887"/>
      <c r="Y124" s="887"/>
      <c r="Z124" s="887"/>
      <c r="AA124" s="887"/>
      <c r="AB124" s="887"/>
    </row>
    <row r="125" spans="1:31" ht="14.25" thickTop="1" thickBot="1">
      <c r="B125" s="886"/>
      <c r="C125" s="886"/>
      <c r="D125" s="887"/>
      <c r="E125" s="887"/>
      <c r="F125" s="887"/>
      <c r="G125" s="887"/>
      <c r="H125" s="887"/>
      <c r="I125" s="887"/>
      <c r="J125" s="887"/>
      <c r="K125" s="887"/>
      <c r="L125" s="887"/>
      <c r="M125" s="887"/>
      <c r="N125" s="888"/>
      <c r="O125" s="888"/>
      <c r="P125" s="888"/>
      <c r="Q125" s="888"/>
      <c r="R125" s="886"/>
      <c r="S125" s="886"/>
      <c r="T125" s="891"/>
      <c r="U125" s="887"/>
      <c r="V125" s="887"/>
      <c r="W125" s="890"/>
      <c r="X125" s="887"/>
      <c r="Y125" s="887"/>
      <c r="Z125" s="887"/>
      <c r="AA125" s="887"/>
      <c r="AB125" s="887"/>
    </row>
    <row r="126" spans="1:31" ht="27.75" customHeight="1" thickTop="1" thickBot="1">
      <c r="B126" s="886"/>
      <c r="C126" s="886"/>
      <c r="D126" s="4168" t="s">
        <v>2097</v>
      </c>
      <c r="E126" s="4169"/>
      <c r="F126" s="4169"/>
      <c r="G126" s="4169"/>
      <c r="H126" s="4170"/>
      <c r="I126" s="887"/>
      <c r="J126" s="887"/>
      <c r="K126" s="887"/>
      <c r="L126" s="887"/>
      <c r="M126" s="887"/>
      <c r="N126" s="888"/>
      <c r="O126" s="888"/>
      <c r="P126" s="888"/>
      <c r="Q126" s="888"/>
      <c r="R126" s="886"/>
      <c r="S126" s="886"/>
      <c r="T126" s="891"/>
      <c r="U126" s="887"/>
      <c r="V126" s="887"/>
      <c r="W126" s="890"/>
      <c r="X126" s="887"/>
      <c r="Y126" s="887"/>
      <c r="Z126" s="887"/>
      <c r="AA126" s="887"/>
      <c r="AB126" s="887"/>
    </row>
    <row r="127" spans="1:31" ht="13.5" thickTop="1"/>
  </sheetData>
  <sheetProtection password="F07E" sheet="1" objects="1" scenarios="1"/>
  <mergeCells count="141">
    <mergeCell ref="B62:C62"/>
    <mergeCell ref="B34:C34"/>
    <mergeCell ref="B18:C18"/>
    <mergeCell ref="O106:Q106"/>
    <mergeCell ref="O107:Q107"/>
    <mergeCell ref="O108:Q108"/>
    <mergeCell ref="O109:Q109"/>
    <mergeCell ref="O111:Q111"/>
    <mergeCell ref="P47:W47"/>
    <mergeCell ref="P48:W48"/>
    <mergeCell ref="P49:W49"/>
    <mergeCell ref="N35:O35"/>
    <mergeCell ref="N36:O36"/>
    <mergeCell ref="N37:O37"/>
    <mergeCell ref="N38:O38"/>
    <mergeCell ref="N39:O39"/>
    <mergeCell ref="N40:O40"/>
    <mergeCell ref="N41:O41"/>
    <mergeCell ref="N42:O42"/>
    <mergeCell ref="N43:O43"/>
    <mergeCell ref="N44:O44"/>
    <mergeCell ref="N45:O45"/>
    <mergeCell ref="N49:O49"/>
    <mergeCell ref="J47:M47"/>
    <mergeCell ref="Y92:AB92"/>
    <mergeCell ref="Y94:AB94"/>
    <mergeCell ref="O98:Q98"/>
    <mergeCell ref="O99:Q99"/>
    <mergeCell ref="O100:Q100"/>
    <mergeCell ref="T84:W84"/>
    <mergeCell ref="T86:W86"/>
    <mergeCell ref="T88:W88"/>
    <mergeCell ref="T90:W90"/>
    <mergeCell ref="Y47:AB47"/>
    <mergeCell ref="Y48:AB48"/>
    <mergeCell ref="Y49:AB49"/>
    <mergeCell ref="Y81:AB81"/>
    <mergeCell ref="Y51:AB51"/>
    <mergeCell ref="Y52:AB52"/>
    <mergeCell ref="J51:M51"/>
    <mergeCell ref="J52:M52"/>
    <mergeCell ref="Y53:AB53"/>
    <mergeCell ref="N50:O50"/>
    <mergeCell ref="N51:O51"/>
    <mergeCell ref="N52:O52"/>
    <mergeCell ref="P50:W50"/>
    <mergeCell ref="P51:W51"/>
    <mergeCell ref="P52:W52"/>
    <mergeCell ref="J50:M50"/>
    <mergeCell ref="Y50:AB50"/>
    <mergeCell ref="Y71:AB71"/>
    <mergeCell ref="Y73:AB73"/>
    <mergeCell ref="Y75:AB75"/>
    <mergeCell ref="Y77:AB77"/>
    <mergeCell ref="Y79:AB79"/>
    <mergeCell ref="M73:P73"/>
    <mergeCell ref="J46:M46"/>
    <mergeCell ref="J35:M35"/>
    <mergeCell ref="J36:M36"/>
    <mergeCell ref="J37:M37"/>
    <mergeCell ref="J38:M38"/>
    <mergeCell ref="J39:M39"/>
    <mergeCell ref="N46:O46"/>
    <mergeCell ref="N47:O47"/>
    <mergeCell ref="N48:O48"/>
    <mergeCell ref="J48:M48"/>
    <mergeCell ref="Q23:R23"/>
    <mergeCell ref="Z20:AB20"/>
    <mergeCell ref="Y21:AB21"/>
    <mergeCell ref="Y22:AB22"/>
    <mergeCell ref="Y23:AB23"/>
    <mergeCell ref="J41:M41"/>
    <mergeCell ref="J43:M43"/>
    <mergeCell ref="J44:M44"/>
    <mergeCell ref="J45:M45"/>
    <mergeCell ref="Q28:R28"/>
    <mergeCell ref="X32:X33"/>
    <mergeCell ref="Y28:AB28"/>
    <mergeCell ref="Y29:AB29"/>
    <mergeCell ref="Y30:AB30"/>
    <mergeCell ref="Y31:AB31"/>
    <mergeCell ref="Y33:AB33"/>
    <mergeCell ref="V29:W29"/>
    <mergeCell ref="Q24:R24"/>
    <mergeCell ref="Q26:R26"/>
    <mergeCell ref="Y24:AB24"/>
    <mergeCell ref="Y25:AB25"/>
    <mergeCell ref="Y26:AB26"/>
    <mergeCell ref="Y41:AB41"/>
    <mergeCell ref="Y42:AB42"/>
    <mergeCell ref="Y43:AB43"/>
    <mergeCell ref="Y44:AB44"/>
    <mergeCell ref="Y45:AB45"/>
    <mergeCell ref="T19:W19"/>
    <mergeCell ref="T20:W20"/>
    <mergeCell ref="Y27:AB27"/>
    <mergeCell ref="Y32:AB32"/>
    <mergeCell ref="Y35:AB35"/>
    <mergeCell ref="T11:T12"/>
    <mergeCell ref="U11:U12"/>
    <mergeCell ref="V11:V12"/>
    <mergeCell ref="W11:W12"/>
    <mergeCell ref="X11:X12"/>
    <mergeCell ref="Y38:AB38"/>
    <mergeCell ref="Y39:AB39"/>
    <mergeCell ref="Y40:AB40"/>
    <mergeCell ref="Y37:AB37"/>
    <mergeCell ref="X4:AB4"/>
    <mergeCell ref="X5:AB7"/>
    <mergeCell ref="B9:S9"/>
    <mergeCell ref="T9:AB9"/>
    <mergeCell ref="Y54:AB54"/>
    <mergeCell ref="Y66:AB66"/>
    <mergeCell ref="Y68:AB68"/>
    <mergeCell ref="Y64:AB64"/>
    <mergeCell ref="M66:P66"/>
    <mergeCell ref="M68:P68"/>
    <mergeCell ref="N10:R10"/>
    <mergeCell ref="B11:F12"/>
    <mergeCell ref="H11:H12"/>
    <mergeCell ref="I11:I12"/>
    <mergeCell ref="J11:J12"/>
    <mergeCell ref="K11:K12"/>
    <mergeCell ref="L11:L12"/>
    <mergeCell ref="M11:M12"/>
    <mergeCell ref="B3:D4"/>
    <mergeCell ref="B6:D7"/>
    <mergeCell ref="Y11:Y12"/>
    <mergeCell ref="Z11:Z12"/>
    <mergeCell ref="AA11:AA12"/>
    <mergeCell ref="AB11:AB12"/>
    <mergeCell ref="O102:Q102"/>
    <mergeCell ref="O103:Q103"/>
    <mergeCell ref="O104:Q104"/>
    <mergeCell ref="O105:Q105"/>
    <mergeCell ref="D126:H126"/>
    <mergeCell ref="D124:H124"/>
    <mergeCell ref="B117:C117"/>
    <mergeCell ref="B118:C118"/>
    <mergeCell ref="Y93:AB93"/>
    <mergeCell ref="B97:C97"/>
  </mergeCells>
  <conditionalFormatting sqref="B9:C9 T9:AA9">
    <cfRule type="expression" dxfId="729" priority="201">
      <formula>IF(NoColor,1,0)</formula>
    </cfRule>
  </conditionalFormatting>
  <conditionalFormatting sqref="B11:C11 G11:G12 N11:S12">
    <cfRule type="expression" dxfId="728" priority="200">
      <formula>IF(NoColor,1,0)</formula>
    </cfRule>
  </conditionalFormatting>
  <conditionalFormatting sqref="AA15:AA16">
    <cfRule type="expression" dxfId="727" priority="191">
      <formula>IF(NoColor,1,0)</formula>
    </cfRule>
  </conditionalFormatting>
  <conditionalFormatting sqref="AA14">
    <cfRule type="expression" dxfId="726" priority="190">
      <formula>IF(NoColor,1,0)</formula>
    </cfRule>
  </conditionalFormatting>
  <conditionalFormatting sqref="I11">
    <cfRule type="expression" dxfId="725" priority="153">
      <formula>IF(NoColor,1,0)</formula>
    </cfRule>
  </conditionalFormatting>
  <conditionalFormatting sqref="J11">
    <cfRule type="expression" dxfId="724" priority="152">
      <formula>IF(NoColor,1,0)</formula>
    </cfRule>
  </conditionalFormatting>
  <conditionalFormatting sqref="K11">
    <cfRule type="expression" dxfId="723" priority="151">
      <formula>IF(NoColor,1,0)</formula>
    </cfRule>
  </conditionalFormatting>
  <conditionalFormatting sqref="L11">
    <cfRule type="expression" dxfId="722" priority="150">
      <formula>IF(NoColor,1,0)</formula>
    </cfRule>
  </conditionalFormatting>
  <conditionalFormatting sqref="T11">
    <cfRule type="expression" dxfId="721" priority="147">
      <formula>IF(NoColor,1,0)</formula>
    </cfRule>
  </conditionalFormatting>
  <conditionalFormatting sqref="W11">
    <cfRule type="expression" dxfId="720" priority="144">
      <formula>IF(NoColor,1,0)</formula>
    </cfRule>
  </conditionalFormatting>
  <conditionalFormatting sqref="Y11">
    <cfRule type="expression" dxfId="719" priority="142">
      <formula>IF(NoColor,1,0)</formula>
    </cfRule>
  </conditionalFormatting>
  <conditionalFormatting sqref="Z11">
    <cfRule type="expression" dxfId="718" priority="141">
      <formula>IF(NoColor,1,0)</formula>
    </cfRule>
  </conditionalFormatting>
  <conditionalFormatting sqref="X11">
    <cfRule type="expression" dxfId="717" priority="143">
      <formula>IF(NoColor,1,0)</formula>
    </cfRule>
  </conditionalFormatting>
  <conditionalFormatting sqref="M11">
    <cfRule type="expression" dxfId="716" priority="149">
      <formula>IF(NoColor,1,0)</formula>
    </cfRule>
  </conditionalFormatting>
  <conditionalFormatting sqref="H11">
    <cfRule type="expression" dxfId="715" priority="148">
      <formula>IF(NoColor,1,0)</formula>
    </cfRule>
  </conditionalFormatting>
  <conditionalFormatting sqref="U11:V11">
    <cfRule type="expression" dxfId="714" priority="138">
      <formula>IF(NoColor,1,0)</formula>
    </cfRule>
  </conditionalFormatting>
  <conditionalFormatting sqref="AA11">
    <cfRule type="expression" dxfId="713" priority="140">
      <formula>IF(NoColor,1,0)</formula>
    </cfRule>
  </conditionalFormatting>
  <conditionalFormatting sqref="AB11">
    <cfRule type="expression" dxfId="712" priority="139">
      <formula>IF(NoColor,1,0)</formula>
    </cfRule>
  </conditionalFormatting>
  <conditionalFormatting sqref="T19">
    <cfRule type="expression" dxfId="711" priority="137">
      <formula>IF(NoColor,1,0)</formula>
    </cfRule>
  </conditionalFormatting>
  <conditionalFormatting sqref="Y29:Z29">
    <cfRule type="expression" dxfId="710" priority="96">
      <formula>IF(NoColor,1,0)</formula>
    </cfRule>
  </conditionalFormatting>
  <conditionalFormatting sqref="X14">
    <cfRule type="expression" dxfId="709" priority="135">
      <formula>IF(NoColor,1,0)</formula>
    </cfRule>
  </conditionalFormatting>
  <conditionalFormatting sqref="T20">
    <cfRule type="expression" dxfId="708" priority="136">
      <formula>IF(NoColor,1,0)</formula>
    </cfRule>
  </conditionalFormatting>
  <conditionalFormatting sqref="X16">
    <cfRule type="expression" dxfId="707" priority="133">
      <formula>IF(NoColor,1,0)</formula>
    </cfRule>
  </conditionalFormatting>
  <conditionalFormatting sqref="X15">
    <cfRule type="expression" dxfId="706" priority="134">
      <formula>IF(NoColor,1,0)</formula>
    </cfRule>
  </conditionalFormatting>
  <conditionalFormatting sqref="Y22:Z22">
    <cfRule type="expression" dxfId="705" priority="102">
      <formula>IF(NoColor,1,0)</formula>
    </cfRule>
  </conditionalFormatting>
  <conditionalFormatting sqref="Y33:Z33">
    <cfRule type="expression" dxfId="704" priority="93">
      <formula>IF(NoColor,1,0)</formula>
    </cfRule>
  </conditionalFormatting>
  <conditionalFormatting sqref="Y28:Z28">
    <cfRule type="expression" dxfId="703" priority="97">
      <formula>IF(NoColor,1,0)</formula>
    </cfRule>
  </conditionalFormatting>
  <conditionalFormatting sqref="Y30:Z30">
    <cfRule type="expression" dxfId="702" priority="95">
      <formula>IF(NoColor,1,0)</formula>
    </cfRule>
  </conditionalFormatting>
  <conditionalFormatting sqref="Q23">
    <cfRule type="expression" dxfId="701" priority="89">
      <formula>IF(NoColor,1,0)</formula>
    </cfRule>
  </conditionalFormatting>
  <conditionalFormatting sqref="J50:K50">
    <cfRule type="expression" dxfId="700" priority="62">
      <formula>IF(NoColor,1,0)</formula>
    </cfRule>
  </conditionalFormatting>
  <conditionalFormatting sqref="Q24">
    <cfRule type="expression" dxfId="699" priority="88">
      <formula>IF(NoColor,1,0)</formula>
    </cfRule>
  </conditionalFormatting>
  <conditionalFormatting sqref="Y38:Z38">
    <cfRule type="expression" dxfId="698" priority="60">
      <formula>IF(NoColor,1,0)</formula>
    </cfRule>
  </conditionalFormatting>
  <conditionalFormatting sqref="J38:K38">
    <cfRule type="expression" dxfId="697" priority="76">
      <formula>IF(NoColor,1,0)</formula>
    </cfRule>
  </conditionalFormatting>
  <conditionalFormatting sqref="J36:K36">
    <cfRule type="expression" dxfId="696" priority="78">
      <formula>IF(NoColor,1,0)</formula>
    </cfRule>
  </conditionalFormatting>
  <conditionalFormatting sqref="J47:K47">
    <cfRule type="expression" dxfId="695" priority="69">
      <formula>IF(NoColor,1,0)</formula>
    </cfRule>
  </conditionalFormatting>
  <conditionalFormatting sqref="J44:K44">
    <cfRule type="expression" dxfId="694" priority="72">
      <formula>IF(NoColor,1,0)</formula>
    </cfRule>
  </conditionalFormatting>
  <conditionalFormatting sqref="J41:K41">
    <cfRule type="expression" dxfId="693" priority="74">
      <formula>IF(NoColor,1,0)</formula>
    </cfRule>
  </conditionalFormatting>
  <conditionalFormatting sqref="Y40:Z40">
    <cfRule type="expression" dxfId="692" priority="58">
      <formula>IF(NoColor,1,0)</formula>
    </cfRule>
  </conditionalFormatting>
  <conditionalFormatting sqref="Y31:Z31">
    <cfRule type="expression" dxfId="691" priority="94">
      <formula>IF(NoColor,1,0)</formula>
    </cfRule>
  </conditionalFormatting>
  <conditionalFormatting sqref="J46:K46">
    <cfRule type="expression" dxfId="690" priority="70">
      <formula>IF(NoColor,1,0)</formula>
    </cfRule>
  </conditionalFormatting>
  <conditionalFormatting sqref="J48:K48">
    <cfRule type="expression" dxfId="689" priority="66">
      <formula>IF(NoColor,1,0)</formula>
    </cfRule>
  </conditionalFormatting>
  <conditionalFormatting sqref="Y21:Z21">
    <cfRule type="expression" dxfId="688" priority="90">
      <formula>IF(NoColor,1,0)</formula>
    </cfRule>
  </conditionalFormatting>
  <conditionalFormatting sqref="Q26">
    <cfRule type="expression" dxfId="687" priority="86">
      <formula>IF(NoColor,1,0)</formula>
    </cfRule>
  </conditionalFormatting>
  <conditionalFormatting sqref="Q28">
    <cfRule type="expression" dxfId="686" priority="84">
      <formula>IF(NoColor,1,0)</formula>
    </cfRule>
  </conditionalFormatting>
  <conditionalFormatting sqref="Y23:Z26">
    <cfRule type="expression" dxfId="685" priority="87">
      <formula>IF(NoColor,1,0)</formula>
    </cfRule>
  </conditionalFormatting>
  <conditionalFormatting sqref="Y35:Z35">
    <cfRule type="expression" dxfId="684" priority="83">
      <formula>IF(NoColor,1,0)</formula>
    </cfRule>
  </conditionalFormatting>
  <conditionalFormatting sqref="J39:K39">
    <cfRule type="expression" dxfId="683" priority="75">
      <formula>IF(NoColor,1,0)</formula>
    </cfRule>
  </conditionalFormatting>
  <conditionalFormatting sqref="J37:K37">
    <cfRule type="expression" dxfId="682" priority="77">
      <formula>IF(NoColor,1,0)</formula>
    </cfRule>
  </conditionalFormatting>
  <conditionalFormatting sqref="J43:K43">
    <cfRule type="expression" dxfId="681" priority="73">
      <formula>IF(NoColor,1,0)</formula>
    </cfRule>
  </conditionalFormatting>
  <conditionalFormatting sqref="J45:K45">
    <cfRule type="expression" dxfId="680" priority="71">
      <formula>IF(NoColor,1,0)</formula>
    </cfRule>
  </conditionalFormatting>
  <conditionalFormatting sqref="Y50:Z50">
    <cfRule type="expression" dxfId="679" priority="48">
      <formula>IF(NoColor,1,0)</formula>
    </cfRule>
  </conditionalFormatting>
  <conditionalFormatting sqref="Y42:Z42">
    <cfRule type="expression" dxfId="678" priority="56">
      <formula>IF(NoColor,1,0)</formula>
    </cfRule>
  </conditionalFormatting>
  <conditionalFormatting sqref="J51:K51">
    <cfRule type="expression" dxfId="677" priority="45">
      <formula>IF(NoColor,1,0)</formula>
    </cfRule>
  </conditionalFormatting>
  <conditionalFormatting sqref="Y37:Z37">
    <cfRule type="expression" dxfId="676" priority="61">
      <formula>IF(NoColor,1,0)</formula>
    </cfRule>
  </conditionalFormatting>
  <conditionalFormatting sqref="Y39:Z39">
    <cfRule type="expression" dxfId="675" priority="59">
      <formula>IF(NoColor,1,0)</formula>
    </cfRule>
  </conditionalFormatting>
  <conditionalFormatting sqref="Y44:Z44">
    <cfRule type="expression" dxfId="674" priority="54">
      <formula>IF(NoColor,1,0)</formula>
    </cfRule>
  </conditionalFormatting>
  <conditionalFormatting sqref="Y41:Z41">
    <cfRule type="expression" dxfId="673" priority="57">
      <formula>IF(NoColor,1,0)</formula>
    </cfRule>
  </conditionalFormatting>
  <conditionalFormatting sqref="Y43:Z43">
    <cfRule type="expression" dxfId="672" priority="55">
      <formula>IF(NoColor,1,0)</formula>
    </cfRule>
  </conditionalFormatting>
  <conditionalFormatting sqref="Z46">
    <cfRule type="expression" dxfId="671" priority="52">
      <formula>IF(NoColor,1,0)</formula>
    </cfRule>
  </conditionalFormatting>
  <conditionalFormatting sqref="Y45:Z45">
    <cfRule type="expression" dxfId="670" priority="53">
      <formula>IF(NoColor,1,0)</formula>
    </cfRule>
  </conditionalFormatting>
  <conditionalFormatting sqref="Y47:Z47">
    <cfRule type="expression" dxfId="669" priority="51">
      <formula>IF(NoColor,1,0)</formula>
    </cfRule>
  </conditionalFormatting>
  <conditionalFormatting sqref="Y48:Z48">
    <cfRule type="expression" dxfId="668" priority="50">
      <formula>IF(NoColor,1,0)</formula>
    </cfRule>
  </conditionalFormatting>
  <conditionalFormatting sqref="Y49:Z49">
    <cfRule type="expression" dxfId="667" priority="49">
      <formula>IF(NoColor,1,0)</formula>
    </cfRule>
  </conditionalFormatting>
  <conditionalFormatting sqref="Y52:Z52">
    <cfRule type="expression" dxfId="666" priority="46">
      <formula>IF(NoColor,1,0)</formula>
    </cfRule>
  </conditionalFormatting>
  <conditionalFormatting sqref="Y51:Z51">
    <cfRule type="expression" dxfId="665" priority="47">
      <formula>IF(NoColor,1,0)</formula>
    </cfRule>
  </conditionalFormatting>
  <conditionalFormatting sqref="J52:K52">
    <cfRule type="expression" dxfId="664" priority="44">
      <formula>IF(NoColor,1,0)</formula>
    </cfRule>
  </conditionalFormatting>
  <conditionalFormatting sqref="X56">
    <cfRule type="expression" dxfId="663" priority="41">
      <formula>IF(NoColor,1,0)</formula>
    </cfRule>
  </conditionalFormatting>
  <conditionalFormatting sqref="AA56">
    <cfRule type="expression" dxfId="662" priority="40">
      <formula>IF(NoColor,1,0)</formula>
    </cfRule>
  </conditionalFormatting>
  <conditionalFormatting sqref="Y66:Z66">
    <cfRule type="expression" dxfId="661" priority="34">
      <formula>IF(NoColor,1,0)</formula>
    </cfRule>
  </conditionalFormatting>
  <conditionalFormatting sqref="Y53:Z53">
    <cfRule type="expression" dxfId="660" priority="37">
      <formula>IF(NoColor,1,0)</formula>
    </cfRule>
  </conditionalFormatting>
  <conditionalFormatting sqref="Y68:Z68">
    <cfRule type="expression" dxfId="659" priority="32">
      <formula>IF(NoColor,1,0)</formula>
    </cfRule>
  </conditionalFormatting>
  <conditionalFormatting sqref="M68:N68">
    <cfRule type="expression" dxfId="658" priority="30">
      <formula>IF(NoColor,1,0)</formula>
    </cfRule>
  </conditionalFormatting>
  <conditionalFormatting sqref="Y64:Z64">
    <cfRule type="expression" dxfId="657" priority="29">
      <formula>IF(NoColor,1,0)</formula>
    </cfRule>
  </conditionalFormatting>
  <conditionalFormatting sqref="Y71:Z71">
    <cfRule type="expression" dxfId="656" priority="28">
      <formula>IF(NoColor,1,0)</formula>
    </cfRule>
  </conditionalFormatting>
  <conditionalFormatting sqref="Y73:Z73">
    <cfRule type="expression" dxfId="655" priority="26">
      <formula>IF(NoColor,1,0)</formula>
    </cfRule>
  </conditionalFormatting>
  <conditionalFormatting sqref="M66:N66">
    <cfRule type="expression" dxfId="654" priority="31">
      <formula>IF(NoColor,1,0)</formula>
    </cfRule>
  </conditionalFormatting>
  <conditionalFormatting sqref="M73:N73">
    <cfRule type="expression" dxfId="653" priority="25">
      <formula>IF(NoColor,1,0)</formula>
    </cfRule>
  </conditionalFormatting>
  <conditionalFormatting sqref="Y79:Z79">
    <cfRule type="expression" dxfId="652" priority="22">
      <formula>IF(NoColor,1,0)</formula>
    </cfRule>
  </conditionalFormatting>
  <conditionalFormatting sqref="Y77:Z77">
    <cfRule type="expression" dxfId="651" priority="23">
      <formula>IF(NoColor,1,0)</formula>
    </cfRule>
  </conditionalFormatting>
  <conditionalFormatting sqref="Y75:Z75">
    <cfRule type="expression" dxfId="650" priority="24">
      <formula>IF(NoColor,1,0)</formula>
    </cfRule>
  </conditionalFormatting>
  <conditionalFormatting sqref="Y81:Z81">
    <cfRule type="expression" dxfId="649" priority="20">
      <formula>IF(NoColor,1,0)</formula>
    </cfRule>
  </conditionalFormatting>
  <conditionalFormatting sqref="T84:U84">
    <cfRule type="expression" dxfId="648" priority="17">
      <formula>IF(NoColor,1,0)</formula>
    </cfRule>
  </conditionalFormatting>
  <conditionalFormatting sqref="T86:U86">
    <cfRule type="expression" dxfId="647" priority="16">
      <formula>IF(NoColor,1,0)</formula>
    </cfRule>
  </conditionalFormatting>
  <conditionalFormatting sqref="T90:U90">
    <cfRule type="expression" dxfId="646" priority="14">
      <formula>IF(NoColor,1,0)</formula>
    </cfRule>
  </conditionalFormatting>
  <conditionalFormatting sqref="Y94:Z94">
    <cfRule type="expression" dxfId="645" priority="11">
      <formula>IF(NoColor,1,0)</formula>
    </cfRule>
  </conditionalFormatting>
  <conditionalFormatting sqref="T88:U88">
    <cfRule type="expression" dxfId="644" priority="10">
      <formula>IF(NoColor,1,0)</formula>
    </cfRule>
  </conditionalFormatting>
  <conditionalFormatting sqref="Y92:Z92">
    <cfRule type="expression" dxfId="643" priority="9">
      <formula>IF(NoColor,1,0)</formula>
    </cfRule>
  </conditionalFormatting>
  <conditionalFormatting sqref="P47:W52">
    <cfRule type="expression" dxfId="642" priority="8">
      <formula>IF(NoColor,1,0)</formula>
    </cfRule>
  </conditionalFormatting>
  <conditionalFormatting sqref="K29">
    <cfRule type="expression" dxfId="641" priority="7">
      <formula>IF(NoColor,1,0)</formula>
    </cfRule>
  </conditionalFormatting>
  <conditionalFormatting sqref="AA17">
    <cfRule type="expression" dxfId="640" priority="6">
      <formula>IF(NoColor,1,0)</formula>
    </cfRule>
  </conditionalFormatting>
  <conditionalFormatting sqref="X17">
    <cfRule type="expression" dxfId="639" priority="5">
      <formula>IF(NoColor,1,0)</formula>
    </cfRule>
  </conditionalFormatting>
  <conditionalFormatting sqref="Z36">
    <cfRule type="expression" dxfId="638" priority="4">
      <formula>IF(NoColor,1,0)</formula>
    </cfRule>
  </conditionalFormatting>
  <conditionalFormatting sqref="C58">
    <cfRule type="expression" dxfId="637" priority="3">
      <formula>IF(NoColor,1,0)</formula>
    </cfRule>
  </conditionalFormatting>
  <conditionalFormatting sqref="I58">
    <cfRule type="expression" dxfId="636" priority="2">
      <formula>IF(NoColor,1,0)</formula>
    </cfRule>
  </conditionalFormatting>
  <conditionalFormatting sqref="Y54:Z54">
    <cfRule type="expression" dxfId="635" priority="1">
      <formula>IF(NoColor,1,0)</formula>
    </cfRule>
  </conditionalFormatting>
  <hyperlinks>
    <hyperlink ref="D124:H124" r:id="rId1" display="Download Form 1040 Schedule F"/>
    <hyperlink ref="D126:H126" r:id="rId2" display="Download Form 1040 Schedule F Instructions"/>
  </hyperlinks>
  <printOptions horizontalCentered="1"/>
  <pageMargins left="0.25" right="0.2" top="0.25" bottom="0.27" header="0" footer="0"/>
  <pageSetup scale="97" fitToHeight="0" orientation="portrait" horizontalDpi="4294967293" verticalDpi="4294967293" r:id="rId3"/>
  <headerFooter alignWithMargins="0"/>
  <rowBreaks count="1" manualBreakCount="1">
    <brk id="60" min="1" max="27" man="1"/>
  </rowBreaks>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H135"/>
  <sheetViews>
    <sheetView zoomScaleNormal="100" workbookViewId="0">
      <selection activeCell="D4" sqref="D4"/>
    </sheetView>
  </sheetViews>
  <sheetFormatPr defaultRowHeight="12.75"/>
  <cols>
    <col min="1" max="1" width="2.140625" customWidth="1"/>
    <col min="2" max="2" width="1.85546875" customWidth="1"/>
    <col min="3" max="4" width="3.140625" customWidth="1"/>
    <col min="5" max="5" width="10.140625" customWidth="1"/>
    <col min="6" max="6" width="5.28515625" customWidth="1"/>
    <col min="7" max="7" width="6.28515625" customWidth="1"/>
    <col min="8" max="8" width="5.42578125" customWidth="1"/>
    <col min="9" max="9" width="5" customWidth="1"/>
    <col min="10" max="10" width="4.140625" customWidth="1"/>
    <col min="11" max="11" width="3.28515625" customWidth="1"/>
    <col min="12" max="12" width="4.85546875" customWidth="1"/>
    <col min="13" max="13" width="3.7109375" customWidth="1"/>
    <col min="14" max="14" width="4.140625" customWidth="1"/>
    <col min="15" max="15" width="2.28515625" customWidth="1"/>
    <col min="16" max="16" width="5.140625" customWidth="1"/>
    <col min="17" max="17" width="8.140625" customWidth="1"/>
    <col min="18" max="18" width="4.28515625" customWidth="1"/>
    <col min="19" max="19" width="8.7109375" customWidth="1"/>
    <col min="20" max="20" width="2.5703125" customWidth="1"/>
    <col min="21" max="21" width="3.140625" customWidth="1"/>
    <col min="22" max="22" width="14.42578125" customWidth="1"/>
    <col min="23" max="23" width="3.85546875" customWidth="1"/>
    <col min="24" max="24" width="1.5703125" customWidth="1"/>
    <col min="25" max="25" width="2" customWidth="1"/>
    <col min="26" max="26" width="16.42578125" customWidth="1"/>
    <col min="27" max="27" width="4.28515625" customWidth="1"/>
    <col min="28" max="28" width="3.85546875" customWidth="1"/>
  </cols>
  <sheetData>
    <row r="1" spans="1:26">
      <c r="A1" s="2295"/>
      <c r="B1" s="2295"/>
      <c r="C1" s="2295"/>
      <c r="D1" s="2295"/>
      <c r="E1" s="2295"/>
      <c r="F1" s="2295"/>
      <c r="G1" s="2295"/>
      <c r="H1" s="2295"/>
      <c r="I1" s="2295"/>
      <c r="J1" s="2295"/>
      <c r="K1" s="2295"/>
      <c r="L1" s="2295"/>
      <c r="M1" s="2295"/>
      <c r="N1" s="2295"/>
      <c r="O1" s="2295"/>
      <c r="P1" s="2295"/>
      <c r="Q1" s="2295"/>
      <c r="R1" s="2295"/>
      <c r="S1" s="2295"/>
      <c r="T1" s="2295"/>
      <c r="U1" s="2295"/>
      <c r="V1" s="2295"/>
      <c r="W1" s="2295"/>
      <c r="X1" s="2295"/>
      <c r="Y1" s="2295"/>
      <c r="Z1" s="2295"/>
    </row>
    <row r="2" spans="1:26">
      <c r="A2" s="2295"/>
      <c r="B2" s="2295"/>
      <c r="C2" s="2815" t="s">
        <v>1656</v>
      </c>
      <c r="D2" s="2295"/>
      <c r="E2" s="2295"/>
      <c r="F2" s="2295"/>
      <c r="G2" s="2295"/>
      <c r="H2" s="2295"/>
      <c r="I2" s="2295"/>
      <c r="J2" s="2295"/>
      <c r="K2" s="2295"/>
      <c r="L2" s="2295"/>
      <c r="M2" s="2295"/>
      <c r="N2" s="2295"/>
      <c r="O2" s="2295"/>
      <c r="P2" s="2295"/>
      <c r="Q2" s="2295"/>
      <c r="R2" s="2295"/>
      <c r="S2" s="2295"/>
      <c r="T2" s="2295"/>
      <c r="U2" s="2295"/>
      <c r="V2" s="2295"/>
      <c r="W2" s="2295"/>
      <c r="X2" s="2295"/>
      <c r="Y2" s="2295"/>
      <c r="Z2" s="2295"/>
    </row>
    <row r="3" spans="1:26" ht="13.5" thickBot="1">
      <c r="A3" s="2295"/>
      <c r="B3" s="2295"/>
      <c r="C3" s="2295"/>
      <c r="D3" s="2295"/>
      <c r="E3" s="2295"/>
      <c r="F3" s="2295"/>
      <c r="G3" s="2295"/>
      <c r="H3" s="2295"/>
      <c r="I3" s="2295"/>
      <c r="J3" s="2295"/>
      <c r="K3" s="2295"/>
      <c r="L3" s="2295"/>
      <c r="M3" s="2295"/>
      <c r="N3" s="2295"/>
      <c r="O3" s="2295"/>
      <c r="P3" s="2295"/>
      <c r="Q3" s="2295"/>
      <c r="R3" s="2295"/>
      <c r="S3" s="2295"/>
      <c r="T3" s="2295"/>
      <c r="U3" s="2295"/>
      <c r="V3" s="2295"/>
      <c r="W3" s="2295"/>
      <c r="X3" s="2295"/>
      <c r="Y3" s="2295"/>
      <c r="Z3" s="2295"/>
    </row>
    <row r="4" spans="1:26" ht="13.5" thickBot="1">
      <c r="A4" s="2295"/>
      <c r="B4" s="2816">
        <f>IF(D4&lt;&gt;"",1,0)</f>
        <v>0</v>
      </c>
      <c r="C4" s="2295"/>
      <c r="D4" s="2820"/>
      <c r="E4" s="2817" t="s">
        <v>1657</v>
      </c>
      <c r="F4" s="2295"/>
      <c r="G4" s="2295"/>
      <c r="H4" s="2295"/>
      <c r="I4" s="2295"/>
      <c r="J4" s="2295"/>
      <c r="K4" s="2295"/>
      <c r="L4" s="2295"/>
      <c r="M4" s="2295"/>
      <c r="N4" s="2295"/>
      <c r="O4" s="2295"/>
      <c r="P4" s="2295"/>
      <c r="Q4" s="2295"/>
      <c r="R4" s="2295"/>
      <c r="S4" s="2295"/>
      <c r="T4" s="2295"/>
      <c r="U4" s="2295"/>
      <c r="V4" s="2295"/>
      <c r="W4" s="2295"/>
      <c r="X4" s="2295"/>
      <c r="Y4" s="2295"/>
      <c r="Z4" s="2295"/>
    </row>
    <row r="5" spans="1:26">
      <c r="A5" s="2295"/>
      <c r="B5" s="2816"/>
      <c r="C5" s="2295"/>
      <c r="D5" s="2804"/>
      <c r="E5" s="2817"/>
      <c r="F5" s="2295"/>
      <c r="G5" s="2295"/>
      <c r="H5" s="2295"/>
      <c r="I5" s="2295"/>
      <c r="J5" s="2295"/>
      <c r="K5" s="2295"/>
      <c r="L5" s="2295"/>
      <c r="M5" s="2295"/>
      <c r="N5" s="2295"/>
      <c r="O5" s="2295"/>
      <c r="P5" s="2295"/>
      <c r="Q5" s="2295"/>
      <c r="R5" s="2295"/>
      <c r="S5" s="2295"/>
      <c r="T5" s="2295"/>
      <c r="U5" s="2295"/>
      <c r="V5" s="2295"/>
      <c r="W5" s="2295"/>
      <c r="X5" s="2295"/>
      <c r="Y5" s="2295"/>
      <c r="Z5" s="2295"/>
    </row>
    <row r="6" spans="1:26">
      <c r="A6" s="2295"/>
      <c r="B6" s="2816">
        <f>SUM(B4,B8)</f>
        <v>0</v>
      </c>
      <c r="C6" s="2295"/>
      <c r="D6" s="2295"/>
      <c r="E6" s="2818" t="str">
        <f>IF(B6=0,"Check ONE box.", IF(B6&gt;1,"Check ONLY one box.",""))</f>
        <v>Check ONE box.</v>
      </c>
      <c r="F6" s="2295"/>
      <c r="G6" s="2295"/>
      <c r="H6" s="2295"/>
      <c r="I6" s="2295"/>
      <c r="J6" s="2295"/>
      <c r="K6" s="2295"/>
      <c r="L6" s="2295"/>
      <c r="M6" s="2295"/>
      <c r="N6" s="2295"/>
      <c r="O6" s="2295"/>
      <c r="P6" s="2295"/>
      <c r="Q6" s="2295"/>
      <c r="R6" s="2295"/>
      <c r="S6" s="2295"/>
      <c r="T6" s="2295"/>
      <c r="U6" s="2295"/>
      <c r="V6" s="2295"/>
      <c r="W6" s="2295"/>
      <c r="X6" s="2295"/>
      <c r="Y6" s="2295"/>
      <c r="Z6" s="2295"/>
    </row>
    <row r="7" spans="1:26" ht="13.5" thickBot="1">
      <c r="A7" s="2295"/>
      <c r="B7" s="2816"/>
      <c r="C7" s="2295"/>
      <c r="D7" s="2295"/>
      <c r="E7" s="2815"/>
      <c r="F7" s="2295"/>
      <c r="G7" s="2295"/>
      <c r="H7" s="2295"/>
      <c r="I7" s="2295"/>
      <c r="J7" s="2295"/>
      <c r="K7" s="2295"/>
      <c r="L7" s="2295"/>
      <c r="M7" s="2295"/>
      <c r="N7" s="2295"/>
      <c r="O7" s="2295"/>
      <c r="P7" s="2295"/>
      <c r="Q7" s="2295"/>
      <c r="R7" s="2295"/>
      <c r="S7" s="2295"/>
      <c r="T7" s="2295"/>
      <c r="U7" s="2295"/>
      <c r="V7" s="2295"/>
      <c r="W7" s="2295"/>
      <c r="X7" s="2295"/>
      <c r="Y7" s="2295"/>
      <c r="Z7" s="2295"/>
    </row>
    <row r="8" spans="1:26" ht="13.5" thickBot="1">
      <c r="A8" s="2295"/>
      <c r="B8" s="2816">
        <f>IF(D8&lt;&gt;"",1,0)</f>
        <v>0</v>
      </c>
      <c r="C8" s="2295"/>
      <c r="D8" s="2820"/>
      <c r="E8" s="2817" t="s">
        <v>1658</v>
      </c>
      <c r="F8" s="2295"/>
      <c r="G8" s="2295"/>
      <c r="H8" s="2295"/>
      <c r="I8" s="2295"/>
      <c r="J8" s="2295"/>
      <c r="K8" s="2295"/>
      <c r="L8" s="2295"/>
      <c r="M8" s="2295"/>
      <c r="N8" s="2295"/>
      <c r="O8" s="2295"/>
      <c r="P8" s="2295"/>
      <c r="Q8" s="2295"/>
      <c r="R8" s="2295"/>
      <c r="S8" s="2295"/>
      <c r="T8" s="2295"/>
      <c r="U8" s="2295"/>
      <c r="V8" s="2295"/>
      <c r="W8" s="2295"/>
      <c r="X8" s="2295"/>
      <c r="Y8" s="2295"/>
      <c r="Z8" s="2295"/>
    </row>
    <row r="9" spans="1:26" ht="15.75" customHeight="1">
      <c r="A9" s="2295"/>
      <c r="B9" s="2295"/>
      <c r="C9" s="2295"/>
      <c r="D9" s="2295"/>
      <c r="E9" s="2295"/>
      <c r="F9" s="2295"/>
      <c r="G9" s="2295"/>
      <c r="H9" s="2295"/>
      <c r="I9" s="2295"/>
      <c r="J9" s="2295"/>
      <c r="K9" s="2295"/>
      <c r="L9" s="2295"/>
      <c r="M9" s="2295"/>
      <c r="N9" s="2295"/>
      <c r="O9" s="2295"/>
      <c r="P9" s="2295"/>
      <c r="Q9" s="2295"/>
      <c r="R9" s="2295"/>
      <c r="S9" s="2295"/>
      <c r="T9" s="2295"/>
      <c r="U9" s="2295"/>
      <c r="V9" s="2295"/>
      <c r="W9" s="2295"/>
      <c r="X9" s="2295"/>
      <c r="Y9" s="2295"/>
      <c r="Z9" s="2295"/>
    </row>
    <row r="10" spans="1:26" ht="9" customHeight="1">
      <c r="A10" s="942"/>
      <c r="B10" s="942"/>
      <c r="C10" s="942"/>
      <c r="D10" s="942"/>
      <c r="E10" s="942"/>
      <c r="F10" s="942"/>
      <c r="G10" s="942"/>
      <c r="H10" s="942"/>
      <c r="I10" s="942"/>
      <c r="J10" s="942"/>
      <c r="K10" s="942"/>
      <c r="L10" s="942"/>
      <c r="M10" s="942"/>
      <c r="N10" s="942"/>
      <c r="O10" s="942"/>
      <c r="P10" s="942"/>
      <c r="Q10" s="942"/>
      <c r="R10" s="942"/>
      <c r="S10" s="942"/>
      <c r="T10" s="942"/>
      <c r="U10" s="942"/>
      <c r="V10" s="942"/>
      <c r="W10" s="942"/>
      <c r="X10" s="942"/>
      <c r="Y10" s="942"/>
      <c r="Z10" s="648"/>
    </row>
    <row r="11" spans="1:26" ht="21.75" customHeight="1">
      <c r="A11" s="942"/>
      <c r="B11" s="437"/>
      <c r="C11" s="437" t="s">
        <v>283</v>
      </c>
      <c r="D11" s="437"/>
      <c r="E11" s="437"/>
      <c r="F11" s="140"/>
      <c r="G11" s="37"/>
      <c r="H11" s="37"/>
      <c r="I11" s="623"/>
      <c r="J11" s="623"/>
      <c r="K11" s="623"/>
      <c r="L11" s="46"/>
      <c r="M11" s="624"/>
      <c r="N11" s="46"/>
      <c r="O11" s="623"/>
      <c r="P11" s="623"/>
      <c r="Q11" s="623"/>
      <c r="R11" s="37"/>
      <c r="S11" s="37"/>
      <c r="T11" s="140"/>
      <c r="U11" s="4738" t="s">
        <v>257</v>
      </c>
      <c r="V11" s="4739"/>
      <c r="W11" s="4739"/>
      <c r="X11" s="4739"/>
      <c r="Y11" s="117"/>
      <c r="Z11" s="648"/>
    </row>
    <row r="12" spans="1:26" ht="27.75" customHeight="1">
      <c r="A12" s="942"/>
      <c r="B12" s="486"/>
      <c r="C12" s="797" t="s">
        <v>302</v>
      </c>
      <c r="D12" s="486"/>
      <c r="E12" s="486"/>
      <c r="F12" s="140"/>
      <c r="G12" s="4649" t="s">
        <v>284</v>
      </c>
      <c r="H12" s="4650"/>
      <c r="I12" s="4650"/>
      <c r="J12" s="4650"/>
      <c r="K12" s="4650"/>
      <c r="L12" s="4650"/>
      <c r="M12" s="4650"/>
      <c r="N12" s="4650"/>
      <c r="O12" s="4650"/>
      <c r="P12" s="4650"/>
      <c r="Q12" s="4650"/>
      <c r="R12" s="4650"/>
      <c r="S12" s="4650"/>
      <c r="T12" s="4651"/>
      <c r="U12" s="4744">
        <f>TaxYear</f>
        <v>2014</v>
      </c>
      <c r="V12" s="4185"/>
      <c r="W12" s="4185"/>
      <c r="X12" s="4185"/>
      <c r="Y12" s="117"/>
      <c r="Z12" s="648"/>
    </row>
    <row r="13" spans="1:26" ht="13.5" customHeight="1">
      <c r="A13" s="942"/>
      <c r="B13" s="51"/>
      <c r="C13" s="51" t="s">
        <v>303</v>
      </c>
      <c r="D13" s="51"/>
      <c r="E13" s="51"/>
      <c r="F13" s="140"/>
      <c r="G13" s="4652" t="s">
        <v>1776</v>
      </c>
      <c r="H13" s="4653"/>
      <c r="I13" s="4653"/>
      <c r="J13" s="4653"/>
      <c r="K13" s="4653"/>
      <c r="L13" s="4653"/>
      <c r="M13" s="4653"/>
      <c r="N13" s="4653"/>
      <c r="O13" s="4653"/>
      <c r="P13" s="4653"/>
      <c r="Q13" s="4653"/>
      <c r="R13" s="4653"/>
      <c r="S13" s="4653"/>
      <c r="T13" s="4654"/>
      <c r="U13" s="46"/>
      <c r="V13" s="527" t="s">
        <v>304</v>
      </c>
      <c r="W13" s="37"/>
      <c r="X13" s="37"/>
      <c r="Y13" s="117"/>
      <c r="Z13" s="648"/>
    </row>
    <row r="14" spans="1:26" ht="12.75" customHeight="1" thickBot="1">
      <c r="A14" s="942"/>
      <c r="B14" s="625"/>
      <c r="C14" s="626" t="str">
        <f>"Internal Revenue Service  (99)"</f>
        <v>Internal Revenue Service  (99)</v>
      </c>
      <c r="D14" s="626"/>
      <c r="E14" s="626"/>
      <c r="F14" s="141"/>
      <c r="G14" s="4648" t="s">
        <v>1189</v>
      </c>
      <c r="H14" s="4401"/>
      <c r="I14" s="4401"/>
      <c r="J14" s="4401"/>
      <c r="K14" s="4401"/>
      <c r="L14" s="4401"/>
      <c r="M14" s="4401"/>
      <c r="N14" s="4401"/>
      <c r="O14" s="4401"/>
      <c r="P14" s="4401"/>
      <c r="Q14" s="4401"/>
      <c r="R14" s="4401"/>
      <c r="S14" s="4401"/>
      <c r="T14" s="4402"/>
      <c r="U14" s="55"/>
      <c r="V14" s="416" t="s">
        <v>351</v>
      </c>
      <c r="W14" s="55"/>
      <c r="X14" s="55"/>
      <c r="Y14" s="117"/>
      <c r="Z14" s="648"/>
    </row>
    <row r="15" spans="1:26" ht="12" customHeight="1">
      <c r="A15" s="942"/>
      <c r="B15" s="681" t="s">
        <v>791</v>
      </c>
      <c r="C15" s="681"/>
      <c r="D15" s="681"/>
      <c r="E15" s="681"/>
      <c r="F15" s="185"/>
      <c r="G15" s="185"/>
      <c r="H15" s="185"/>
      <c r="I15" s="185"/>
      <c r="J15" s="185"/>
      <c r="K15" s="185"/>
      <c r="L15" s="417"/>
      <c r="M15" s="417"/>
      <c r="N15" s="417"/>
      <c r="O15" s="2776"/>
      <c r="P15" s="4664" t="s">
        <v>1211</v>
      </c>
      <c r="Q15" s="4665"/>
      <c r="R15" s="4665"/>
      <c r="S15" s="4665"/>
      <c r="T15" s="4665"/>
      <c r="U15" s="4740" t="str">
        <f>IF(B6&lt;&gt;1,"",IF(D4&lt;&gt;"",SS_Yours,IF(D8&lt;&gt;"",SS_Spouse,"")))</f>
        <v/>
      </c>
      <c r="V15" s="4741"/>
      <c r="W15" s="4741"/>
      <c r="X15" s="4741"/>
      <c r="Y15" s="1048"/>
      <c r="Z15" s="658"/>
    </row>
    <row r="16" spans="1:26" ht="16.5" customHeight="1">
      <c r="A16" s="942"/>
      <c r="B16" s="4675" t="str">
        <f>IF(B6&lt;&gt;1,"",IF(D4&lt;&gt;"",NameYours,IF(D8&lt;&gt;"",NameSpouse,"")))</f>
        <v/>
      </c>
      <c r="C16" s="4676"/>
      <c r="D16" s="4676"/>
      <c r="E16" s="4676"/>
      <c r="F16" s="4676"/>
      <c r="G16" s="4676"/>
      <c r="H16" s="4676"/>
      <c r="I16" s="4676"/>
      <c r="J16" s="4676"/>
      <c r="K16" s="4676"/>
      <c r="L16" s="4676"/>
      <c r="M16" s="4676"/>
      <c r="N16" s="4676"/>
      <c r="O16" s="4677"/>
      <c r="P16" s="4666"/>
      <c r="Q16" s="4667"/>
      <c r="R16" s="4667"/>
      <c r="S16" s="4667"/>
      <c r="T16" s="4667"/>
      <c r="U16" s="4742"/>
      <c r="V16" s="4743"/>
      <c r="W16" s="4743"/>
      <c r="X16" s="4743"/>
      <c r="Y16" s="117"/>
      <c r="Z16" s="648"/>
    </row>
    <row r="17" spans="1:26" ht="20.25" customHeight="1">
      <c r="A17" s="942"/>
      <c r="B17" s="2969" t="s">
        <v>1777</v>
      </c>
      <c r="C17" s="1649"/>
      <c r="D17" s="1649"/>
      <c r="E17" s="1649"/>
      <c r="F17" s="4681" t="s">
        <v>1778</v>
      </c>
      <c r="G17" s="4682"/>
      <c r="H17" s="4682"/>
      <c r="I17" s="4682"/>
      <c r="J17" s="4682"/>
      <c r="K17" s="4682"/>
      <c r="L17" s="4682"/>
      <c r="M17" s="4682"/>
      <c r="N17" s="4682"/>
      <c r="O17" s="4682"/>
      <c r="P17" s="4682"/>
      <c r="Q17" s="4682"/>
      <c r="R17" s="1649"/>
      <c r="S17" s="1649"/>
      <c r="T17" s="1649"/>
      <c r="U17" s="1649"/>
      <c r="V17" s="1649"/>
      <c r="W17" s="1649"/>
      <c r="X17" s="1649"/>
      <c r="Y17" s="117"/>
      <c r="Z17" s="648"/>
    </row>
    <row r="18" spans="1:26" ht="19.5" customHeight="1">
      <c r="A18" s="942"/>
      <c r="B18" s="628" t="s">
        <v>676</v>
      </c>
      <c r="C18" s="630"/>
      <c r="D18" s="630"/>
      <c r="E18" s="630"/>
      <c r="F18" s="37"/>
      <c r="G18" s="37"/>
      <c r="H18" s="37"/>
      <c r="I18" s="37"/>
      <c r="J18" s="37"/>
      <c r="K18" s="37"/>
      <c r="L18" s="46"/>
      <c r="M18" s="46"/>
      <c r="N18" s="46"/>
      <c r="O18" s="37"/>
      <c r="P18" s="37"/>
      <c r="Q18" s="37"/>
      <c r="R18" s="37"/>
      <c r="S18" s="37"/>
      <c r="T18" s="37"/>
      <c r="U18" s="37"/>
      <c r="V18" s="37"/>
      <c r="W18" s="37"/>
      <c r="X18" s="37"/>
      <c r="Y18" s="117"/>
      <c r="Z18" s="648"/>
    </row>
    <row r="19" spans="1:26" s="938" customFormat="1" ht="19.5" customHeight="1">
      <c r="A19" s="1033"/>
      <c r="B19" s="2777" t="s">
        <v>1640</v>
      </c>
      <c r="C19" s="1320"/>
      <c r="D19" s="1320"/>
      <c r="E19" s="1320"/>
      <c r="F19" s="613"/>
      <c r="G19" s="613"/>
      <c r="H19" s="613"/>
      <c r="I19" s="613"/>
      <c r="J19" s="613"/>
      <c r="K19" s="613"/>
      <c r="L19" s="144"/>
      <c r="M19" s="144"/>
      <c r="N19" s="144"/>
      <c r="O19" s="613"/>
      <c r="P19" s="613"/>
      <c r="Q19" s="613"/>
      <c r="R19" s="613"/>
      <c r="S19" s="613"/>
      <c r="T19" s="613"/>
      <c r="U19" s="613"/>
      <c r="V19" s="613"/>
      <c r="W19" s="613"/>
      <c r="X19" s="613"/>
      <c r="Y19" s="1052"/>
      <c r="Z19" s="858"/>
    </row>
    <row r="20" spans="1:26">
      <c r="A20" s="942"/>
      <c r="B20" s="37"/>
      <c r="C20" s="37"/>
      <c r="D20" s="37"/>
      <c r="E20" s="37"/>
      <c r="F20" s="37"/>
      <c r="G20" s="37"/>
      <c r="H20" s="37"/>
      <c r="I20" s="37"/>
      <c r="J20" s="37"/>
      <c r="K20" s="37"/>
      <c r="L20" s="46"/>
      <c r="M20" s="1368" t="str">
        <f>IF(AND(C43="",P43=""),"In Row 43, indicate which Schedule SE Form you are using.","")</f>
        <v>In Row 43, indicate which Schedule SE Form you are using.</v>
      </c>
      <c r="N20" s="46"/>
      <c r="O20" s="37"/>
      <c r="P20" s="37"/>
      <c r="Q20" s="37"/>
      <c r="R20" s="37"/>
      <c r="S20" s="37"/>
      <c r="T20" s="37"/>
      <c r="U20" s="37"/>
      <c r="V20" s="37"/>
      <c r="W20" s="37"/>
      <c r="X20" s="37"/>
      <c r="Y20" s="117"/>
      <c r="Z20" s="648"/>
    </row>
    <row r="21" spans="1:26" ht="18.75" customHeight="1">
      <c r="A21" s="942"/>
      <c r="B21" s="37"/>
      <c r="C21" s="37"/>
      <c r="D21" s="37"/>
      <c r="E21" s="37"/>
      <c r="F21" s="46"/>
      <c r="G21" s="4668" t="str">
        <f>"Did you receive wages or tips in "&amp;TaxYear&amp;"?"</f>
        <v>Did you receive wages or tips in 2014?</v>
      </c>
      <c r="H21" s="4669"/>
      <c r="I21" s="4669"/>
      <c r="J21" s="4669"/>
      <c r="K21" s="4669"/>
      <c r="L21" s="4669"/>
      <c r="M21" s="4669"/>
      <c r="N21" s="4669"/>
      <c r="O21" s="4669"/>
      <c r="P21" s="4669"/>
      <c r="Q21" s="4669"/>
      <c r="R21" s="4670"/>
      <c r="S21" s="37"/>
      <c r="T21" s="37"/>
      <c r="U21" s="37"/>
      <c r="V21" s="37"/>
      <c r="W21" s="37"/>
      <c r="X21" s="37"/>
      <c r="Y21" s="117"/>
      <c r="Z21" s="648"/>
    </row>
    <row r="22" spans="1:26">
      <c r="A22" s="942"/>
      <c r="B22" s="37"/>
      <c r="C22" s="37"/>
      <c r="D22" s="37"/>
      <c r="E22" s="37"/>
      <c r="F22" s="59"/>
      <c r="G22" s="37"/>
      <c r="H22" s="37"/>
      <c r="I22" s="37"/>
      <c r="J22" s="37"/>
      <c r="K22" s="37"/>
      <c r="L22" s="46"/>
      <c r="M22" s="46"/>
      <c r="N22" s="46"/>
      <c r="O22" s="37"/>
      <c r="P22" s="37"/>
      <c r="Q22" s="37"/>
      <c r="R22" s="37"/>
      <c r="S22" s="46"/>
      <c r="T22" s="37"/>
      <c r="U22" s="37"/>
      <c r="V22" s="37"/>
      <c r="W22" s="37"/>
      <c r="X22" s="37"/>
      <c r="Y22" s="117"/>
      <c r="Z22" s="648"/>
    </row>
    <row r="23" spans="1:26" ht="13.5" customHeight="1">
      <c r="A23" s="942"/>
      <c r="B23" s="37"/>
      <c r="C23" s="37"/>
      <c r="D23" s="37"/>
      <c r="E23" s="37"/>
      <c r="F23" s="682" t="s">
        <v>461</v>
      </c>
      <c r="G23" s="37"/>
      <c r="H23" s="37"/>
      <c r="I23" s="67"/>
      <c r="J23" s="46"/>
      <c r="K23" s="46"/>
      <c r="L23" s="46"/>
      <c r="M23" s="46"/>
      <c r="N23" s="46"/>
      <c r="O23" s="37"/>
      <c r="P23" s="37"/>
      <c r="Q23" s="37"/>
      <c r="R23" s="37"/>
      <c r="S23" s="67"/>
      <c r="T23" s="631" t="s">
        <v>259</v>
      </c>
      <c r="U23" s="37"/>
      <c r="V23" s="37"/>
      <c r="W23" s="37"/>
      <c r="X23" s="37"/>
      <c r="Y23" s="117"/>
      <c r="Z23" s="648"/>
    </row>
    <row r="24" spans="1:26" ht="14.25" customHeight="1">
      <c r="A24" s="942"/>
      <c r="B24" s="632"/>
      <c r="C24" s="633" t="s">
        <v>501</v>
      </c>
      <c r="D24" s="633"/>
      <c r="E24" s="633"/>
      <c r="F24" s="503"/>
      <c r="G24" s="503"/>
      <c r="H24" s="503"/>
      <c r="I24" s="503"/>
      <c r="J24" s="503"/>
      <c r="K24" s="634"/>
      <c r="L24" s="99"/>
      <c r="M24" s="99"/>
      <c r="N24" s="99"/>
      <c r="O24" s="632"/>
      <c r="P24" s="633" t="s">
        <v>246</v>
      </c>
      <c r="Q24" s="633"/>
      <c r="R24" s="633"/>
      <c r="S24" s="503"/>
      <c r="T24" s="503"/>
      <c r="U24" s="503"/>
      <c r="V24" s="634"/>
      <c r="W24" s="185"/>
      <c r="X24" s="185"/>
      <c r="Y24" s="1048"/>
      <c r="Z24" s="658"/>
    </row>
    <row r="25" spans="1:26" ht="11.25" customHeight="1">
      <c r="A25" s="942"/>
      <c r="B25" s="615"/>
      <c r="C25" s="381" t="s">
        <v>660</v>
      </c>
      <c r="D25" s="381"/>
      <c r="E25" s="381"/>
      <c r="F25" s="380"/>
      <c r="G25" s="380"/>
      <c r="H25" s="380"/>
      <c r="I25" s="380"/>
      <c r="J25" s="380"/>
      <c r="K25" s="616"/>
      <c r="L25" s="635" t="s">
        <v>460</v>
      </c>
      <c r="M25" s="380"/>
      <c r="N25" s="380"/>
      <c r="O25" s="615"/>
      <c r="P25" s="381" t="s">
        <v>731</v>
      </c>
      <c r="Q25" s="381"/>
      <c r="R25" s="381"/>
      <c r="S25" s="380"/>
      <c r="T25" s="380"/>
      <c r="U25" s="380"/>
      <c r="V25" s="616"/>
      <c r="W25" s="635" t="s">
        <v>460</v>
      </c>
      <c r="X25" s="635"/>
      <c r="Y25" s="1049"/>
      <c r="Z25" s="659"/>
    </row>
    <row r="26" spans="1:26" ht="11.25" customHeight="1">
      <c r="A26" s="942"/>
      <c r="B26" s="615"/>
      <c r="C26" s="381" t="s">
        <v>555</v>
      </c>
      <c r="D26" s="381"/>
      <c r="E26" s="381"/>
      <c r="F26" s="380"/>
      <c r="G26" s="380"/>
      <c r="H26" s="380"/>
      <c r="I26" s="380"/>
      <c r="J26" s="380"/>
      <c r="K26" s="616"/>
      <c r="L26" s="380"/>
      <c r="M26" s="380"/>
      <c r="N26" s="380"/>
      <c r="O26" s="615"/>
      <c r="P26" s="381" t="str">
        <f>"self-employment more than "&amp;TEXT(S62,"$0,000")&amp;"?"</f>
        <v>self-employment more than $117,000?</v>
      </c>
      <c r="Q26" s="381"/>
      <c r="R26" s="381"/>
      <c r="S26" s="380"/>
      <c r="T26" s="380"/>
      <c r="U26" s="380"/>
      <c r="V26" s="616"/>
      <c r="W26" s="380"/>
      <c r="X26" s="380"/>
      <c r="Y26" s="1049"/>
      <c r="Z26" s="659"/>
    </row>
    <row r="27" spans="1:26" ht="11.25" customHeight="1">
      <c r="A27" s="942"/>
      <c r="B27" s="636"/>
      <c r="C27" s="637" t="s">
        <v>502</v>
      </c>
      <c r="D27" s="637"/>
      <c r="E27" s="637"/>
      <c r="F27" s="638"/>
      <c r="G27" s="638"/>
      <c r="H27" s="638"/>
      <c r="I27" s="638"/>
      <c r="J27" s="638"/>
      <c r="K27" s="639"/>
      <c r="L27" s="380"/>
      <c r="M27" s="380"/>
      <c r="N27" s="380"/>
      <c r="O27" s="636"/>
      <c r="P27" s="638"/>
      <c r="Q27" s="638"/>
      <c r="R27" s="637"/>
      <c r="S27" s="638"/>
      <c r="T27" s="638"/>
      <c r="U27" s="638"/>
      <c r="V27" s="639"/>
      <c r="W27" s="380"/>
      <c r="X27" s="380"/>
      <c r="Y27" s="1049"/>
      <c r="Z27" s="659"/>
    </row>
    <row r="28" spans="1:26" ht="6.75" customHeight="1">
      <c r="A28" s="942"/>
      <c r="B28" s="37"/>
      <c r="C28" s="37"/>
      <c r="D28" s="37"/>
      <c r="E28" s="37"/>
      <c r="F28" s="87"/>
      <c r="G28" s="37"/>
      <c r="H28" s="37"/>
      <c r="I28" s="37"/>
      <c r="J28" s="37"/>
      <c r="K28" s="37"/>
      <c r="L28" s="46"/>
      <c r="M28" s="46"/>
      <c r="N28" s="46"/>
      <c r="O28" s="37"/>
      <c r="P28" s="37"/>
      <c r="Q28" s="37"/>
      <c r="R28" s="37"/>
      <c r="S28" s="87"/>
      <c r="T28" s="87"/>
      <c r="U28" s="37"/>
      <c r="V28" s="37"/>
      <c r="W28" s="46"/>
      <c r="X28" s="46"/>
      <c r="Y28" s="117"/>
      <c r="Z28" s="648"/>
    </row>
    <row r="29" spans="1:26">
      <c r="A29" s="942"/>
      <c r="B29" s="37"/>
      <c r="C29" s="37"/>
      <c r="D29" s="37"/>
      <c r="E29" s="37"/>
      <c r="F29" s="682" t="s">
        <v>461</v>
      </c>
      <c r="G29" s="37"/>
      <c r="H29" s="37"/>
      <c r="I29" s="37"/>
      <c r="J29" s="37"/>
      <c r="K29" s="37"/>
      <c r="L29" s="46"/>
      <c r="M29" s="46"/>
      <c r="N29" s="46"/>
      <c r="O29" s="37"/>
      <c r="P29" s="37"/>
      <c r="Q29" s="37"/>
      <c r="R29" s="37"/>
      <c r="S29" s="46"/>
      <c r="T29" s="49" t="s">
        <v>260</v>
      </c>
      <c r="U29" s="37"/>
      <c r="V29" s="37"/>
      <c r="W29" s="46"/>
      <c r="X29" s="46"/>
      <c r="Y29" s="117"/>
      <c r="Z29" s="648"/>
    </row>
    <row r="30" spans="1:26" ht="6" customHeight="1">
      <c r="A30" s="942"/>
      <c r="B30" s="632"/>
      <c r="C30" s="633"/>
      <c r="D30" s="633"/>
      <c r="E30" s="633"/>
      <c r="F30" s="503"/>
      <c r="G30" s="503"/>
      <c r="H30" s="503"/>
      <c r="I30" s="503"/>
      <c r="J30" s="503"/>
      <c r="K30" s="634"/>
      <c r="L30" s="46"/>
      <c r="M30" s="46"/>
      <c r="N30" s="46"/>
      <c r="O30" s="640"/>
      <c r="P30" s="87"/>
      <c r="Q30" s="87"/>
      <c r="R30" s="87"/>
      <c r="S30" s="87"/>
      <c r="T30" s="87"/>
      <c r="U30" s="87"/>
      <c r="V30" s="85"/>
      <c r="W30" s="46"/>
      <c r="X30" s="46"/>
      <c r="Y30" s="117"/>
      <c r="Z30" s="648"/>
    </row>
    <row r="31" spans="1:26">
      <c r="A31" s="942"/>
      <c r="B31" s="615"/>
      <c r="C31" s="381" t="s">
        <v>334</v>
      </c>
      <c r="D31" s="381"/>
      <c r="E31" s="381"/>
      <c r="F31" s="380"/>
      <c r="G31" s="380"/>
      <c r="H31" s="380"/>
      <c r="I31" s="380"/>
      <c r="J31" s="380"/>
      <c r="K31" s="616"/>
      <c r="L31" s="635" t="s">
        <v>460</v>
      </c>
      <c r="M31" s="46"/>
      <c r="N31" s="46"/>
      <c r="O31" s="560"/>
      <c r="P31" s="943" t="s">
        <v>798</v>
      </c>
      <c r="Q31" s="46"/>
      <c r="R31" s="46"/>
      <c r="S31" s="46"/>
      <c r="T31" s="46"/>
      <c r="U31" s="46"/>
      <c r="V31" s="641"/>
      <c r="W31" s="683" t="s">
        <v>460</v>
      </c>
      <c r="X31" s="46"/>
      <c r="Y31" s="117"/>
      <c r="Z31" s="648"/>
    </row>
    <row r="32" spans="1:26">
      <c r="A32" s="942"/>
      <c r="B32" s="615"/>
      <c r="C32" s="381" t="s">
        <v>1190</v>
      </c>
      <c r="D32" s="381"/>
      <c r="E32" s="381"/>
      <c r="F32" s="380"/>
      <c r="G32" s="380"/>
      <c r="H32" s="380"/>
      <c r="I32" s="380"/>
      <c r="J32" s="380"/>
      <c r="K32" s="616"/>
      <c r="L32" s="46"/>
      <c r="M32" s="46"/>
      <c r="N32" s="46"/>
      <c r="O32" s="560"/>
      <c r="P32" s="381" t="s">
        <v>556</v>
      </c>
      <c r="Q32" s="46"/>
      <c r="R32" s="46"/>
      <c r="S32" s="46"/>
      <c r="T32" s="46"/>
      <c r="U32" s="46"/>
      <c r="V32" s="641"/>
      <c r="W32" s="46"/>
      <c r="X32" s="46"/>
      <c r="Y32" s="117"/>
      <c r="Z32" s="648"/>
    </row>
    <row r="33" spans="1:26" ht="7.5" customHeight="1">
      <c r="A33" s="942"/>
      <c r="B33" s="636"/>
      <c r="C33" s="637"/>
      <c r="D33" s="637"/>
      <c r="E33" s="637"/>
      <c r="F33" s="638"/>
      <c r="G33" s="638"/>
      <c r="H33" s="638"/>
      <c r="I33" s="638"/>
      <c r="J33" s="638"/>
      <c r="K33" s="639"/>
      <c r="L33" s="46"/>
      <c r="M33" s="46"/>
      <c r="N33" s="46"/>
      <c r="O33" s="70"/>
      <c r="P33" s="67"/>
      <c r="Q33" s="67"/>
      <c r="R33" s="67"/>
      <c r="S33" s="67"/>
      <c r="T33" s="67"/>
      <c r="U33" s="67"/>
      <c r="V33" s="74"/>
      <c r="W33" s="46"/>
      <c r="X33" s="46"/>
      <c r="Y33" s="117"/>
      <c r="Z33" s="648"/>
    </row>
    <row r="34" spans="1:26" ht="6.75" customHeight="1">
      <c r="A34" s="942"/>
      <c r="B34" s="37"/>
      <c r="C34" s="37"/>
      <c r="D34" s="37"/>
      <c r="E34" s="37"/>
      <c r="F34" s="87"/>
      <c r="G34" s="37"/>
      <c r="H34" s="37"/>
      <c r="I34" s="37"/>
      <c r="J34" s="37"/>
      <c r="K34" s="37"/>
      <c r="L34" s="46"/>
      <c r="M34" s="46"/>
      <c r="N34" s="46"/>
      <c r="O34" s="37"/>
      <c r="P34" s="37"/>
      <c r="Q34" s="37"/>
      <c r="R34" s="37"/>
      <c r="S34" s="46"/>
      <c r="T34" s="46"/>
      <c r="U34" s="37"/>
      <c r="V34" s="37"/>
      <c r="W34" s="46"/>
      <c r="X34" s="46"/>
      <c r="Y34" s="117"/>
      <c r="Z34" s="648"/>
    </row>
    <row r="35" spans="1:26">
      <c r="A35" s="942"/>
      <c r="B35" s="37"/>
      <c r="C35" s="37"/>
      <c r="D35" s="37"/>
      <c r="E35" s="1642">
        <v>108.28</v>
      </c>
      <c r="F35" s="682" t="s">
        <v>461</v>
      </c>
      <c r="G35" s="37"/>
      <c r="H35" s="37"/>
      <c r="I35" s="37"/>
      <c r="J35" s="37"/>
      <c r="K35" s="37"/>
      <c r="L35" s="46"/>
      <c r="M35" s="46"/>
      <c r="N35" s="46"/>
      <c r="O35" s="37"/>
      <c r="P35" s="37"/>
      <c r="Q35" s="37"/>
      <c r="R35" s="37"/>
      <c r="S35" s="67"/>
      <c r="T35" s="49" t="s">
        <v>260</v>
      </c>
      <c r="U35" s="37"/>
      <c r="V35" s="37"/>
      <c r="W35" s="46"/>
      <c r="X35" s="46"/>
      <c r="Y35" s="117"/>
      <c r="Z35" s="648"/>
    </row>
    <row r="36" spans="1:26" ht="6" customHeight="1">
      <c r="A36" s="942"/>
      <c r="B36" s="632"/>
      <c r="C36" s="633"/>
      <c r="D36" s="633"/>
      <c r="E36" s="633"/>
      <c r="F36" s="503"/>
      <c r="G36" s="503"/>
      <c r="H36" s="503"/>
      <c r="I36" s="503"/>
      <c r="J36" s="503"/>
      <c r="K36" s="634"/>
      <c r="L36" s="46"/>
      <c r="M36" s="46"/>
      <c r="N36" s="46"/>
      <c r="O36" s="632"/>
      <c r="P36" s="503"/>
      <c r="Q36" s="503"/>
      <c r="R36" s="633"/>
      <c r="S36" s="503"/>
      <c r="T36" s="503"/>
      <c r="U36" s="503"/>
      <c r="V36" s="634"/>
      <c r="W36" s="46"/>
      <c r="X36" s="46"/>
      <c r="Y36" s="117"/>
      <c r="Z36" s="648"/>
    </row>
    <row r="37" spans="1:26">
      <c r="A37" s="942"/>
      <c r="B37" s="615"/>
      <c r="C37" s="381" t="s">
        <v>258</v>
      </c>
      <c r="D37" s="381"/>
      <c r="E37" s="381"/>
      <c r="F37" s="380"/>
      <c r="G37" s="380"/>
      <c r="H37" s="380"/>
      <c r="I37" s="380"/>
      <c r="J37" s="380"/>
      <c r="K37" s="616"/>
      <c r="L37" s="635" t="s">
        <v>460</v>
      </c>
      <c r="M37" s="46"/>
      <c r="N37" s="77" t="s">
        <v>461</v>
      </c>
      <c r="O37" s="615"/>
      <c r="P37" s="381" t="s">
        <v>390</v>
      </c>
      <c r="Q37" s="381"/>
      <c r="R37" s="381"/>
      <c r="S37" s="380"/>
      <c r="T37" s="380"/>
      <c r="U37" s="380"/>
      <c r="V37" s="616"/>
      <c r="W37" s="683" t="s">
        <v>460</v>
      </c>
      <c r="X37" s="635"/>
      <c r="Y37" s="117"/>
      <c r="Z37" s="648"/>
    </row>
    <row r="38" spans="1:26">
      <c r="A38" s="942"/>
      <c r="B38" s="615"/>
      <c r="C38" s="381" t="str">
        <f>"W-2 of "&amp;TEXT(E35,"$0.00")&amp;" or more?"</f>
        <v>W-2 of $108.28 or more?</v>
      </c>
      <c r="D38" s="381"/>
      <c r="E38" s="381"/>
      <c r="F38" s="380"/>
      <c r="G38" s="380"/>
      <c r="H38" s="380"/>
      <c r="I38" s="380"/>
      <c r="J38" s="380"/>
      <c r="K38" s="616"/>
      <c r="L38" s="46"/>
      <c r="M38" s="46"/>
      <c r="N38" s="46"/>
      <c r="O38" s="615"/>
      <c r="P38" s="381" t="s">
        <v>391</v>
      </c>
      <c r="Q38" s="381"/>
      <c r="R38" s="381"/>
      <c r="S38" s="380"/>
      <c r="T38" s="380"/>
      <c r="U38" s="380"/>
      <c r="V38" s="616"/>
      <c r="W38" s="46"/>
      <c r="X38" s="46"/>
      <c r="Y38" s="117"/>
      <c r="Z38" s="648"/>
    </row>
    <row r="39" spans="1:26" ht="6.75" customHeight="1">
      <c r="A39" s="942"/>
      <c r="B39" s="636"/>
      <c r="C39" s="637"/>
      <c r="D39" s="637"/>
      <c r="E39" s="637"/>
      <c r="F39" s="638"/>
      <c r="G39" s="638"/>
      <c r="H39" s="638"/>
      <c r="I39" s="638"/>
      <c r="J39" s="638"/>
      <c r="K39" s="639"/>
      <c r="L39" s="46"/>
      <c r="M39" s="46"/>
      <c r="N39" s="46"/>
      <c r="O39" s="636"/>
      <c r="P39" s="638"/>
      <c r="Q39" s="638"/>
      <c r="R39" s="637"/>
      <c r="S39" s="638"/>
      <c r="T39" s="638"/>
      <c r="U39" s="638"/>
      <c r="V39" s="639"/>
      <c r="W39" s="46"/>
      <c r="X39" s="46"/>
      <c r="Y39" s="117"/>
      <c r="Z39" s="648"/>
    </row>
    <row r="40" spans="1:26" ht="6.75" customHeight="1">
      <c r="A40" s="942"/>
      <c r="B40" s="37"/>
      <c r="C40" s="37"/>
      <c r="D40" s="37"/>
      <c r="E40" s="37"/>
      <c r="F40" s="87"/>
      <c r="G40" s="37"/>
      <c r="H40" s="37"/>
      <c r="I40" s="37"/>
      <c r="J40" s="37"/>
      <c r="K40" s="37"/>
      <c r="L40" s="46"/>
      <c r="M40" s="46"/>
      <c r="N40" s="46"/>
      <c r="O40" s="37"/>
      <c r="P40" s="37"/>
      <c r="Q40" s="37"/>
      <c r="R40" s="37"/>
      <c r="S40" s="37"/>
      <c r="T40" s="87"/>
      <c r="U40" s="37"/>
      <c r="V40" s="37"/>
      <c r="W40" s="46"/>
      <c r="X40" s="46"/>
      <c r="Y40" s="117"/>
      <c r="Z40" s="648"/>
    </row>
    <row r="41" spans="1:26">
      <c r="A41" s="942"/>
      <c r="B41" s="37"/>
      <c r="C41" s="37"/>
      <c r="D41" s="37"/>
      <c r="E41" s="37"/>
      <c r="F41" s="682" t="s">
        <v>461</v>
      </c>
      <c r="G41" s="37"/>
      <c r="H41" s="37"/>
      <c r="I41" s="37"/>
      <c r="J41" s="37"/>
      <c r="K41" s="37"/>
      <c r="L41" s="46"/>
      <c r="M41" s="46"/>
      <c r="N41" s="46"/>
      <c r="O41" s="37"/>
      <c r="P41" s="37"/>
      <c r="Q41" s="37"/>
      <c r="R41" s="37"/>
      <c r="S41" s="37"/>
      <c r="T41" s="67"/>
      <c r="U41" s="37"/>
      <c r="V41" s="37"/>
      <c r="W41" s="67"/>
      <c r="X41" s="46"/>
      <c r="Y41" s="117"/>
      <c r="Z41" s="648"/>
    </row>
    <row r="42" spans="1:26" ht="6" customHeight="1" thickBot="1">
      <c r="A42" s="942"/>
      <c r="B42" s="632"/>
      <c r="C42" s="633"/>
      <c r="D42" s="633"/>
      <c r="E42" s="633"/>
      <c r="F42" s="503"/>
      <c r="G42" s="503"/>
      <c r="H42" s="503"/>
      <c r="I42" s="503"/>
      <c r="J42" s="503"/>
      <c r="K42" s="634"/>
      <c r="L42" s="46"/>
      <c r="M42" s="46"/>
      <c r="N42" s="46"/>
      <c r="O42" s="632"/>
      <c r="P42" s="503"/>
      <c r="Q42" s="503"/>
      <c r="R42" s="633"/>
      <c r="S42" s="503"/>
      <c r="T42" s="503"/>
      <c r="U42" s="503"/>
      <c r="V42" s="503"/>
      <c r="W42" s="46"/>
      <c r="X42" s="85"/>
      <c r="Y42" s="117"/>
      <c r="Z42" s="648"/>
    </row>
    <row r="43" spans="1:26" ht="13.5" customHeight="1" thickBot="1">
      <c r="A43" s="942"/>
      <c r="B43" s="615"/>
      <c r="C43" s="2299"/>
      <c r="D43" s="643"/>
      <c r="E43" s="643"/>
      <c r="F43" s="1855" t="s">
        <v>1213</v>
      </c>
      <c r="G43" s="380"/>
      <c r="H43" s="380"/>
      <c r="I43" s="380"/>
      <c r="J43" s="380"/>
      <c r="K43" s="616"/>
      <c r="L43" s="46"/>
      <c r="M43" s="46"/>
      <c r="N43" s="641"/>
      <c r="O43" s="615"/>
      <c r="P43" s="2299"/>
      <c r="Q43" s="1856" t="s">
        <v>1214</v>
      </c>
      <c r="R43" s="643"/>
      <c r="S43" s="644"/>
      <c r="T43" s="644"/>
      <c r="U43" s="380"/>
      <c r="V43" s="380"/>
      <c r="W43" s="46"/>
      <c r="X43" s="641"/>
      <c r="Y43" s="117"/>
      <c r="Z43" s="663" t="str">
        <f>IF(AND(C43="",P43=""),"&lt;–  Check one.",IF(AND(C43&lt;&gt;"",P43&lt;&gt;""),"Check only one.",""))</f>
        <v>&lt;–  Check one.</v>
      </c>
    </row>
    <row r="44" spans="1:26" ht="6" customHeight="1">
      <c r="A44" s="942"/>
      <c r="B44" s="636"/>
      <c r="C44" s="637"/>
      <c r="D44" s="637"/>
      <c r="E44" s="637"/>
      <c r="F44" s="638"/>
      <c r="G44" s="638"/>
      <c r="H44" s="638"/>
      <c r="I44" s="638"/>
      <c r="J44" s="638"/>
      <c r="K44" s="639"/>
      <c r="L44" s="46"/>
      <c r="M44" s="46"/>
      <c r="N44" s="46"/>
      <c r="O44" s="636"/>
      <c r="P44" s="638"/>
      <c r="Q44" s="638"/>
      <c r="R44" s="637"/>
      <c r="S44" s="638"/>
      <c r="T44" s="638"/>
      <c r="U44" s="638"/>
      <c r="V44" s="638"/>
      <c r="W44" s="67"/>
      <c r="X44" s="74"/>
      <c r="Y44" s="117"/>
      <c r="Z44" s="648"/>
    </row>
    <row r="45" spans="1:26">
      <c r="A45" s="942"/>
      <c r="B45" s="67"/>
      <c r="C45" s="67"/>
      <c r="D45" s="67"/>
      <c r="E45" s="67"/>
      <c r="F45" s="67"/>
      <c r="G45" s="67"/>
      <c r="H45" s="67"/>
      <c r="I45" s="1372"/>
      <c r="J45" s="1372"/>
      <c r="K45" s="1372"/>
      <c r="L45" s="1369"/>
      <c r="M45" s="1371" t="str">
        <f>IF(AND($C$43="",$P$43=""),"Check one.  Hint: Try each to see which results in smallest tax consequence!",IF(AND($C$43&lt;&gt;"",$P$43&lt;&gt;""),"Check only one.",""))</f>
        <v>Check one.  Hint: Try each to see which results in smallest tax consequence!</v>
      </c>
      <c r="N45" s="1369"/>
      <c r="O45" s="67"/>
      <c r="P45" s="67"/>
      <c r="Q45" s="67"/>
      <c r="R45" s="67"/>
      <c r="S45" s="67"/>
      <c r="T45" s="67"/>
      <c r="U45" s="67"/>
      <c r="V45" s="67"/>
      <c r="W45" s="67"/>
      <c r="X45" s="67"/>
      <c r="Y45" s="117"/>
      <c r="Z45" s="648"/>
    </row>
    <row r="46" spans="1:26" ht="5.25" customHeight="1">
      <c r="A46" s="942"/>
      <c r="B46" s="37"/>
      <c r="C46" s="37"/>
      <c r="D46" s="37"/>
      <c r="E46" s="37"/>
      <c r="F46" s="37"/>
      <c r="G46" s="37"/>
      <c r="H46" s="37"/>
      <c r="I46" s="37"/>
      <c r="J46" s="37"/>
      <c r="K46" s="37"/>
      <c r="L46" s="46"/>
      <c r="M46" s="46"/>
      <c r="N46" s="46"/>
      <c r="O46" s="37"/>
      <c r="P46" s="37"/>
      <c r="Q46" s="37"/>
      <c r="R46" s="37"/>
      <c r="S46" s="37"/>
      <c r="T46" s="37"/>
      <c r="U46" s="37"/>
      <c r="V46" s="37"/>
      <c r="W46" s="37"/>
      <c r="X46" s="37"/>
      <c r="Y46" s="117"/>
      <c r="Z46" s="648"/>
    </row>
    <row r="47" spans="1:26" ht="15" customHeight="1">
      <c r="A47" s="942"/>
      <c r="B47" s="645" t="s">
        <v>282</v>
      </c>
      <c r="C47" s="169"/>
      <c r="D47" s="169"/>
      <c r="E47" s="169"/>
      <c r="F47" s="169"/>
      <c r="G47" s="169"/>
      <c r="H47" s="169"/>
      <c r="I47" s="169"/>
      <c r="J47" s="169"/>
      <c r="K47" s="169"/>
      <c r="L47" s="380"/>
      <c r="M47" s="380"/>
      <c r="N47" s="380"/>
      <c r="O47" s="169"/>
      <c r="P47" s="169"/>
      <c r="Q47" s="169"/>
      <c r="R47" s="169"/>
      <c r="S47" s="169"/>
      <c r="T47" s="169"/>
      <c r="U47" s="169"/>
      <c r="V47" s="169"/>
      <c r="W47" s="169"/>
      <c r="X47" s="169"/>
      <c r="Y47" s="1049"/>
      <c r="Z47" s="648"/>
    </row>
    <row r="48" spans="1:26" ht="6.75" customHeight="1" thickBot="1">
      <c r="A48" s="942"/>
      <c r="B48" s="67"/>
      <c r="C48" s="67"/>
      <c r="D48" s="67"/>
      <c r="E48" s="67"/>
      <c r="F48" s="67"/>
      <c r="G48" s="67"/>
      <c r="H48" s="67"/>
      <c r="I48" s="67"/>
      <c r="J48" s="67"/>
      <c r="K48" s="67"/>
      <c r="L48" s="67"/>
      <c r="M48" s="67"/>
      <c r="N48" s="67"/>
      <c r="O48" s="67"/>
      <c r="P48" s="67"/>
      <c r="Q48" s="67"/>
      <c r="R48" s="67"/>
      <c r="S48" s="67"/>
      <c r="T48" s="67"/>
      <c r="U48" s="67"/>
      <c r="V48" s="67"/>
      <c r="W48" s="67"/>
      <c r="X48" s="67"/>
      <c r="Y48" s="117"/>
      <c r="Z48" s="648"/>
    </row>
    <row r="49" spans="1:29" ht="12.75" customHeight="1">
      <c r="A49" s="942"/>
      <c r="B49" s="37"/>
      <c r="C49" s="472" t="s">
        <v>19</v>
      </c>
      <c r="D49" s="1609" t="s">
        <v>1191</v>
      </c>
      <c r="E49" s="37"/>
      <c r="F49" s="37"/>
      <c r="G49" s="37"/>
      <c r="H49" s="37"/>
      <c r="I49" s="37"/>
      <c r="J49" s="37"/>
      <c r="K49" s="37"/>
      <c r="L49" s="46"/>
      <c r="M49" s="46"/>
      <c r="N49" s="46"/>
      <c r="O49" s="37"/>
      <c r="P49" s="37"/>
      <c r="Q49" s="37"/>
      <c r="R49" s="37"/>
      <c r="S49" s="37"/>
      <c r="T49" s="37"/>
      <c r="U49" s="640"/>
      <c r="V49" s="4706"/>
      <c r="W49" s="4090"/>
      <c r="X49" s="4090"/>
      <c r="Y49" s="117"/>
      <c r="Z49" s="664" t="s">
        <v>152</v>
      </c>
    </row>
    <row r="50" spans="1:29" ht="14.25" customHeight="1" thickBot="1">
      <c r="A50" s="942"/>
      <c r="B50" s="169"/>
      <c r="C50" s="610"/>
      <c r="D50" s="169" t="s">
        <v>661</v>
      </c>
      <c r="E50" s="169"/>
      <c r="F50" s="169"/>
      <c r="G50" s="169"/>
      <c r="H50" s="169"/>
      <c r="I50" s="169"/>
      <c r="J50" s="169"/>
      <c r="K50" s="169"/>
      <c r="L50" s="380"/>
      <c r="M50" s="380"/>
      <c r="N50" s="380"/>
      <c r="O50" s="169"/>
      <c r="P50" s="169"/>
      <c r="Q50" s="169"/>
      <c r="R50" s="169"/>
      <c r="S50" s="169"/>
      <c r="T50" s="850" t="s">
        <v>734</v>
      </c>
      <c r="U50" s="647" t="s">
        <v>19</v>
      </c>
      <c r="V50" s="4655"/>
      <c r="W50" s="4696"/>
      <c r="X50" s="4696"/>
      <c r="Y50" s="1049"/>
      <c r="Z50" s="684" t="s">
        <v>703</v>
      </c>
    </row>
    <row r="51" spans="1:29" ht="12.75" customHeight="1">
      <c r="A51" s="942"/>
      <c r="B51" s="37"/>
      <c r="C51" s="472" t="s">
        <v>22</v>
      </c>
      <c r="D51" s="371" t="s">
        <v>781</v>
      </c>
      <c r="E51" s="37"/>
      <c r="F51" s="37"/>
      <c r="G51" s="37"/>
      <c r="H51" s="37"/>
      <c r="I51" s="37"/>
      <c r="J51" s="37"/>
      <c r="K51" s="37"/>
      <c r="L51" s="46"/>
      <c r="M51" s="46"/>
      <c r="N51" s="46"/>
      <c r="O51" s="37"/>
      <c r="P51" s="37"/>
      <c r="Q51" s="37"/>
      <c r="R51" s="37"/>
      <c r="S51" s="37"/>
      <c r="T51" s="37"/>
      <c r="U51" s="640"/>
      <c r="V51" s="4706"/>
      <c r="W51" s="4090"/>
      <c r="X51" s="4090"/>
      <c r="Y51" s="117"/>
      <c r="Z51" s="648"/>
    </row>
    <row r="52" spans="1:29" ht="14.25" customHeight="1">
      <c r="A52" s="942"/>
      <c r="B52" s="169"/>
      <c r="C52" s="610"/>
      <c r="D52" s="729" t="s">
        <v>1779</v>
      </c>
      <c r="E52" s="169"/>
      <c r="F52" s="169"/>
      <c r="G52" s="169"/>
      <c r="H52" s="169"/>
      <c r="I52" s="169"/>
      <c r="J52" s="169"/>
      <c r="K52" s="169"/>
      <c r="L52" s="380"/>
      <c r="M52" s="380"/>
      <c r="N52" s="380"/>
      <c r="O52" s="169"/>
      <c r="P52" s="169"/>
      <c r="Q52" s="169"/>
      <c r="R52" s="169"/>
      <c r="S52" s="169"/>
      <c r="T52" s="850" t="s">
        <v>691</v>
      </c>
      <c r="U52" s="647" t="s">
        <v>22</v>
      </c>
      <c r="V52" s="4655"/>
      <c r="W52" s="4696"/>
      <c r="X52" s="4696"/>
      <c r="Y52" s="1049"/>
      <c r="Z52" s="648"/>
    </row>
    <row r="53" spans="1:29">
      <c r="A53" s="942"/>
      <c r="B53" s="37"/>
      <c r="C53" s="472">
        <v>2</v>
      </c>
      <c r="D53" s="37" t="s">
        <v>211</v>
      </c>
      <c r="E53" s="37"/>
      <c r="F53" s="37"/>
      <c r="G53" s="37"/>
      <c r="H53" s="37"/>
      <c r="I53" s="37"/>
      <c r="J53" s="37"/>
      <c r="K53" s="37"/>
      <c r="L53" s="46"/>
      <c r="M53" s="46"/>
      <c r="N53" s="46"/>
      <c r="O53" s="37"/>
      <c r="P53" s="37"/>
      <c r="Q53" s="37"/>
      <c r="R53" s="37"/>
      <c r="S53" s="37"/>
      <c r="T53" s="37"/>
      <c r="U53" s="86"/>
      <c r="V53" s="4731" t="s">
        <v>692</v>
      </c>
      <c r="W53" s="4732"/>
      <c r="X53" s="4732"/>
      <c r="Y53" s="117"/>
      <c r="Z53" s="648"/>
    </row>
    <row r="54" spans="1:29">
      <c r="A54" s="942"/>
      <c r="B54" s="37"/>
      <c r="C54" s="472"/>
      <c r="D54" s="37" t="s">
        <v>732</v>
      </c>
      <c r="E54" s="37"/>
      <c r="F54" s="37"/>
      <c r="G54" s="37"/>
      <c r="H54" s="37"/>
      <c r="I54" s="37"/>
      <c r="J54" s="37"/>
      <c r="K54" s="37"/>
      <c r="L54" s="46"/>
      <c r="M54" s="46"/>
      <c r="N54" s="46"/>
      <c r="O54" s="37"/>
      <c r="P54" s="37"/>
      <c r="Q54" s="37"/>
      <c r="R54" s="37"/>
      <c r="S54" s="37"/>
      <c r="T54" s="37"/>
      <c r="U54" s="646"/>
      <c r="V54" s="4735" t="s">
        <v>693</v>
      </c>
      <c r="W54" s="3742"/>
      <c r="X54" s="3742"/>
      <c r="Y54" s="117"/>
      <c r="Z54" s="648"/>
    </row>
    <row r="55" spans="1:29" ht="12.75" customHeight="1" thickBot="1">
      <c r="A55" s="942"/>
      <c r="B55" s="37"/>
      <c r="C55" s="472"/>
      <c r="D55" s="1609" t="s">
        <v>1192</v>
      </c>
      <c r="E55" s="37"/>
      <c r="F55" s="37"/>
      <c r="G55" s="37"/>
      <c r="H55" s="37"/>
      <c r="I55" s="37"/>
      <c r="J55" s="37"/>
      <c r="K55" s="37"/>
      <c r="L55" s="46"/>
      <c r="M55" s="46"/>
      <c r="N55" s="46"/>
      <c r="O55" s="37"/>
      <c r="P55" s="37"/>
      <c r="Q55" s="37"/>
      <c r="R55" s="37"/>
      <c r="S55" s="37"/>
      <c r="T55" s="37"/>
      <c r="U55" s="646"/>
      <c r="V55" s="4735" t="s">
        <v>694</v>
      </c>
      <c r="W55" s="3742"/>
      <c r="X55" s="3742"/>
      <c r="Y55" s="117"/>
      <c r="Z55" s="648"/>
    </row>
    <row r="56" spans="1:29" ht="16.5" customHeight="1" thickBot="1">
      <c r="A56" s="942"/>
      <c r="B56" s="37"/>
      <c r="C56" s="472"/>
      <c r="D56" s="1651" t="s">
        <v>1193</v>
      </c>
      <c r="E56" s="37"/>
      <c r="F56" s="37"/>
      <c r="G56" s="37"/>
      <c r="H56" s="37"/>
      <c r="I56" s="37"/>
      <c r="J56" s="37"/>
      <c r="K56" s="37"/>
      <c r="L56" s="46"/>
      <c r="M56" s="46"/>
      <c r="N56" s="46"/>
      <c r="O56" s="37"/>
      <c r="P56" s="37"/>
      <c r="Q56" s="37"/>
      <c r="R56" s="37"/>
      <c r="S56" s="37"/>
      <c r="T56" s="850" t="s">
        <v>976</v>
      </c>
      <c r="U56" s="642">
        <v>2</v>
      </c>
      <c r="V56" s="4678" t="str">
        <f>IF(OR(C43="",P43&lt;&gt;""),"",IF(Z56&lt;&gt;"",Z56,Business_Profit))</f>
        <v/>
      </c>
      <c r="W56" s="4679"/>
      <c r="X56" s="4679"/>
      <c r="Y56" s="117"/>
      <c r="Z56" s="598"/>
    </row>
    <row r="57" spans="1:29" ht="13.5" customHeight="1" thickBot="1">
      <c r="A57" s="942"/>
      <c r="B57" s="169"/>
      <c r="C57" s="610">
        <v>3</v>
      </c>
      <c r="D57" s="1643" t="s">
        <v>1194</v>
      </c>
      <c r="E57" s="169"/>
      <c r="F57" s="169"/>
      <c r="G57" s="169"/>
      <c r="H57" s="169"/>
      <c r="I57" s="169"/>
      <c r="J57" s="169"/>
      <c r="K57" s="169"/>
      <c r="L57" s="169"/>
      <c r="M57" s="169"/>
      <c r="N57" s="169"/>
      <c r="O57" s="169"/>
      <c r="P57" s="169"/>
      <c r="Q57" s="169"/>
      <c r="R57" s="169"/>
      <c r="S57" s="169"/>
      <c r="T57" s="850" t="s">
        <v>287</v>
      </c>
      <c r="U57" s="647">
        <v>3</v>
      </c>
      <c r="V57" s="4733" t="str">
        <f>IF(Z57&lt;&gt;"",Z57,IF(P43&lt;&gt;"","",IF(OR(AND(C43="",P43=""),AND(C43&lt;&gt;"",P43&lt;&gt;"")),"Check one above.",IF(C43&lt;&gt;"",SUM(V50,V52,V56),""))))</f>
        <v>Check one above.</v>
      </c>
      <c r="W57" s="4734"/>
      <c r="X57" s="4734"/>
      <c r="Y57" s="1049"/>
      <c r="Z57" s="598"/>
    </row>
    <row r="58" spans="1:29" ht="13.5" thickBot="1">
      <c r="A58" s="942"/>
      <c r="B58" s="37"/>
      <c r="C58" s="472">
        <v>4</v>
      </c>
      <c r="D58" s="37" t="str">
        <f>"Multiply line 3 by "&amp;TEXT(V60,"0.00%")&amp;" ("&amp;TEXT(V60,".0000")&amp;")."</f>
        <v>Multiply line 3 by 92.35% (.9235).</v>
      </c>
      <c r="E58" s="432"/>
      <c r="F58" s="37"/>
      <c r="G58" s="37"/>
      <c r="H58" s="37"/>
      <c r="I58" s="1609" t="str">
        <f>"If less than "&amp;TEXT(V58,"$0")&amp;", you do not owe self-employment tax;"</f>
        <v>If less than $400, you do not owe self-employment tax;</v>
      </c>
      <c r="J58" s="37"/>
      <c r="K58" s="37"/>
      <c r="L58" s="46"/>
      <c r="M58" s="46"/>
      <c r="N58" s="46"/>
      <c r="O58" s="37"/>
      <c r="P58" s="1609"/>
      <c r="Q58" s="37"/>
      <c r="R58" s="37"/>
      <c r="S58" s="37"/>
      <c r="T58" s="37"/>
      <c r="U58" s="86"/>
      <c r="V58" s="4729">
        <v>400</v>
      </c>
      <c r="W58" s="4730"/>
      <c r="X58" s="4730"/>
      <c r="Y58" s="117"/>
      <c r="Z58" s="1264"/>
      <c r="AC58" s="1265"/>
    </row>
    <row r="59" spans="1:29" ht="13.5" thickBot="1">
      <c r="A59" s="942"/>
      <c r="B59" s="37"/>
      <c r="C59" s="472"/>
      <c r="D59" s="1609" t="s">
        <v>1196</v>
      </c>
      <c r="E59" s="432"/>
      <c r="F59" s="37"/>
      <c r="G59" s="37"/>
      <c r="H59" s="37"/>
      <c r="I59" s="37"/>
      <c r="J59" s="37"/>
      <c r="K59" s="37"/>
      <c r="L59" s="46"/>
      <c r="M59" s="46"/>
      <c r="N59" s="46"/>
      <c r="O59" s="37"/>
      <c r="P59" s="37"/>
      <c r="Q59" s="37"/>
      <c r="R59" s="37"/>
      <c r="S59" s="850"/>
      <c r="T59" s="850" t="s">
        <v>1200</v>
      </c>
      <c r="U59" s="642">
        <v>4</v>
      </c>
      <c r="V59" s="4678" t="str">
        <f>IF(Z59&lt;&gt;"",Z59,IF(OR(C43="",P43&lt;&gt;""),"",ROUND((V57*V60),0)))</f>
        <v/>
      </c>
      <c r="W59" s="4679"/>
      <c r="X59" s="4679"/>
      <c r="Y59" s="117"/>
      <c r="Z59" s="598"/>
    </row>
    <row r="60" spans="1:29">
      <c r="A60" s="942"/>
      <c r="B60" s="37"/>
      <c r="C60" s="472"/>
      <c r="D60" s="1609" t="s">
        <v>1197</v>
      </c>
      <c r="E60" s="432"/>
      <c r="F60" s="37"/>
      <c r="G60" s="37"/>
      <c r="H60" s="37" t="str">
        <f>TEXT(V58,"$0")&amp;" due to Conservation Reserve Program payments on line 1b,"</f>
        <v>$400 due to Conservation Reserve Program payments on line 1b,</v>
      </c>
      <c r="I60" s="37"/>
      <c r="J60" s="37"/>
      <c r="K60" s="37"/>
      <c r="L60" s="46"/>
      <c r="M60" s="46"/>
      <c r="N60" s="46"/>
      <c r="O60" s="37"/>
      <c r="P60" s="37"/>
      <c r="Q60" s="37"/>
      <c r="R60" s="37"/>
      <c r="S60" s="850"/>
      <c r="T60" s="850"/>
      <c r="U60" s="657"/>
      <c r="V60" s="4736">
        <v>0.92349999999999999</v>
      </c>
      <c r="W60" s="4737"/>
      <c r="X60" s="4737"/>
      <c r="Y60" s="117"/>
      <c r="Z60" s="648"/>
    </row>
    <row r="61" spans="1:29">
      <c r="A61" s="942"/>
      <c r="B61" s="37"/>
      <c r="C61" s="472"/>
      <c r="D61" s="1609" t="s">
        <v>935</v>
      </c>
      <c r="E61" s="432"/>
      <c r="F61" s="37"/>
      <c r="G61" s="37"/>
      <c r="H61" s="37"/>
      <c r="I61" s="37"/>
      <c r="J61" s="37"/>
      <c r="K61" s="37"/>
      <c r="L61" s="46"/>
      <c r="M61" s="46"/>
      <c r="N61" s="46"/>
      <c r="O61" s="37"/>
      <c r="P61" s="37"/>
      <c r="Q61" s="37"/>
      <c r="R61" s="37"/>
      <c r="S61" s="850"/>
      <c r="T61" s="850"/>
      <c r="U61" s="657"/>
      <c r="V61" s="1676"/>
      <c r="W61" s="99"/>
      <c r="X61" s="99"/>
      <c r="Y61" s="117"/>
      <c r="Z61" s="648"/>
    </row>
    <row r="62" spans="1:29">
      <c r="A62" s="942"/>
      <c r="B62" s="37"/>
      <c r="C62" s="472">
        <v>5</v>
      </c>
      <c r="D62" s="432" t="s">
        <v>217</v>
      </c>
      <c r="E62" s="432"/>
      <c r="F62" s="37"/>
      <c r="G62" s="37"/>
      <c r="H62" s="37"/>
      <c r="I62" s="37"/>
      <c r="J62" s="37"/>
      <c r="K62" s="37"/>
      <c r="L62" s="46"/>
      <c r="M62" s="46"/>
      <c r="N62" s="46"/>
      <c r="O62" s="37"/>
      <c r="P62" s="37"/>
      <c r="Q62" s="37"/>
      <c r="R62" s="37"/>
      <c r="S62" s="21">
        <f>MaxSSTaxEarnings</f>
        <v>117000</v>
      </c>
      <c r="T62" s="37"/>
      <c r="U62" s="646"/>
      <c r="V62" s="4727">
        <v>2.9000000000000001E-2</v>
      </c>
      <c r="W62" s="4728"/>
      <c r="X62" s="4728"/>
      <c r="Y62" s="117"/>
      <c r="Z62" s="648"/>
    </row>
    <row r="63" spans="1:29" ht="15" customHeight="1">
      <c r="A63" s="942"/>
      <c r="B63" s="37"/>
      <c r="C63" s="472"/>
      <c r="D63" s="629" t="s">
        <v>201</v>
      </c>
      <c r="E63" s="1609" t="str">
        <f>TEXT(S62,"$0,000")&amp;" or less, multiply line 4 by "&amp;TEXT(V64,"0.0%")&amp;" ("&amp;TEXT(V64,".000")&amp;"). Enter the results here and on "</f>
        <v xml:space="preserve">$117,000 or less, multiply line 4 by 15.3% (.153). Enter the results here and on </v>
      </c>
      <c r="F63" s="37"/>
      <c r="G63" s="37"/>
      <c r="H63" s="37"/>
      <c r="I63" s="37"/>
      <c r="J63" s="37"/>
      <c r="K63" s="37"/>
      <c r="L63" s="46"/>
      <c r="M63" s="89"/>
      <c r="N63" s="46"/>
      <c r="O63" s="37"/>
      <c r="P63" s="37"/>
      <c r="Q63" s="37"/>
      <c r="R63" s="59"/>
      <c r="S63" s="21"/>
      <c r="T63" s="376" t="str">
        <f>"Form 1040, line "&amp;'1040'!$D$94&amp;",   "</f>
        <v xml:space="preserve">Form 1040, line 57,   </v>
      </c>
      <c r="U63" s="657"/>
      <c r="V63" s="4704">
        <v>14508</v>
      </c>
      <c r="W63" s="4705"/>
      <c r="X63" s="4705"/>
      <c r="Y63" s="117"/>
      <c r="Z63" s="648"/>
    </row>
    <row r="64" spans="1:29" ht="15" customHeight="1">
      <c r="A64" s="942"/>
      <c r="B64" s="37"/>
      <c r="C64" s="472"/>
      <c r="D64" s="629"/>
      <c r="E64" s="1609" t="s">
        <v>2714</v>
      </c>
      <c r="F64" s="37"/>
      <c r="G64" s="37"/>
      <c r="H64" s="37"/>
      <c r="I64" s="37"/>
      <c r="J64" s="37"/>
      <c r="K64" s="37"/>
      <c r="L64" s="46"/>
      <c r="M64" s="46"/>
      <c r="N64" s="46"/>
      <c r="O64" s="37"/>
      <c r="P64" s="37"/>
      <c r="Q64" s="37"/>
      <c r="R64" s="59"/>
      <c r="S64" s="21"/>
      <c r="T64" s="37"/>
      <c r="U64" s="657"/>
      <c r="V64" s="4727">
        <v>0.153</v>
      </c>
      <c r="W64" s="4728"/>
      <c r="X64" s="4728"/>
      <c r="Y64" s="117"/>
      <c r="Z64" s="648"/>
    </row>
    <row r="65" spans="1:26" ht="15" thickBot="1">
      <c r="A65" s="942"/>
      <c r="B65" s="37"/>
      <c r="C65" s="472"/>
      <c r="D65" s="629" t="s">
        <v>201</v>
      </c>
      <c r="E65" s="371" t="str">
        <f>"More than "&amp;TEXT(S62,"$0,000")&amp;", multiply line 4 by "&amp;TEXT(V62,"0.0%")&amp;" ("&amp;TEXT(V62,".000")&amp;"). Then, add "&amp;TEXT(V63,"$0,000")&amp;" to the result."</f>
        <v>More than $117,000, multiply line 4 by 2.9% (.029). Then, add $14,508 to the result.</v>
      </c>
      <c r="F65" s="37"/>
      <c r="G65" s="37"/>
      <c r="H65" s="37"/>
      <c r="I65" s="37"/>
      <c r="J65" s="37"/>
      <c r="K65" s="37"/>
      <c r="L65" s="46"/>
      <c r="M65" s="46"/>
      <c r="N65" s="46"/>
      <c r="O65" s="37"/>
      <c r="P65" s="37"/>
      <c r="Q65" s="37"/>
      <c r="R65" s="46"/>
      <c r="S65" s="21"/>
      <c r="T65" s="37"/>
      <c r="U65" s="646"/>
      <c r="V65" s="4747" t="str">
        <f>IF(AND(C43&lt;&gt;"",OR(V52="",V52=0),V59&lt;V58),"Stop.","")</f>
        <v/>
      </c>
      <c r="W65" s="4748"/>
      <c r="X65" s="4748"/>
      <c r="Y65" s="117"/>
      <c r="Z65" s="648"/>
    </row>
    <row r="66" spans="1:26" ht="13.5" thickBot="1">
      <c r="A66" s="942"/>
      <c r="B66" s="37"/>
      <c r="C66" s="472"/>
      <c r="D66" s="472"/>
      <c r="E66" s="371" t="s">
        <v>2715</v>
      </c>
      <c r="F66" s="37"/>
      <c r="G66" s="37"/>
      <c r="H66" s="37"/>
      <c r="I66" s="37"/>
      <c r="J66" s="59"/>
      <c r="K66" s="37"/>
      <c r="L66" s="46"/>
      <c r="M66" s="46"/>
      <c r="N66" s="46"/>
      <c r="O66" s="37"/>
      <c r="P66" s="37"/>
      <c r="Q66" s="37"/>
      <c r="R66" s="46"/>
      <c r="S66" s="773"/>
      <c r="T66" s="850" t="s">
        <v>1198</v>
      </c>
      <c r="U66" s="642">
        <v>5</v>
      </c>
      <c r="V66" s="4678" t="str">
        <f>IF(Z66&lt;&gt;"",Z66,IF(OR(C43="",P43&lt;&gt;""),"",IF(AND(C43&lt;&gt;"",OR(V52="",V52=0),V59&lt;V58),"Do not file Sch. SE.  ",IF(V59&lt;S62,ROUND((V59*V64),0),ROUND(SUM((V59*V62),V63),0)))))</f>
        <v/>
      </c>
      <c r="W66" s="4679"/>
      <c r="X66" s="4679"/>
      <c r="Y66" s="117"/>
      <c r="Z66" s="598"/>
    </row>
    <row r="67" spans="1:26">
      <c r="A67" s="942"/>
      <c r="B67" s="37"/>
      <c r="C67" s="472">
        <v>6</v>
      </c>
      <c r="D67" s="375" t="s">
        <v>1780</v>
      </c>
      <c r="E67" s="37"/>
      <c r="F67" s="37"/>
      <c r="G67" s="37"/>
      <c r="H67" s="37"/>
      <c r="I67" s="37"/>
      <c r="J67" s="37"/>
      <c r="K67" s="37"/>
      <c r="L67" s="46"/>
      <c r="M67" s="46"/>
      <c r="N67" s="46"/>
      <c r="O67" s="37"/>
      <c r="P67" s="646"/>
      <c r="Q67" s="4674"/>
      <c r="R67" s="3889"/>
      <c r="S67" s="3889"/>
      <c r="T67" s="3893"/>
      <c r="U67" s="117"/>
      <c r="V67" s="117"/>
      <c r="W67" s="117"/>
      <c r="X67" s="117"/>
      <c r="Y67" s="117"/>
      <c r="Z67" s="648"/>
    </row>
    <row r="68" spans="1:26" ht="13.5" thickBot="1">
      <c r="A68" s="942"/>
      <c r="B68" s="37"/>
      <c r="C68" s="472"/>
      <c r="D68" s="1609" t="str">
        <f>"Multiply line 5 by "&amp;TEXT(Q68,"0%")&amp;" ("&amp;TEXT(Q68,".00")&amp;"). Enter the result here and on"</f>
        <v>Multiply line 5 by 50% (.50). Enter the result here and on</v>
      </c>
      <c r="E68" s="1609"/>
      <c r="F68" s="37"/>
      <c r="G68" s="37"/>
      <c r="H68" s="37"/>
      <c r="I68" s="37"/>
      <c r="J68" s="37"/>
      <c r="K68" s="37"/>
      <c r="L68" s="46"/>
      <c r="M68" s="72" t="s">
        <v>499</v>
      </c>
      <c r="N68" s="46"/>
      <c r="O68" s="37"/>
      <c r="P68" s="646"/>
      <c r="Q68" s="4671">
        <v>0.5</v>
      </c>
      <c r="R68" s="4672"/>
      <c r="S68" s="4672"/>
      <c r="T68" s="4673"/>
      <c r="U68" s="117"/>
      <c r="V68" s="117"/>
      <c r="W68" s="117"/>
      <c r="X68" s="117"/>
      <c r="Y68" s="117"/>
      <c r="Z68" s="648"/>
    </row>
    <row r="69" spans="1:26" ht="13.5" thickBot="1">
      <c r="A69" s="942"/>
      <c r="B69" s="55"/>
      <c r="C69" s="650"/>
      <c r="D69" s="2970" t="s">
        <v>1781</v>
      </c>
      <c r="E69" s="1495"/>
      <c r="F69" s="1495"/>
      <c r="G69" s="55"/>
      <c r="H69" s="55"/>
      <c r="I69" s="55"/>
      <c r="J69" s="55"/>
      <c r="K69" s="55"/>
      <c r="L69" s="55"/>
      <c r="M69" s="55"/>
      <c r="N69" s="55"/>
      <c r="O69" s="2971" t="s">
        <v>1782</v>
      </c>
      <c r="P69" s="1370">
        <v>6</v>
      </c>
      <c r="Q69" s="4678" t="str">
        <f>IF(Z69&lt;&gt;"",Z69,IF(OR(C43="",AND(C43&lt;&gt;"",P43&lt;&gt;"")),"",IF(AND(C43&lt;&gt;"",OR(V52="",V52=0),V59&lt;V58),"",ROUND(V66*Q68,0))))</f>
        <v/>
      </c>
      <c r="R69" s="4679"/>
      <c r="S69" s="4679"/>
      <c r="T69" s="4680"/>
      <c r="U69" s="1860"/>
      <c r="V69" s="123"/>
      <c r="W69" s="123"/>
      <c r="X69" s="123"/>
      <c r="Y69" s="117"/>
      <c r="Z69" s="598"/>
    </row>
    <row r="70" spans="1:26" s="1502" customFormat="1">
      <c r="A70" s="1496"/>
      <c r="B70" s="1497"/>
      <c r="C70" s="1858" t="s">
        <v>553</v>
      </c>
      <c r="D70" s="1498"/>
      <c r="E70" s="1497"/>
      <c r="F70" s="1497"/>
      <c r="G70" s="1497"/>
      <c r="H70" s="1497"/>
      <c r="I70" s="1497"/>
      <c r="J70" s="1497"/>
      <c r="K70" s="1497"/>
      <c r="L70" s="1497"/>
      <c r="M70" s="1497"/>
      <c r="N70" s="1497"/>
      <c r="O70" s="1497"/>
      <c r="P70" s="1497"/>
      <c r="Q70" s="1857" t="s">
        <v>278</v>
      </c>
      <c r="R70" s="1499"/>
      <c r="S70" s="1497"/>
      <c r="T70" s="1497"/>
      <c r="U70" s="1497"/>
      <c r="V70" s="1497"/>
      <c r="W70" s="1497"/>
      <c r="X70" s="1859" t="str">
        <f>"Schedule SE (Form 1040) "&amp;TaxYear</f>
        <v>Schedule SE (Form 1040) 2014</v>
      </c>
      <c r="Y70" s="1500"/>
      <c r="Z70" s="1501"/>
    </row>
    <row r="71" spans="1:26" ht="16.5" thickBot="1">
      <c r="A71" s="942"/>
      <c r="B71" s="71" t="str">
        <f>"Schedule SE (Form 1040) "&amp;TaxYear</f>
        <v>Schedule SE (Form 1040) 2014</v>
      </c>
      <c r="C71" s="471"/>
      <c r="D71" s="471"/>
      <c r="E71" s="55"/>
      <c r="F71" s="55"/>
      <c r="G71" s="55"/>
      <c r="H71" s="55"/>
      <c r="I71" s="55"/>
      <c r="J71" s="55"/>
      <c r="K71" s="55"/>
      <c r="L71" s="55"/>
      <c r="M71" s="55"/>
      <c r="N71" s="55"/>
      <c r="O71" s="55"/>
      <c r="P71" s="55"/>
      <c r="Q71" s="44" t="s">
        <v>806</v>
      </c>
      <c r="R71" s="652">
        <v>17</v>
      </c>
      <c r="S71" s="55"/>
      <c r="T71" s="55"/>
      <c r="U71" s="55"/>
      <c r="V71" s="55"/>
      <c r="W71" s="55"/>
      <c r="X71" s="653" t="s">
        <v>279</v>
      </c>
      <c r="Y71" s="117"/>
      <c r="Z71" s="648"/>
    </row>
    <row r="72" spans="1:26" ht="12" customHeight="1">
      <c r="A72" s="942"/>
      <c r="B72" s="371" t="s">
        <v>791</v>
      </c>
      <c r="C72" s="371"/>
      <c r="D72" s="371"/>
      <c r="E72" s="371"/>
      <c r="F72" s="37"/>
      <c r="G72" s="37"/>
      <c r="H72" s="37"/>
      <c r="I72" s="37"/>
      <c r="J72" s="37"/>
      <c r="K72" s="37"/>
      <c r="L72" s="417"/>
      <c r="M72" s="417"/>
      <c r="N72" s="417"/>
      <c r="O72" s="627"/>
      <c r="P72" s="4658" t="s">
        <v>1211</v>
      </c>
      <c r="Q72" s="4659"/>
      <c r="R72" s="4659"/>
      <c r="S72" s="4659"/>
      <c r="T72" s="4660"/>
      <c r="U72" s="4700" t="str">
        <f>IF(U15&lt;&gt;"",U15,"")</f>
        <v/>
      </c>
      <c r="V72" s="4701"/>
      <c r="W72" s="4701"/>
      <c r="X72" s="4701"/>
      <c r="Y72" s="117"/>
      <c r="Z72" s="648"/>
    </row>
    <row r="73" spans="1:26" ht="14.25" customHeight="1">
      <c r="A73" s="942"/>
      <c r="B73" s="4697" t="str">
        <f>IF(B16&lt;&gt;"",B16,"")</f>
        <v/>
      </c>
      <c r="C73" s="4698"/>
      <c r="D73" s="4698"/>
      <c r="E73" s="4698"/>
      <c r="F73" s="4698"/>
      <c r="G73" s="4698"/>
      <c r="H73" s="4698"/>
      <c r="I73" s="4698"/>
      <c r="J73" s="4698"/>
      <c r="K73" s="4698"/>
      <c r="L73" s="4698"/>
      <c r="M73" s="4698"/>
      <c r="N73" s="4698"/>
      <c r="O73" s="4699"/>
      <c r="P73" s="4661"/>
      <c r="Q73" s="4662"/>
      <c r="R73" s="4662"/>
      <c r="S73" s="4662"/>
      <c r="T73" s="4663"/>
      <c r="U73" s="4702"/>
      <c r="V73" s="4703"/>
      <c r="W73" s="4703"/>
      <c r="X73" s="4703"/>
      <c r="Y73" s="117"/>
      <c r="Z73" s="648"/>
    </row>
    <row r="74" spans="1:26" ht="17.25" customHeight="1">
      <c r="A74" s="942"/>
      <c r="B74" s="1854" t="s">
        <v>280</v>
      </c>
      <c r="C74" s="654"/>
      <c r="D74" s="654"/>
      <c r="E74" s="654"/>
      <c r="F74" s="654"/>
      <c r="G74" s="654"/>
      <c r="H74" s="654"/>
      <c r="I74" s="654"/>
      <c r="J74" s="654"/>
      <c r="K74" s="654"/>
      <c r="L74" s="655"/>
      <c r="M74" s="655"/>
      <c r="N74" s="655"/>
      <c r="O74" s="654"/>
      <c r="P74" s="654"/>
      <c r="Q74" s="654"/>
      <c r="R74" s="654"/>
      <c r="S74" s="654"/>
      <c r="T74" s="654"/>
      <c r="U74" s="654"/>
      <c r="V74" s="654"/>
      <c r="W74" s="654"/>
      <c r="X74" s="654"/>
      <c r="Y74" s="1050"/>
      <c r="Z74" s="660"/>
    </row>
    <row r="75" spans="1:26" ht="18" customHeight="1">
      <c r="A75" s="942"/>
      <c r="B75" s="1645"/>
      <c r="C75" s="1646" t="s">
        <v>93</v>
      </c>
      <c r="D75" s="1647"/>
      <c r="E75" s="1648" t="s">
        <v>281</v>
      </c>
      <c r="F75" s="1649"/>
      <c r="G75" s="1649"/>
      <c r="H75" s="1649"/>
      <c r="I75" s="1649"/>
      <c r="J75" s="1649"/>
      <c r="K75" s="1649"/>
      <c r="L75" s="1649"/>
      <c r="M75" s="1649"/>
      <c r="N75" s="1649"/>
      <c r="O75" s="1649"/>
      <c r="P75" s="1649"/>
      <c r="Q75" s="1649"/>
      <c r="R75" s="1649"/>
      <c r="S75" s="1649"/>
      <c r="T75" s="1649"/>
      <c r="U75" s="1649"/>
      <c r="V75" s="1649"/>
      <c r="W75" s="1649"/>
      <c r="X75" s="1649"/>
      <c r="Y75" s="117"/>
      <c r="Z75" s="648"/>
    </row>
    <row r="76" spans="1:26">
      <c r="A76" s="942"/>
      <c r="B76" s="432" t="s">
        <v>1201</v>
      </c>
      <c r="C76" s="432"/>
      <c r="D76" s="432"/>
      <c r="E76" s="37"/>
      <c r="F76" s="37"/>
      <c r="G76" s="37"/>
      <c r="H76" s="37"/>
      <c r="I76" s="37"/>
      <c r="J76" s="37"/>
      <c r="K76" s="37"/>
      <c r="L76" s="46"/>
      <c r="M76" s="46"/>
      <c r="N76" s="46"/>
      <c r="O76" s="37"/>
      <c r="P76" s="37"/>
      <c r="Q76" s="37"/>
      <c r="R76" s="37"/>
      <c r="S76" s="37"/>
      <c r="T76" s="37"/>
      <c r="U76" s="37"/>
      <c r="V76" s="37"/>
      <c r="W76" s="37"/>
      <c r="X76" s="37"/>
      <c r="Y76" s="117"/>
      <c r="Z76" s="648"/>
    </row>
    <row r="77" spans="1:26">
      <c r="A77" s="942"/>
      <c r="B77" s="1609" t="s">
        <v>1202</v>
      </c>
      <c r="C77" s="432"/>
      <c r="D77" s="432"/>
      <c r="E77" s="37"/>
      <c r="F77" s="37"/>
      <c r="G77" s="37"/>
      <c r="H77" s="37"/>
      <c r="I77" s="37"/>
      <c r="J77" s="37"/>
      <c r="K77" s="37"/>
      <c r="L77" s="46"/>
      <c r="M77" s="46"/>
      <c r="N77" s="46"/>
      <c r="O77" s="37"/>
      <c r="P77" s="37"/>
      <c r="Q77" s="37"/>
      <c r="R77" s="37"/>
      <c r="S77" s="37"/>
      <c r="T77" s="37"/>
      <c r="U77" s="37"/>
      <c r="V77" s="37"/>
      <c r="W77" s="37"/>
      <c r="X77" s="37"/>
      <c r="Y77" s="117"/>
      <c r="Z77" s="648"/>
    </row>
    <row r="78" spans="1:26" ht="12" customHeight="1" thickBot="1">
      <c r="A78" s="942"/>
      <c r="B78" s="37"/>
      <c r="C78" s="432" t="s">
        <v>242</v>
      </c>
      <c r="D78" s="609" t="s">
        <v>76</v>
      </c>
      <c r="E78" s="37"/>
      <c r="F78" s="37"/>
      <c r="G78" s="37"/>
      <c r="H78" s="37"/>
      <c r="I78" s="37"/>
      <c r="J78" s="37"/>
      <c r="K78" s="37"/>
      <c r="L78" s="46"/>
      <c r="M78" s="46"/>
      <c r="N78" s="46"/>
      <c r="O78" s="37"/>
      <c r="P78" s="37"/>
      <c r="Q78" s="37"/>
      <c r="R78" s="37"/>
      <c r="S78" s="37"/>
      <c r="T78" s="37"/>
      <c r="U78" s="37"/>
      <c r="V78" s="37"/>
      <c r="W78" s="37"/>
      <c r="X78" s="37"/>
      <c r="Y78" s="117"/>
      <c r="Z78" s="648"/>
    </row>
    <row r="79" spans="1:26" ht="12" customHeight="1" thickBot="1">
      <c r="A79" s="942"/>
      <c r="B79" s="37"/>
      <c r="C79" s="432"/>
      <c r="D79" s="609" t="s">
        <v>804</v>
      </c>
      <c r="E79" s="37"/>
      <c r="F79" s="37"/>
      <c r="G79" s="37"/>
      <c r="H79" s="37"/>
      <c r="I79" s="37"/>
      <c r="J79" s="37"/>
      <c r="K79" s="37"/>
      <c r="L79" s="46"/>
      <c r="M79" s="46"/>
      <c r="N79" s="46"/>
      <c r="O79" s="37"/>
      <c r="P79" s="37"/>
      <c r="Q79" s="37"/>
      <c r="R79" s="37"/>
      <c r="S79" s="37"/>
      <c r="T79" s="37"/>
      <c r="U79" s="37"/>
      <c r="V79" s="850" t="s">
        <v>1203</v>
      </c>
      <c r="W79" s="2313"/>
      <c r="X79" s="37"/>
      <c r="Y79" s="117"/>
      <c r="Z79" s="648"/>
    </row>
    <row r="80" spans="1:26" ht="15.75" customHeight="1">
      <c r="A80" s="942"/>
      <c r="B80" s="37"/>
      <c r="C80" s="472" t="s">
        <v>19</v>
      </c>
      <c r="D80" s="1609" t="s">
        <v>1204</v>
      </c>
      <c r="E80" s="37"/>
      <c r="F80" s="37"/>
      <c r="G80" s="37"/>
      <c r="H80" s="37"/>
      <c r="I80" s="37"/>
      <c r="J80" s="37"/>
      <c r="K80" s="37"/>
      <c r="L80" s="46"/>
      <c r="M80" s="46"/>
      <c r="N80" s="46"/>
      <c r="O80" s="37"/>
      <c r="P80" s="37"/>
      <c r="Q80" s="37"/>
      <c r="R80" s="37"/>
      <c r="S80" s="37"/>
      <c r="T80" s="37"/>
      <c r="U80" s="37"/>
      <c r="V80" s="37"/>
      <c r="W80" s="37"/>
      <c r="X80" s="37"/>
      <c r="Y80" s="117"/>
      <c r="Z80" s="648"/>
    </row>
    <row r="81" spans="1:26" ht="15.75" customHeight="1">
      <c r="A81" s="942"/>
      <c r="B81" s="169"/>
      <c r="C81" s="169"/>
      <c r="D81" s="1643" t="s">
        <v>1205</v>
      </c>
      <c r="E81" s="169"/>
      <c r="F81" s="169"/>
      <c r="G81" s="169"/>
      <c r="H81" s="169"/>
      <c r="I81" s="169"/>
      <c r="J81" s="169"/>
      <c r="K81" s="169"/>
      <c r="L81" s="380"/>
      <c r="M81" s="380"/>
      <c r="N81" s="380"/>
      <c r="O81" s="169"/>
      <c r="P81" s="169"/>
      <c r="Q81" s="169"/>
      <c r="R81" s="169"/>
      <c r="S81" s="169"/>
      <c r="T81" s="850" t="s">
        <v>1206</v>
      </c>
      <c r="U81" s="851" t="s">
        <v>19</v>
      </c>
      <c r="V81" s="4753"/>
      <c r="W81" s="4754"/>
      <c r="X81" s="4754"/>
      <c r="Y81" s="1049"/>
      <c r="Z81" s="659"/>
    </row>
    <row r="82" spans="1:26" ht="15.75" customHeight="1">
      <c r="A82" s="942"/>
      <c r="B82" s="169"/>
      <c r="C82" s="472" t="s">
        <v>85</v>
      </c>
      <c r="D82" s="374" t="s">
        <v>781</v>
      </c>
      <c r="E82" s="169"/>
      <c r="F82" s="169"/>
      <c r="G82" s="169"/>
      <c r="H82" s="169"/>
      <c r="I82" s="169"/>
      <c r="J82" s="169"/>
      <c r="K82" s="169"/>
      <c r="L82" s="380"/>
      <c r="M82" s="380"/>
      <c r="N82" s="380"/>
      <c r="O82" s="169"/>
      <c r="P82" s="169"/>
      <c r="Q82" s="169"/>
      <c r="R82" s="169"/>
      <c r="S82" s="169"/>
      <c r="T82" s="850"/>
      <c r="U82" s="1493"/>
      <c r="V82" s="1494"/>
      <c r="W82" s="1492"/>
      <c r="X82" s="1492"/>
      <c r="Y82" s="1049"/>
      <c r="Z82" s="659"/>
    </row>
    <row r="83" spans="1:26" ht="13.5" customHeight="1">
      <c r="A83" s="942"/>
      <c r="B83" s="169"/>
      <c r="C83" s="472"/>
      <c r="D83" s="729" t="s">
        <v>1779</v>
      </c>
      <c r="E83" s="169"/>
      <c r="F83" s="169"/>
      <c r="G83" s="169"/>
      <c r="H83" s="169"/>
      <c r="I83" s="169"/>
      <c r="J83" s="169"/>
      <c r="K83" s="169"/>
      <c r="L83" s="380"/>
      <c r="M83" s="380"/>
      <c r="N83" s="380"/>
      <c r="O83" s="169"/>
      <c r="P83" s="169"/>
      <c r="Q83" s="169"/>
      <c r="R83" s="169"/>
      <c r="S83" s="169"/>
      <c r="T83" s="850"/>
      <c r="U83" s="661" t="s">
        <v>22</v>
      </c>
      <c r="V83" s="4655"/>
      <c r="W83" s="4696"/>
      <c r="X83" s="4696"/>
      <c r="Y83" s="1049"/>
      <c r="Z83" s="659"/>
    </row>
    <row r="84" spans="1:26" ht="12.75" customHeight="1">
      <c r="A84" s="942"/>
      <c r="B84" s="37"/>
      <c r="C84" s="472">
        <v>2</v>
      </c>
      <c r="D84" s="1861" t="s">
        <v>211</v>
      </c>
      <c r="E84" s="37"/>
      <c r="F84" s="37"/>
      <c r="G84" s="37"/>
      <c r="H84" s="37"/>
      <c r="I84" s="37"/>
      <c r="J84" s="37"/>
      <c r="K84" s="37"/>
      <c r="L84" s="46"/>
      <c r="M84" s="46"/>
      <c r="N84" s="46"/>
      <c r="O84" s="37"/>
      <c r="P84" s="37"/>
      <c r="Q84" s="37"/>
      <c r="R84" s="37"/>
      <c r="S84" s="37"/>
      <c r="T84" s="37"/>
      <c r="U84" s="646"/>
      <c r="V84" s="4731" t="s">
        <v>692</v>
      </c>
      <c r="W84" s="4732"/>
      <c r="X84" s="4732"/>
      <c r="Y84" s="117"/>
      <c r="Z84" s="648"/>
    </row>
    <row r="85" spans="1:26" ht="12.75" customHeight="1">
      <c r="A85" s="942"/>
      <c r="B85" s="37"/>
      <c r="C85" s="37"/>
      <c r="D85" s="1861" t="s">
        <v>732</v>
      </c>
      <c r="E85" s="37"/>
      <c r="F85" s="37"/>
      <c r="G85" s="37"/>
      <c r="H85" s="37"/>
      <c r="I85" s="37"/>
      <c r="J85" s="37"/>
      <c r="K85" s="37"/>
      <c r="L85" s="46"/>
      <c r="M85" s="46"/>
      <c r="N85" s="46"/>
      <c r="O85" s="37"/>
      <c r="P85" s="37"/>
      <c r="Q85" s="37"/>
      <c r="R85" s="37"/>
      <c r="S85" s="37"/>
      <c r="T85" s="37"/>
      <c r="U85" s="646"/>
      <c r="V85" s="4735" t="s">
        <v>693</v>
      </c>
      <c r="W85" s="3742"/>
      <c r="X85" s="3742"/>
      <c r="Y85" s="117"/>
      <c r="Z85" s="648"/>
    </row>
    <row r="86" spans="1:26" ht="12.75" customHeight="1">
      <c r="A86" s="942"/>
      <c r="B86" s="37"/>
      <c r="C86" s="37"/>
      <c r="D86" s="1861" t="s">
        <v>1192</v>
      </c>
      <c r="E86" s="37"/>
      <c r="F86" s="37"/>
      <c r="G86" s="37"/>
      <c r="H86" s="37"/>
      <c r="I86" s="37"/>
      <c r="J86" s="37"/>
      <c r="K86" s="37"/>
      <c r="L86" s="46"/>
      <c r="M86" s="46"/>
      <c r="N86" s="46"/>
      <c r="O86" s="37"/>
      <c r="P86" s="37"/>
      <c r="Q86" s="37"/>
      <c r="R86" s="37"/>
      <c r="S86" s="37"/>
      <c r="T86" s="37"/>
      <c r="U86" s="646"/>
      <c r="V86" s="4735" t="s">
        <v>694</v>
      </c>
      <c r="W86" s="3742"/>
      <c r="X86" s="3742"/>
      <c r="Y86" s="117"/>
      <c r="Z86" s="648"/>
    </row>
    <row r="87" spans="1:26" ht="12.75" customHeight="1" thickBot="1">
      <c r="A87" s="942"/>
      <c r="B87" s="37"/>
      <c r="C87" s="37"/>
      <c r="D87" s="1861" t="s">
        <v>1783</v>
      </c>
      <c r="E87" s="37"/>
      <c r="F87" s="37"/>
      <c r="G87" s="37"/>
      <c r="H87" s="37"/>
      <c r="I87" s="37"/>
      <c r="J87" s="37"/>
      <c r="K87" s="37"/>
      <c r="L87" s="46"/>
      <c r="M87" s="46"/>
      <c r="N87" s="46"/>
      <c r="O87" s="37"/>
      <c r="P87" s="37"/>
      <c r="Q87" s="37"/>
      <c r="R87" s="37"/>
      <c r="S87" s="37"/>
      <c r="T87" s="37"/>
      <c r="U87" s="646"/>
      <c r="V87" s="2959"/>
      <c r="W87" s="2958"/>
      <c r="X87" s="2958"/>
      <c r="Y87" s="117"/>
      <c r="Z87" s="648"/>
    </row>
    <row r="88" spans="1:26" ht="13.5" customHeight="1" thickBot="1">
      <c r="A88" s="942"/>
      <c r="B88" s="37"/>
      <c r="C88" s="37"/>
      <c r="D88" s="1861" t="s">
        <v>1784</v>
      </c>
      <c r="E88" s="37"/>
      <c r="F88" s="37"/>
      <c r="G88" s="37"/>
      <c r="H88" s="37"/>
      <c r="I88" s="37"/>
      <c r="J88" s="37"/>
      <c r="K88" s="37"/>
      <c r="L88" s="46"/>
      <c r="M88" s="46"/>
      <c r="N88" s="46"/>
      <c r="O88" s="37"/>
      <c r="P88" s="37"/>
      <c r="Q88" s="37"/>
      <c r="R88" s="37"/>
      <c r="S88" s="37"/>
      <c r="T88" s="2972" t="s">
        <v>1785</v>
      </c>
      <c r="U88" s="470">
        <v>2</v>
      </c>
      <c r="V88" s="4678" t="str">
        <f>IF(Z88&lt;&gt;"",Z88,IF(OR(C43&lt;&gt;"",P43=""),"",Business_Profit))</f>
        <v/>
      </c>
      <c r="W88" s="4679"/>
      <c r="X88" s="4679"/>
      <c r="Y88" s="117"/>
      <c r="Z88" s="598"/>
    </row>
    <row r="89" spans="1:26" ht="13.5" customHeight="1" thickBot="1">
      <c r="A89" s="942"/>
      <c r="B89" s="37"/>
      <c r="C89" s="472">
        <v>3</v>
      </c>
      <c r="D89" s="1609" t="s">
        <v>1216</v>
      </c>
      <c r="E89" s="37"/>
      <c r="F89" s="37"/>
      <c r="G89" s="37"/>
      <c r="H89" s="185"/>
      <c r="I89" s="185"/>
      <c r="J89" s="185"/>
      <c r="K89" s="185"/>
      <c r="L89" s="185"/>
      <c r="M89" s="185"/>
      <c r="N89" s="185"/>
      <c r="O89" s="185"/>
      <c r="P89" s="185"/>
      <c r="Q89" s="185"/>
      <c r="R89" s="185"/>
      <c r="S89" s="1638"/>
      <c r="T89" s="1638" t="s">
        <v>1217</v>
      </c>
      <c r="U89" s="470">
        <v>3</v>
      </c>
      <c r="V89" s="4688" t="str">
        <f>IF(Z89&lt;&gt;"",Z89,IF(OR(C43&lt;&gt;"",P43=""),"",SUM(V81,V83,V88)))</f>
        <v/>
      </c>
      <c r="W89" s="4689"/>
      <c r="X89" s="4689"/>
      <c r="Y89" s="117"/>
      <c r="Z89" s="598"/>
    </row>
    <row r="90" spans="1:26" ht="13.5" customHeight="1">
      <c r="A90" s="942"/>
      <c r="B90" s="37"/>
      <c r="C90" s="61" t="s">
        <v>193</v>
      </c>
      <c r="D90" s="37" t="str">
        <f>"If line 3 is more than zero, multiply line 3 by "&amp;TEXT(V60,"0.00%")&amp;" ("&amp;TEXT(V60,".0000")&amp;"). Otherwise, enter amount from line 3"</f>
        <v>If line 3 is more than zero, multiply line 3 by 92.35% (.9235). Otherwise, enter amount from line 3</v>
      </c>
      <c r="E90" s="37"/>
      <c r="F90" s="37"/>
      <c r="G90" s="37"/>
      <c r="H90" s="37"/>
      <c r="I90" s="37"/>
      <c r="J90" s="37"/>
      <c r="K90" s="37"/>
      <c r="L90" s="46"/>
      <c r="M90" s="46"/>
      <c r="N90" s="46"/>
      <c r="O90" s="37"/>
      <c r="P90" s="37"/>
      <c r="Q90" s="37"/>
      <c r="R90" s="37"/>
      <c r="S90" s="37"/>
      <c r="T90" s="37"/>
      <c r="U90" s="470" t="s">
        <v>193</v>
      </c>
      <c r="V90" s="4688" t="str">
        <f>IF(OR(C43&lt;&gt;"",P43=""),"",IF(V89&gt;0,ROUND(V89*V60,0),V89))</f>
        <v/>
      </c>
      <c r="W90" s="4689"/>
      <c r="X90" s="4689"/>
      <c r="Y90" s="117"/>
      <c r="Z90" s="895" t="str">
        <f>IF(OR($V$119&gt;$V$117,$V$126&gt;$V$124),"Error!","")</f>
        <v/>
      </c>
    </row>
    <row r="91" spans="1:26">
      <c r="A91" s="942"/>
      <c r="B91" s="37"/>
      <c r="C91" s="61"/>
      <c r="D91" s="371" t="s">
        <v>1207</v>
      </c>
      <c r="E91" s="37"/>
      <c r="F91" s="37"/>
      <c r="G91" s="37"/>
      <c r="H91" s="37"/>
      <c r="I91" s="37"/>
      <c r="J91" s="37"/>
      <c r="K91" s="37"/>
      <c r="L91" s="46"/>
      <c r="M91" s="46"/>
      <c r="N91" s="46"/>
      <c r="O91" s="37"/>
      <c r="P91" s="37"/>
      <c r="Q91" s="37"/>
      <c r="R91" s="37"/>
      <c r="S91" s="37"/>
      <c r="T91" s="37"/>
      <c r="U91" s="1650"/>
      <c r="V91" s="2821"/>
      <c r="W91" s="2822"/>
      <c r="X91" s="2822"/>
      <c r="Y91" s="117"/>
      <c r="Z91" s="895"/>
    </row>
    <row r="92" spans="1:26">
      <c r="A92" s="942"/>
      <c r="B92" s="37"/>
      <c r="C92" s="61" t="s">
        <v>85</v>
      </c>
      <c r="D92" s="37" t="s">
        <v>209</v>
      </c>
      <c r="E92" s="37"/>
      <c r="F92" s="37"/>
      <c r="G92" s="37"/>
      <c r="H92" s="37"/>
      <c r="I92" s="37"/>
      <c r="J92" s="37"/>
      <c r="K92" s="37"/>
      <c r="L92" s="46"/>
      <c r="M92" s="46"/>
      <c r="N92" s="46"/>
      <c r="O92" s="37"/>
      <c r="P92" s="37"/>
      <c r="Q92" s="37"/>
      <c r="R92" s="37"/>
      <c r="S92" s="37"/>
      <c r="T92" s="850" t="s">
        <v>911</v>
      </c>
      <c r="U92" s="470" t="s">
        <v>163</v>
      </c>
      <c r="V92" s="4678" t="str">
        <f>IF(OR(C43&lt;&gt;"",P43=""),"",V119+V126)</f>
        <v/>
      </c>
      <c r="W92" s="4679"/>
      <c r="X92" s="4679"/>
      <c r="Y92" s="117"/>
      <c r="Z92" s="895" t="str">
        <f>IF(OR($V$119&gt;$V$117,$V$126&gt;$V$124),"See Part II.","")</f>
        <v/>
      </c>
    </row>
    <row r="93" spans="1:26">
      <c r="A93" s="942"/>
      <c r="B93" s="37"/>
      <c r="C93" s="61" t="s">
        <v>86</v>
      </c>
      <c r="D93" s="37" t="str">
        <f>"Combine lines 4a and 4b.  If less than "&amp;TEXT(V58,"$0")&amp; ","</f>
        <v>Combine lines 4a and 4b.  If less than $400,</v>
      </c>
      <c r="E93" s="37"/>
      <c r="F93" s="37"/>
      <c r="G93" s="37"/>
      <c r="H93" s="37"/>
      <c r="I93" s="37"/>
      <c r="J93" s="37"/>
      <c r="K93" s="432" t="s">
        <v>954</v>
      </c>
      <c r="L93" s="46"/>
      <c r="M93" s="46"/>
      <c r="N93" s="46"/>
      <c r="O93" s="37"/>
      <c r="P93" s="37"/>
      <c r="Q93" s="37"/>
      <c r="R93" s="37"/>
      <c r="S93" s="37"/>
      <c r="T93" s="37"/>
      <c r="U93" s="646"/>
      <c r="V93" s="4751" t="str">
        <f>IF(OR(C43&lt;&gt;"",P43=""),"",SUM(V90:V92))</f>
        <v/>
      </c>
      <c r="W93" s="4752"/>
      <c r="X93" s="4752"/>
      <c r="Y93" s="117"/>
      <c r="Z93" s="648"/>
    </row>
    <row r="94" spans="1:26" ht="15" thickBot="1">
      <c r="A94" s="942"/>
      <c r="B94" s="37"/>
      <c r="C94" s="37"/>
      <c r="D94" s="1609" t="s">
        <v>955</v>
      </c>
      <c r="E94" s="37"/>
      <c r="F94" s="37"/>
      <c r="G94" s="37"/>
      <c r="H94" s="37"/>
      <c r="I94" s="37"/>
      <c r="J94" s="37"/>
      <c r="K94" s="37"/>
      <c r="L94" s="46"/>
      <c r="M94" s="46"/>
      <c r="N94" s="46"/>
      <c r="O94" s="37"/>
      <c r="P94" s="37"/>
      <c r="Q94" s="37"/>
      <c r="R94" s="37"/>
      <c r="S94" s="37"/>
      <c r="T94" s="656"/>
      <c r="U94" s="470" t="s">
        <v>162</v>
      </c>
      <c r="V94" s="4678" t="str">
        <f>IF(OR(C43&lt;&gt;"",P43=""),"",IF(Y95&lt;&gt;"",0,SUM(V90:V92)))</f>
        <v/>
      </c>
      <c r="W94" s="4679"/>
      <c r="X94" s="4679"/>
      <c r="Y94" s="1051" t="str">
        <f>IF(V94&lt;400,"            Stop","")</f>
        <v/>
      </c>
      <c r="Z94" s="2114" t="str">
        <f>IF(OR($P$43="",V94=0),"",IF(AND(Y95="",V93&lt;V58),"Stop","Continue"))</f>
        <v/>
      </c>
    </row>
    <row r="95" spans="1:26" ht="13.5" thickBot="1">
      <c r="A95" s="942"/>
      <c r="B95" s="37"/>
      <c r="C95" s="472" t="s">
        <v>627</v>
      </c>
      <c r="D95" s="1609" t="s">
        <v>956</v>
      </c>
      <c r="E95" s="37"/>
      <c r="F95" s="37"/>
      <c r="G95" s="37"/>
      <c r="H95" s="37"/>
      <c r="I95" s="37"/>
      <c r="J95" s="37"/>
      <c r="K95" s="37"/>
      <c r="L95" s="46"/>
      <c r="M95" s="46"/>
      <c r="N95" s="46"/>
      <c r="O95" s="37"/>
      <c r="P95" s="37"/>
      <c r="Q95" s="37"/>
      <c r="R95" s="37"/>
      <c r="S95" s="37"/>
      <c r="T95" s="37"/>
      <c r="U95" s="649"/>
      <c r="V95" s="4749"/>
      <c r="W95" s="4750"/>
      <c r="X95" s="4750"/>
      <c r="Y95" s="1554"/>
      <c r="Z95" s="1555" t="str">
        <f>IF(OR(C43&lt;&gt;"",P43="",$V$93=0,$V$93&gt;=$V$58),"","&lt; Check here if")</f>
        <v/>
      </c>
    </row>
    <row r="96" spans="1:26">
      <c r="A96" s="942"/>
      <c r="B96" s="37"/>
      <c r="C96" s="37"/>
      <c r="D96" s="1609" t="s">
        <v>1208</v>
      </c>
      <c r="E96" s="37"/>
      <c r="F96" s="37"/>
      <c r="G96" s="37"/>
      <c r="H96" s="37"/>
      <c r="I96" s="37"/>
      <c r="J96" s="37"/>
      <c r="K96" s="37"/>
      <c r="L96" s="46"/>
      <c r="M96" s="46"/>
      <c r="N96" s="46"/>
      <c r="O96" s="850" t="s">
        <v>1184</v>
      </c>
      <c r="P96" s="642" t="s">
        <v>627</v>
      </c>
      <c r="Q96" s="4655"/>
      <c r="R96" s="4656"/>
      <c r="S96" s="4656"/>
      <c r="T96" s="4657"/>
      <c r="U96" s="649"/>
      <c r="V96" s="4745"/>
      <c r="W96" s="4746"/>
      <c r="X96" s="4746"/>
      <c r="Y96" s="117"/>
      <c r="Z96" s="1555" t="str">
        <f>IF(OR(C43&lt;&gt;"",P43="",$V$93=0,$V$93&gt;=$V$58),"","church employee")</f>
        <v/>
      </c>
    </row>
    <row r="97" spans="1:34">
      <c r="A97" s="942"/>
      <c r="B97" s="37"/>
      <c r="C97" s="61" t="s">
        <v>85</v>
      </c>
      <c r="D97" s="37" t="str">
        <f>"Multiply line 5a by "&amp;TEXT(V60,"0.00%")&amp;" ("&amp;TEXT(V60,".0000")&amp;"). If less than $100, enter -0-"</f>
        <v>Multiply line 5a by 92.35% (.9235). If less than $100, enter -0-</v>
      </c>
      <c r="E97" s="37"/>
      <c r="F97" s="37"/>
      <c r="G97" s="37"/>
      <c r="H97" s="37"/>
      <c r="I97" s="37"/>
      <c r="J97" s="37"/>
      <c r="K97" s="37"/>
      <c r="L97" s="46"/>
      <c r="M97" s="46"/>
      <c r="N97" s="46"/>
      <c r="O97" s="37"/>
      <c r="P97" s="37"/>
      <c r="Q97" s="37"/>
      <c r="R97" s="37"/>
      <c r="S97" s="37"/>
      <c r="T97" s="850" t="s">
        <v>466</v>
      </c>
      <c r="U97" s="470" t="s">
        <v>628</v>
      </c>
      <c r="V97" s="4678" t="str">
        <f>IF(OR(C43&lt;&gt;"",P43=""),"",IF(OR(Q96="",Q96&lt;100),0,ROUND(Q96*V60,0)))</f>
        <v/>
      </c>
      <c r="W97" s="4679"/>
      <c r="X97" s="4679"/>
      <c r="Y97" s="117"/>
      <c r="Z97" s="1555" t="str">
        <f>IF(OR(C43&lt;&gt;"",P43="",$V$93=0,$V$93&gt;=$V$58),"","income.")</f>
        <v/>
      </c>
      <c r="AC97" s="2797"/>
    </row>
    <row r="98" spans="1:34" ht="13.5" thickBot="1">
      <c r="A98" s="942"/>
      <c r="B98" s="37"/>
      <c r="C98" s="472">
        <v>6</v>
      </c>
      <c r="D98" s="1609" t="s">
        <v>957</v>
      </c>
      <c r="E98" s="37"/>
      <c r="F98" s="37"/>
      <c r="G98" s="37"/>
      <c r="H98" s="37"/>
      <c r="I98" s="37"/>
      <c r="J98" s="37"/>
      <c r="K98" s="37"/>
      <c r="L98" s="46"/>
      <c r="M98" s="46"/>
      <c r="N98" s="46"/>
      <c r="O98" s="37"/>
      <c r="P98" s="37"/>
      <c r="Q98" s="37"/>
      <c r="R98" s="37"/>
      <c r="S98" s="37"/>
      <c r="T98" s="2972" t="s">
        <v>2003</v>
      </c>
      <c r="U98" s="470">
        <v>6</v>
      </c>
      <c r="V98" s="4688" t="str">
        <f>IF(OR(C43&lt;&gt;"",P43="",Z94="Stop"),"",V94+V97)</f>
        <v/>
      </c>
      <c r="W98" s="4689"/>
      <c r="X98" s="4689"/>
      <c r="Y98" s="117"/>
      <c r="Z98" s="648"/>
      <c r="AC98" s="2823" t="str">
        <f>IF(B6&lt;&gt;1,"",IF(D4&lt;&gt;"",'W-2s'!G5,IF(D8&lt;&gt;"",'W-2s'!G28,0)))</f>
        <v/>
      </c>
    </row>
    <row r="99" spans="1:34" ht="13.5" thickBot="1">
      <c r="A99" s="942"/>
      <c r="B99" s="37"/>
      <c r="C99" s="472">
        <v>7</v>
      </c>
      <c r="D99" s="37" t="s">
        <v>95</v>
      </c>
      <c r="E99" s="37"/>
      <c r="F99" s="37"/>
      <c r="G99" s="37"/>
      <c r="H99" s="37"/>
      <c r="I99" s="37"/>
      <c r="J99" s="37"/>
      <c r="K99" s="37"/>
      <c r="L99" s="46"/>
      <c r="M99" s="46"/>
      <c r="N99" s="46"/>
      <c r="O99" s="37"/>
      <c r="P99" s="37"/>
      <c r="Q99" s="37"/>
      <c r="R99" s="37"/>
      <c r="S99" s="37"/>
      <c r="T99" s="37"/>
      <c r="U99" s="646"/>
      <c r="V99" s="37"/>
      <c r="W99" s="37"/>
      <c r="X99" s="37"/>
      <c r="Y99" s="117"/>
      <c r="Z99" s="598"/>
    </row>
    <row r="100" spans="1:34" s="938" customFormat="1" ht="12.75" customHeight="1">
      <c r="A100" s="1033"/>
      <c r="B100" s="613"/>
      <c r="C100" s="613"/>
      <c r="D100" s="613" t="str">
        <f>"tax or the 6.2% portion of the 7.65% railroad retirement (tier 1) tax for "&amp;TaxYear</f>
        <v>tax or the 6.2% portion of the 7.65% railroad retirement (tier 1) tax for 2014</v>
      </c>
      <c r="E100" s="613"/>
      <c r="F100" s="613"/>
      <c r="G100" s="613"/>
      <c r="H100" s="613"/>
      <c r="I100" s="613"/>
      <c r="J100" s="613"/>
      <c r="K100" s="613"/>
      <c r="L100" s="144"/>
      <c r="M100" s="144"/>
      <c r="N100" s="144"/>
      <c r="O100" s="613"/>
      <c r="P100" s="613"/>
      <c r="Q100" s="613"/>
      <c r="R100" s="613"/>
      <c r="S100" s="613"/>
      <c r="T100" s="857" t="s">
        <v>1059</v>
      </c>
      <c r="U100" s="1054">
        <v>7</v>
      </c>
      <c r="V100" s="4690">
        <f>S62</f>
        <v>117000</v>
      </c>
      <c r="W100" s="4691"/>
      <c r="X100" s="4691"/>
      <c r="Y100" s="1052"/>
      <c r="Z100" s="852" t="s">
        <v>590</v>
      </c>
      <c r="AB100" s="2800"/>
      <c r="AC100" s="2801"/>
      <c r="AD100" s="2801"/>
      <c r="AE100" s="2801"/>
      <c r="AF100" s="2801"/>
      <c r="AG100" s="2801"/>
      <c r="AH100" s="2802"/>
    </row>
    <row r="101" spans="1:34" ht="12.75" customHeight="1" thickBot="1">
      <c r="A101" s="942"/>
      <c r="B101" s="37"/>
      <c r="C101" s="472" t="s">
        <v>63</v>
      </c>
      <c r="D101" s="1609" t="s">
        <v>958</v>
      </c>
      <c r="E101" s="37"/>
      <c r="F101" s="37"/>
      <c r="G101" s="37"/>
      <c r="H101" s="37"/>
      <c r="I101" s="37"/>
      <c r="J101" s="37"/>
      <c r="K101" s="37"/>
      <c r="L101" s="46"/>
      <c r="M101" s="46"/>
      <c r="N101" s="46"/>
      <c r="O101" s="37"/>
      <c r="P101" s="37"/>
      <c r="Q101" s="4695"/>
      <c r="R101" s="3889"/>
      <c r="S101" s="3889"/>
      <c r="T101" s="3893"/>
      <c r="U101" s="649"/>
      <c r="V101" s="4706"/>
      <c r="W101" s="4707"/>
      <c r="X101" s="4707"/>
      <c r="Y101" s="117"/>
      <c r="Z101" s="852" t="s">
        <v>591</v>
      </c>
      <c r="AB101" s="2803"/>
      <c r="AC101" s="2976" t="s">
        <v>1788</v>
      </c>
      <c r="AD101" s="2805"/>
      <c r="AE101" s="2805"/>
      <c r="AF101" s="2805"/>
      <c r="AG101" s="2805"/>
      <c r="AH101" s="2806"/>
    </row>
    <row r="102" spans="1:34" ht="12.75" customHeight="1" thickBot="1">
      <c r="A102" s="942"/>
      <c r="B102" s="37"/>
      <c r="C102" s="472"/>
      <c r="D102" s="1651" t="s">
        <v>960</v>
      </c>
      <c r="E102" s="37"/>
      <c r="F102" s="37"/>
      <c r="G102" s="37"/>
      <c r="H102" s="37"/>
      <c r="I102" s="37"/>
      <c r="J102" s="37"/>
      <c r="K102" s="37"/>
      <c r="L102" s="46"/>
      <c r="M102" s="46"/>
      <c r="N102" s="46"/>
      <c r="O102" s="37"/>
      <c r="P102" s="657"/>
      <c r="Q102" s="4674"/>
      <c r="R102" s="4598"/>
      <c r="S102" s="4598"/>
      <c r="T102" s="3893"/>
      <c r="U102" s="649"/>
      <c r="V102" s="4708" t="str">
        <f>IF(OR(C43&lt;&gt;"",P43="",Z94="Stop"),"",IF($Z$105="","Enter RR retirement",""))</f>
        <v/>
      </c>
      <c r="W102" s="4709"/>
      <c r="X102" s="4709"/>
      <c r="Y102" s="117"/>
      <c r="Z102" s="2799"/>
      <c r="AA102" s="2977" t="s">
        <v>1789</v>
      </c>
      <c r="AB102" s="2807"/>
      <c r="AC102" s="2804" t="s">
        <v>1787</v>
      </c>
      <c r="AD102" s="2581"/>
      <c r="AE102" s="2581"/>
      <c r="AF102" s="2581"/>
      <c r="AG102" s="2581"/>
      <c r="AH102" s="2668"/>
    </row>
    <row r="103" spans="1:34" ht="12.75" customHeight="1">
      <c r="A103" s="942"/>
      <c r="B103" s="37"/>
      <c r="C103" s="37"/>
      <c r="D103" s="613" t="str">
        <f>"If "&amp;TEXT(V100,"$00,000")&amp;" or more, skip lines 8b through 10 and go to line 11"</f>
        <v>If $117,000 or more, skip lines 8b through 10 and go to line 11</v>
      </c>
      <c r="E103" s="37"/>
      <c r="F103" s="37"/>
      <c r="G103" s="37"/>
      <c r="H103" s="37"/>
      <c r="I103" s="37"/>
      <c r="J103" s="37"/>
      <c r="K103" s="37"/>
      <c r="L103" s="46"/>
      <c r="M103" s="46"/>
      <c r="N103" s="46"/>
      <c r="O103" s="61" t="s">
        <v>1210</v>
      </c>
      <c r="P103" s="642" t="s">
        <v>63</v>
      </c>
      <c r="Q103" s="4678" t="str">
        <f>IF(Z102&lt;&gt;"",SUM(Z102,Z105),IF(OR(C43&lt;&gt;"",P43="",Z94="Stop"),"",SUM(AC98,Z105)))</f>
        <v/>
      </c>
      <c r="R103" s="4692"/>
      <c r="S103" s="4692"/>
      <c r="T103" s="4693"/>
      <c r="U103" s="649"/>
      <c r="V103" s="4710" t="str">
        <f>IF(OR(C43&lt;&gt;"",P43="",Z94="Stop"),"",IF($Z$105="","(tier 1) compensation",""))</f>
        <v/>
      </c>
      <c r="W103" s="4711"/>
      <c r="X103" s="4711"/>
      <c r="Y103" s="117"/>
      <c r="Z103" s="4683" t="s">
        <v>961</v>
      </c>
      <c r="AB103" s="2807"/>
      <c r="AC103" s="2804" t="s">
        <v>1654</v>
      </c>
      <c r="AD103" s="2804"/>
      <c r="AE103" s="2581"/>
      <c r="AF103" s="2581"/>
      <c r="AG103" s="2581"/>
      <c r="AH103" s="2668"/>
    </row>
    <row r="104" spans="1:34" ht="13.5" customHeight="1" thickBot="1">
      <c r="A104" s="942"/>
      <c r="B104" s="37"/>
      <c r="C104" s="472" t="s">
        <v>85</v>
      </c>
      <c r="D104" s="371" t="s">
        <v>642</v>
      </c>
      <c r="E104" s="37"/>
      <c r="F104" s="37"/>
      <c r="G104" s="37"/>
      <c r="H104" s="37"/>
      <c r="I104" s="37"/>
      <c r="J104" s="37"/>
      <c r="K104" s="37"/>
      <c r="L104" s="46"/>
      <c r="M104" s="46"/>
      <c r="N104" s="46"/>
      <c r="O104" s="37"/>
      <c r="P104" s="642" t="s">
        <v>65</v>
      </c>
      <c r="Q104" s="4694"/>
      <c r="R104" s="3812"/>
      <c r="S104" s="3812"/>
      <c r="T104" s="4011"/>
      <c r="U104" s="649"/>
      <c r="V104" s="4684" t="str">
        <f>IF(OR(C43&lt;&gt;"",P43="",Z94="Stop"),"",IF($Z$105="","amounts here.",""))</f>
        <v/>
      </c>
      <c r="W104" s="4685"/>
      <c r="X104" s="4685"/>
      <c r="Y104" s="117"/>
      <c r="Z104" s="4570"/>
      <c r="AB104" s="2808"/>
      <c r="AC104" s="2809"/>
      <c r="AD104" s="2809"/>
      <c r="AE104" s="2809"/>
      <c r="AF104" s="2809"/>
      <c r="AG104" s="2809"/>
      <c r="AH104" s="2810"/>
    </row>
    <row r="105" spans="1:34" ht="12.75" customHeight="1" thickBot="1">
      <c r="A105" s="942"/>
      <c r="B105" s="37"/>
      <c r="C105" s="472" t="s">
        <v>86</v>
      </c>
      <c r="D105" s="37" t="s">
        <v>643</v>
      </c>
      <c r="E105" s="37"/>
      <c r="F105" s="37"/>
      <c r="G105" s="37"/>
      <c r="H105" s="37"/>
      <c r="I105" s="37"/>
      <c r="J105" s="37"/>
      <c r="K105" s="37"/>
      <c r="L105" s="46"/>
      <c r="M105" s="46"/>
      <c r="N105" s="46"/>
      <c r="O105" s="37"/>
      <c r="P105" s="642" t="s">
        <v>161</v>
      </c>
      <c r="Q105" s="4694"/>
      <c r="R105" s="3812"/>
      <c r="S105" s="3812"/>
      <c r="T105" s="4011"/>
      <c r="U105" s="649"/>
      <c r="V105" s="4684" t="str">
        <f>IF(OR(C43&lt;&gt;"",P43="",Z94="Stop"),"",IF($Z$105="","(Enter '0' if none.) --&gt;",""))</f>
        <v/>
      </c>
      <c r="W105" s="4685"/>
      <c r="X105" s="4685"/>
      <c r="Y105" s="117"/>
      <c r="Z105" s="853"/>
    </row>
    <row r="106" spans="1:34" ht="15.75" customHeight="1" thickBot="1">
      <c r="A106" s="942"/>
      <c r="B106" s="37"/>
      <c r="C106" s="472" t="s">
        <v>154</v>
      </c>
      <c r="D106" s="37" t="s">
        <v>640</v>
      </c>
      <c r="E106" s="37"/>
      <c r="F106" s="37"/>
      <c r="G106" s="37"/>
      <c r="H106" s="37"/>
      <c r="I106" s="37"/>
      <c r="J106" s="37"/>
      <c r="K106" s="37"/>
      <c r="L106" s="46"/>
      <c r="M106" s="46"/>
      <c r="N106" s="46"/>
      <c r="O106" s="37"/>
      <c r="P106" s="37"/>
      <c r="Q106" s="37"/>
      <c r="R106" s="37"/>
      <c r="S106" s="37"/>
      <c r="T106" s="61" t="s">
        <v>734</v>
      </c>
      <c r="U106" s="470" t="s">
        <v>641</v>
      </c>
      <c r="V106" s="4686" t="str">
        <f>IF(Z106&lt;&gt;"",Z106,IF(OR(C43&lt;&gt;"",P43="",Z94="Stop"),"",IF(Q103&gt;=V100,"",SUM(Q103,Q104,Q105))))</f>
        <v/>
      </c>
      <c r="W106" s="4687"/>
      <c r="X106" s="4687"/>
      <c r="Y106" s="117"/>
      <c r="Z106" s="598"/>
    </row>
    <row r="107" spans="1:34" ht="14.25">
      <c r="A107" s="942"/>
      <c r="B107" s="37"/>
      <c r="C107" s="472">
        <v>9</v>
      </c>
      <c r="D107" s="37" t="s">
        <v>644</v>
      </c>
      <c r="E107" s="37"/>
      <c r="F107" s="37"/>
      <c r="G107" s="37"/>
      <c r="H107" s="37"/>
      <c r="I107" s="37"/>
      <c r="J107" s="37"/>
      <c r="K107" s="37"/>
      <c r="L107" s="46"/>
      <c r="M107" s="46"/>
      <c r="N107" s="46"/>
      <c r="O107" s="37"/>
      <c r="P107" s="37"/>
      <c r="Q107" s="37"/>
      <c r="R107" s="37"/>
      <c r="S107" s="37"/>
      <c r="T107" s="656"/>
      <c r="U107" s="470">
        <v>9</v>
      </c>
      <c r="V107" s="4688" t="str">
        <f>IF(OR(C43&lt;&gt;"",P43="",Z94="Stop"),"",IF(Q103&gt;=V100,"",IF(SUM(V100,-V106)&lt;0,0,SUM(V100,-V106))))</f>
        <v/>
      </c>
      <c r="W107" s="4689"/>
      <c r="X107" s="4689"/>
      <c r="Y107" s="117"/>
      <c r="Z107" s="648"/>
    </row>
    <row r="108" spans="1:34">
      <c r="A108" s="942"/>
      <c r="B108" s="37"/>
      <c r="C108" s="472">
        <v>10</v>
      </c>
      <c r="D108" s="1609" t="s">
        <v>1209</v>
      </c>
      <c r="E108" s="37"/>
      <c r="F108" s="37"/>
      <c r="G108" s="37"/>
      <c r="H108" s="37"/>
      <c r="I108" s="37"/>
      <c r="J108" s="37" t="str">
        <f>TEXT(AC108,"0.0%")&amp;" ("&amp;TEXT(AC108,".000")&amp;")"</f>
        <v>12.4% (.124)</v>
      </c>
      <c r="K108" s="37"/>
      <c r="L108" s="46"/>
      <c r="M108" s="46"/>
      <c r="N108" s="46"/>
      <c r="O108" s="37"/>
      <c r="P108" s="37"/>
      <c r="Q108" s="37"/>
      <c r="R108" s="37"/>
      <c r="S108" s="662"/>
      <c r="T108" s="61" t="s">
        <v>977</v>
      </c>
      <c r="U108" s="470">
        <v>10</v>
      </c>
      <c r="V108" s="4688" t="str">
        <f>IF(OR(C43&lt;&gt;"",P43="",Z94="Stop"),"",IF(OR(V107&lt;=0,Q103&gt;=V100),"",ROUND(AC108*MIN(V98,V107),0)))</f>
        <v/>
      </c>
      <c r="W108" s="4689"/>
      <c r="X108" s="4689"/>
      <c r="Y108" s="117"/>
      <c r="Z108" s="648"/>
      <c r="AC108" s="1265">
        <v>0.124</v>
      </c>
    </row>
    <row r="109" spans="1:34" ht="13.5" thickBot="1">
      <c r="A109" s="942"/>
      <c r="B109" s="37"/>
      <c r="C109" s="472">
        <v>11</v>
      </c>
      <c r="D109" s="37" t="str">
        <f>"Multiply line 6 by "&amp;TEXT(AC109,"0.0%")&amp;" ("&amp;TEXT(AC109,".000")&amp;")"</f>
        <v>Multiply line 6 by 2.9% (.029)</v>
      </c>
      <c r="E109" s="37"/>
      <c r="F109" s="37"/>
      <c r="G109" s="37"/>
      <c r="H109" s="37"/>
      <c r="I109" s="37"/>
      <c r="J109" s="37"/>
      <c r="K109" s="37"/>
      <c r="L109" s="46"/>
      <c r="M109" s="46"/>
      <c r="N109" s="46"/>
      <c r="O109" s="37"/>
      <c r="P109" s="37"/>
      <c r="Q109" s="37"/>
      <c r="R109" s="37"/>
      <c r="S109" s="37"/>
      <c r="T109" s="61" t="s">
        <v>514</v>
      </c>
      <c r="U109" s="470">
        <v>11</v>
      </c>
      <c r="V109" s="4688" t="str">
        <f>IF(OR(C43&lt;&gt;"",P43="",Z94="Stop"),"",ROUND(V98*AC109,0))</f>
        <v/>
      </c>
      <c r="W109" s="4689"/>
      <c r="X109" s="4689"/>
      <c r="Y109" s="117"/>
      <c r="Z109" s="648"/>
      <c r="AC109" s="1265">
        <v>2.9000000000000001E-2</v>
      </c>
    </row>
    <row r="110" spans="1:34" ht="14.25" customHeight="1" thickBot="1">
      <c r="A110" s="942"/>
      <c r="B110" s="37"/>
      <c r="C110" s="472">
        <v>12</v>
      </c>
      <c r="D110" s="681" t="s">
        <v>2710</v>
      </c>
      <c r="E110" s="185"/>
      <c r="F110" s="185"/>
      <c r="G110" s="185"/>
      <c r="H110" s="185"/>
      <c r="I110" s="185"/>
      <c r="J110" s="185"/>
      <c r="K110" s="185"/>
      <c r="L110" s="99"/>
      <c r="M110" s="99"/>
      <c r="N110" s="99"/>
      <c r="O110" s="185"/>
      <c r="P110" s="185"/>
      <c r="Q110" s="185"/>
      <c r="R110" s="185"/>
      <c r="S110" s="185"/>
      <c r="T110" s="61" t="s">
        <v>1218</v>
      </c>
      <c r="U110" s="661">
        <v>12</v>
      </c>
      <c r="V110" s="4688" t="str">
        <f>IF(Z110&lt;&gt;"",Z110,IF(OR(C43&lt;&gt;"",P43="",Z94="Stop"),"",SUM(V108,V109)))</f>
        <v/>
      </c>
      <c r="W110" s="4689"/>
      <c r="X110" s="4689"/>
      <c r="Y110" s="117"/>
      <c r="Z110" s="598"/>
    </row>
    <row r="111" spans="1:34">
      <c r="A111" s="942"/>
      <c r="B111" s="37"/>
      <c r="C111" s="472">
        <v>13</v>
      </c>
      <c r="D111" s="1852" t="s">
        <v>1199</v>
      </c>
      <c r="E111" s="169"/>
      <c r="F111" s="169"/>
      <c r="G111" s="169"/>
      <c r="H111" s="169"/>
      <c r="I111" s="169"/>
      <c r="J111" s="169"/>
      <c r="K111" s="169"/>
      <c r="L111" s="380"/>
      <c r="M111" s="380"/>
      <c r="N111" s="380"/>
      <c r="O111" s="169"/>
      <c r="P111" s="169"/>
      <c r="Q111" s="1653"/>
      <c r="R111" s="37"/>
      <c r="S111" s="1652"/>
      <c r="T111" s="37"/>
      <c r="U111" s="649"/>
      <c r="V111" s="648"/>
      <c r="W111" s="648"/>
      <c r="X111" s="648"/>
      <c r="Y111" s="117"/>
      <c r="Z111" s="648"/>
    </row>
    <row r="112" spans="1:34" ht="13.5" thickBot="1">
      <c r="A112" s="942"/>
      <c r="B112" s="37"/>
      <c r="C112" s="472"/>
      <c r="D112" s="1609" t="str">
        <f>"Multiply line 12 by "&amp;TEXT(Q112,"0%")&amp;" ("&amp;TEXT(Q112,".00")&amp;"). Enter the result here and on"</f>
        <v>Multiply line 12 by 50% (.50). Enter the result here and on</v>
      </c>
      <c r="E112" s="1609"/>
      <c r="F112" s="37"/>
      <c r="G112" s="37"/>
      <c r="H112" s="37"/>
      <c r="I112" s="37"/>
      <c r="J112" s="37"/>
      <c r="K112" s="37"/>
      <c r="L112" s="46"/>
      <c r="M112" s="46"/>
      <c r="N112" s="46"/>
      <c r="O112" s="37"/>
      <c r="P112" s="46"/>
      <c r="Q112" s="4712">
        <v>0.5</v>
      </c>
      <c r="R112" s="4672"/>
      <c r="S112" s="4672"/>
      <c r="T112" s="4673"/>
      <c r="U112" s="649"/>
      <c r="V112" s="1639"/>
      <c r="W112" s="658"/>
      <c r="X112" s="658"/>
      <c r="Y112" s="117"/>
      <c r="Z112" s="648"/>
    </row>
    <row r="113" spans="1:26" ht="12.75" customHeight="1" thickBot="1">
      <c r="A113" s="942"/>
      <c r="B113" s="37"/>
      <c r="C113" s="37"/>
      <c r="D113" s="2973" t="s">
        <v>1786</v>
      </c>
      <c r="E113" s="37"/>
      <c r="F113" s="185"/>
      <c r="G113" s="37"/>
      <c r="H113" s="37"/>
      <c r="I113" s="37"/>
      <c r="J113" s="37"/>
      <c r="K113" s="37"/>
      <c r="L113" s="46"/>
      <c r="M113" s="46"/>
      <c r="N113" s="46"/>
      <c r="O113" s="37"/>
      <c r="P113" s="657">
        <v>13</v>
      </c>
      <c r="Q113" s="4678" t="str">
        <f>IF(Z113&lt;&gt;"",Z113,IF(OR(C43&lt;&gt;"",P43="",Z94="Stop"),"",ROUND(V110*Q112,2)))</f>
        <v/>
      </c>
      <c r="R113" s="4692"/>
      <c r="S113" s="4692"/>
      <c r="T113" s="4693"/>
      <c r="U113" s="649"/>
      <c r="V113" s="648"/>
      <c r="W113" s="648"/>
      <c r="X113" s="648"/>
      <c r="Y113" s="117"/>
      <c r="Z113" s="598"/>
    </row>
    <row r="114" spans="1:26" ht="21" customHeight="1">
      <c r="A114" s="942"/>
      <c r="B114" s="1645"/>
      <c r="C114" s="1646" t="s">
        <v>197</v>
      </c>
      <c r="D114" s="1647"/>
      <c r="E114" s="1648" t="s">
        <v>333</v>
      </c>
      <c r="F114" s="1649"/>
      <c r="G114" s="1649"/>
      <c r="H114" s="1649"/>
      <c r="I114" s="1649"/>
      <c r="J114" s="1649"/>
      <c r="K114" s="1649"/>
      <c r="L114" s="1649"/>
      <c r="M114" s="1649"/>
      <c r="N114" s="1649"/>
      <c r="O114" s="1649"/>
      <c r="P114" s="1649"/>
      <c r="Q114" s="1649"/>
      <c r="R114" s="1649"/>
      <c r="S114" s="1649"/>
      <c r="T114" s="1649"/>
      <c r="U114" s="1649"/>
      <c r="V114" s="1649"/>
      <c r="W114" s="1649"/>
      <c r="X114" s="1649"/>
      <c r="Y114" s="117"/>
      <c r="Z114" s="648"/>
    </row>
    <row r="115" spans="1:26" ht="14.25">
      <c r="A115" s="942"/>
      <c r="B115" s="432" t="s">
        <v>291</v>
      </c>
      <c r="C115" s="37"/>
      <c r="D115" s="37"/>
      <c r="E115" s="37"/>
      <c r="F115" s="37"/>
      <c r="G115" s="37"/>
      <c r="H115" s="37"/>
      <c r="I115" s="37"/>
      <c r="J115" s="37"/>
      <c r="K115" s="37"/>
      <c r="L115" s="46"/>
      <c r="M115" s="46"/>
      <c r="N115" s="46"/>
      <c r="O115" s="37"/>
      <c r="P115" s="37"/>
      <c r="Q115" s="37"/>
      <c r="R115" s="37"/>
      <c r="S115" s="37"/>
      <c r="T115" s="37"/>
      <c r="U115" s="646"/>
      <c r="V115" s="2289">
        <v>7200</v>
      </c>
      <c r="W115" s="37"/>
      <c r="X115" s="37"/>
      <c r="Y115" s="117"/>
      <c r="Z115" s="648"/>
    </row>
    <row r="116" spans="1:26">
      <c r="A116" s="942"/>
      <c r="B116" s="1609" t="str">
        <f>"than "&amp;TEXT(V115,"$0,000")&amp;" or (b) your net farm profits were less than "&amp;TEXT(V116,"$0,000")&amp;"."</f>
        <v>than $7,200 or (b) your net farm profits were less than $5,198.</v>
      </c>
      <c r="C116" s="37"/>
      <c r="D116" s="37"/>
      <c r="E116" s="37"/>
      <c r="F116" s="37"/>
      <c r="G116" s="37"/>
      <c r="H116" s="37"/>
      <c r="I116" s="37"/>
      <c r="J116" s="37"/>
      <c r="K116" s="37"/>
      <c r="L116" s="46"/>
      <c r="M116" s="46"/>
      <c r="N116" s="46"/>
      <c r="O116" s="37"/>
      <c r="P116" s="37"/>
      <c r="Q116" s="37"/>
      <c r="R116" s="37"/>
      <c r="S116" s="37"/>
      <c r="T116" s="37"/>
      <c r="U116" s="646"/>
      <c r="V116" s="2289">
        <v>5198</v>
      </c>
      <c r="W116" s="37"/>
      <c r="X116" s="37"/>
      <c r="Y116" s="117"/>
      <c r="Z116" s="648"/>
    </row>
    <row r="117" spans="1:26" ht="15.75">
      <c r="A117" s="942"/>
      <c r="B117" s="37"/>
      <c r="C117" s="472">
        <v>14</v>
      </c>
      <c r="D117" s="37" t="s">
        <v>811</v>
      </c>
      <c r="E117" s="37"/>
      <c r="F117" s="37"/>
      <c r="G117" s="37"/>
      <c r="H117" s="37"/>
      <c r="I117" s="37"/>
      <c r="J117" s="37"/>
      <c r="K117" s="37"/>
      <c r="L117" s="46"/>
      <c r="M117" s="46"/>
      <c r="N117" s="46"/>
      <c r="O117" s="37"/>
      <c r="P117" s="37"/>
      <c r="Q117" s="37"/>
      <c r="R117" s="37"/>
      <c r="S117" s="37"/>
      <c r="T117" s="61" t="s">
        <v>157</v>
      </c>
      <c r="U117" s="470">
        <v>14</v>
      </c>
      <c r="V117" s="4690">
        <v>4800</v>
      </c>
      <c r="W117" s="4691"/>
      <c r="X117" s="4691"/>
      <c r="Y117" s="117"/>
      <c r="Z117" s="648"/>
    </row>
    <row r="118" spans="1:26" ht="12" customHeight="1">
      <c r="A118" s="942"/>
      <c r="B118" s="37"/>
      <c r="C118" s="472">
        <v>15</v>
      </c>
      <c r="D118" s="1609" t="s">
        <v>1503</v>
      </c>
      <c r="E118" s="37"/>
      <c r="F118" s="37"/>
      <c r="G118" s="37"/>
      <c r="H118" s="37"/>
      <c r="I118" s="37"/>
      <c r="J118" s="37"/>
      <c r="K118" s="37"/>
      <c r="L118" s="46"/>
      <c r="M118" s="46"/>
      <c r="N118" s="46"/>
      <c r="O118" s="37"/>
      <c r="P118" s="37"/>
      <c r="Q118" s="37"/>
      <c r="R118" s="1853" t="str">
        <f>TEXT(V117,"$0,000")&amp;"."</f>
        <v>$4,800.</v>
      </c>
      <c r="S118" s="1609" t="s">
        <v>1215</v>
      </c>
      <c r="T118" s="1853"/>
      <c r="U118" s="646"/>
      <c r="V118" s="37"/>
      <c r="W118" s="37"/>
      <c r="X118" s="37"/>
      <c r="Y118" s="117"/>
      <c r="Z118" s="895" t="str">
        <f>IF($V$119&gt;$V$117,"Line 15 cannot","")</f>
        <v/>
      </c>
    </row>
    <row r="119" spans="1:26" ht="15" customHeight="1">
      <c r="A119" s="942"/>
      <c r="B119" s="67"/>
      <c r="C119" s="67"/>
      <c r="D119" s="638" t="s">
        <v>812</v>
      </c>
      <c r="E119" s="67"/>
      <c r="F119" s="67"/>
      <c r="G119" s="67"/>
      <c r="H119" s="67"/>
      <c r="I119" s="67"/>
      <c r="J119" s="67"/>
      <c r="K119" s="67"/>
      <c r="L119" s="67"/>
      <c r="M119" s="67"/>
      <c r="N119" s="67"/>
      <c r="O119" s="67"/>
      <c r="P119" s="67"/>
      <c r="Q119" s="67"/>
      <c r="R119" s="67"/>
      <c r="S119" s="67"/>
      <c r="T119" s="854" t="s">
        <v>733</v>
      </c>
      <c r="U119" s="470">
        <v>15</v>
      </c>
      <c r="V119" s="4655"/>
      <c r="W119" s="4696"/>
      <c r="X119" s="4696"/>
      <c r="Y119" s="117"/>
      <c r="Z119" s="895" t="str">
        <f>IF($V$119&gt;$V$117,"be more than","")</f>
        <v/>
      </c>
    </row>
    <row r="120" spans="1:26" ht="12" customHeight="1">
      <c r="A120" s="942"/>
      <c r="B120" s="38" t="s">
        <v>2711</v>
      </c>
      <c r="C120" s="37"/>
      <c r="D120" s="37"/>
      <c r="E120" s="37"/>
      <c r="F120" s="37"/>
      <c r="G120" s="37"/>
      <c r="H120" s="37"/>
      <c r="I120" s="37"/>
      <c r="J120" s="37"/>
      <c r="K120" s="37"/>
      <c r="L120" s="46"/>
      <c r="M120" s="46"/>
      <c r="N120" s="46"/>
      <c r="O120" s="37"/>
      <c r="P120" s="37"/>
      <c r="Q120" s="37"/>
      <c r="R120" s="37"/>
      <c r="S120" s="37"/>
      <c r="T120" s="37"/>
      <c r="U120" s="646"/>
      <c r="V120" s="2289">
        <v>0.72189000000000003</v>
      </c>
      <c r="W120" s="37"/>
      <c r="X120" s="37"/>
      <c r="Y120" s="117"/>
      <c r="Z120" s="895" t="str">
        <f>IF($V$119&gt;$V$117,"Line 14.","")</f>
        <v/>
      </c>
    </row>
    <row r="121" spans="1:26" ht="12" customHeight="1">
      <c r="A121" s="942"/>
      <c r="B121" s="1609" t="str">
        <f>"than "&amp;TEXT(V116,"$0,000")&amp;" and also less than "&amp;TEXT(V120,"0.000%")&amp;" of your"</f>
        <v>than $5,198 and also less than 72.189% of your</v>
      </c>
      <c r="C121" s="37"/>
      <c r="D121" s="37"/>
      <c r="E121" s="37"/>
      <c r="F121" s="37"/>
      <c r="G121" s="37"/>
      <c r="H121" s="37"/>
      <c r="I121" s="37"/>
      <c r="J121" s="1609" t="s">
        <v>2712</v>
      </c>
      <c r="K121" s="37"/>
      <c r="L121" s="46"/>
      <c r="M121" s="46"/>
      <c r="N121" s="46"/>
      <c r="O121" s="37"/>
      <c r="P121" s="37"/>
      <c r="Q121" s="37"/>
      <c r="R121" s="37"/>
      <c r="S121" s="37"/>
      <c r="T121" s="37"/>
      <c r="U121" s="646"/>
      <c r="V121" s="2289">
        <v>400</v>
      </c>
      <c r="W121" s="37"/>
      <c r="X121" s="37"/>
      <c r="Y121" s="117"/>
      <c r="Z121" s="648"/>
    </row>
    <row r="122" spans="1:26" ht="12" customHeight="1">
      <c r="A122" s="942"/>
      <c r="B122" s="1609" t="str">
        <f>"from self-employment of at least "&amp;TEXT(V121,"$0")&amp;" in 2 of the prior 3 years."</f>
        <v>from self-employment of at least $400 in 2 of the prior 3 years.</v>
      </c>
      <c r="C122" s="37"/>
      <c r="D122" s="37"/>
      <c r="E122" s="37"/>
      <c r="F122" s="37"/>
      <c r="G122" s="37"/>
      <c r="H122" s="37"/>
      <c r="I122" s="37"/>
      <c r="J122" s="37"/>
      <c r="K122" s="37"/>
      <c r="L122" s="46"/>
      <c r="M122" s="1609"/>
      <c r="N122" s="46"/>
      <c r="O122" s="37"/>
      <c r="P122" s="37"/>
      <c r="Q122" s="37"/>
      <c r="R122" s="37"/>
      <c r="S122" s="37"/>
      <c r="T122" s="37"/>
      <c r="U122" s="646"/>
      <c r="V122" s="37"/>
      <c r="W122" s="37"/>
      <c r="X122" s="37"/>
      <c r="Y122" s="117"/>
      <c r="Z122" s="648"/>
    </row>
    <row r="123" spans="1:26" ht="12" customHeight="1">
      <c r="A123" s="942"/>
      <c r="B123" s="1609" t="s">
        <v>2713</v>
      </c>
      <c r="C123" s="37"/>
      <c r="D123" s="37"/>
      <c r="E123" s="37"/>
      <c r="F123" s="37"/>
      <c r="G123" s="37"/>
      <c r="H123" s="37"/>
      <c r="I123" s="37"/>
      <c r="J123" s="37"/>
      <c r="K123" s="37"/>
      <c r="L123" s="46"/>
      <c r="M123" s="46"/>
      <c r="N123" s="46"/>
      <c r="O123" s="37"/>
      <c r="P123" s="37"/>
      <c r="Q123" s="37"/>
      <c r="R123" s="37"/>
      <c r="S123" s="37"/>
      <c r="T123" s="37"/>
      <c r="U123" s="646"/>
      <c r="V123" s="37"/>
      <c r="W123" s="37"/>
      <c r="X123" s="37"/>
      <c r="Y123" s="117"/>
      <c r="Z123" s="648"/>
    </row>
    <row r="124" spans="1:26">
      <c r="A124" s="942"/>
      <c r="B124" s="37"/>
      <c r="C124" s="472">
        <v>16</v>
      </c>
      <c r="D124" s="37" t="s">
        <v>159</v>
      </c>
      <c r="E124" s="37"/>
      <c r="F124" s="37"/>
      <c r="G124" s="37"/>
      <c r="H124" s="37"/>
      <c r="I124" s="37"/>
      <c r="J124" s="37"/>
      <c r="K124" s="37"/>
      <c r="L124" s="46"/>
      <c r="M124" s="46"/>
      <c r="N124" s="46"/>
      <c r="O124" s="37"/>
      <c r="P124" s="37"/>
      <c r="Q124" s="37"/>
      <c r="R124" s="37"/>
      <c r="S124" s="37"/>
      <c r="T124" s="855" t="s">
        <v>287</v>
      </c>
      <c r="U124" s="470">
        <v>16</v>
      </c>
      <c r="V124" s="4678">
        <f>IF(V119="",0,IF(V117-V119&lt;0,0,V117-V119))</f>
        <v>0</v>
      </c>
      <c r="W124" s="4679"/>
      <c r="X124" s="4679"/>
      <c r="Y124" s="117"/>
      <c r="Z124" s="648"/>
    </row>
    <row r="125" spans="1:26" ht="12" customHeight="1">
      <c r="A125" s="942"/>
      <c r="B125" s="37"/>
      <c r="C125" s="472">
        <v>17</v>
      </c>
      <c r="D125" s="37" t="s">
        <v>616</v>
      </c>
      <c r="E125" s="37"/>
      <c r="F125" s="37"/>
      <c r="G125" s="37"/>
      <c r="H125" s="37"/>
      <c r="I125" s="37"/>
      <c r="J125" s="37"/>
      <c r="K125" s="37"/>
      <c r="L125" s="46"/>
      <c r="M125" s="46"/>
      <c r="N125" s="46"/>
      <c r="O125" s="37"/>
      <c r="P125" s="37"/>
      <c r="Q125" s="37"/>
      <c r="R125" s="37"/>
      <c r="S125" s="37"/>
      <c r="T125" s="37"/>
      <c r="U125" s="646"/>
      <c r="V125" s="37"/>
      <c r="W125" s="37"/>
      <c r="X125" s="37"/>
      <c r="Y125" s="117"/>
      <c r="Z125" s="895" t="str">
        <f>IF($V$126&gt;$V$124,"Line 17 cannot","")</f>
        <v/>
      </c>
    </row>
    <row r="126" spans="1:26" ht="15" customHeight="1">
      <c r="A126" s="942"/>
      <c r="B126" s="37"/>
      <c r="C126" s="37"/>
      <c r="D126" s="613" t="s">
        <v>160</v>
      </c>
      <c r="E126" s="37"/>
      <c r="F126" s="37"/>
      <c r="G126" s="37"/>
      <c r="H126" s="37"/>
      <c r="I126" s="37"/>
      <c r="J126" s="37"/>
      <c r="K126" s="37"/>
      <c r="L126" s="46"/>
      <c r="M126" s="46"/>
      <c r="N126" s="46"/>
      <c r="O126" s="37"/>
      <c r="P126" s="37"/>
      <c r="Q126" s="37"/>
      <c r="R126" s="37"/>
      <c r="S126" s="37"/>
      <c r="T126" s="61" t="s">
        <v>632</v>
      </c>
      <c r="U126" s="470">
        <v>17</v>
      </c>
      <c r="V126" s="4655"/>
      <c r="W126" s="4696"/>
      <c r="X126" s="4696"/>
      <c r="Y126" s="117"/>
      <c r="Z126" s="895" t="str">
        <f>IF($V$126&gt;$V$124,"be more than","")</f>
        <v/>
      </c>
    </row>
    <row r="127" spans="1:26" ht="22.5" customHeight="1">
      <c r="A127" s="942"/>
      <c r="B127" s="1055">
        <v>1</v>
      </c>
      <c r="C127" s="4719" t="s">
        <v>119</v>
      </c>
      <c r="D127" s="4720"/>
      <c r="E127" s="4720"/>
      <c r="F127" s="4720"/>
      <c r="G127" s="4720"/>
      <c r="H127" s="4720"/>
      <c r="I127" s="4720"/>
      <c r="J127" s="4720"/>
      <c r="K127" s="4721"/>
      <c r="L127" s="1055">
        <v>3</v>
      </c>
      <c r="M127" s="4725" t="s">
        <v>1504</v>
      </c>
      <c r="N127" s="4726"/>
      <c r="O127" s="4726"/>
      <c r="P127" s="4726"/>
      <c r="Q127" s="4726"/>
      <c r="R127" s="4726"/>
      <c r="S127" s="4726"/>
      <c r="T127" s="4726"/>
      <c r="U127" s="4726"/>
      <c r="V127" s="4726"/>
      <c r="W127" s="4726"/>
      <c r="X127" s="4726"/>
      <c r="Y127" s="117"/>
      <c r="Z127" s="895" t="str">
        <f>IF($V$126&gt;$V$124,"Line 16.","")</f>
        <v/>
      </c>
    </row>
    <row r="128" spans="1:26" ht="37.5" customHeight="1" thickBot="1">
      <c r="A128" s="942"/>
      <c r="B128" s="1056">
        <v>2</v>
      </c>
      <c r="C128" s="4722" t="s">
        <v>1212</v>
      </c>
      <c r="D128" s="4723"/>
      <c r="E128" s="4723"/>
      <c r="F128" s="4723"/>
      <c r="G128" s="4723"/>
      <c r="H128" s="4723"/>
      <c r="I128" s="4723"/>
      <c r="J128" s="4723"/>
      <c r="K128" s="4724"/>
      <c r="L128" s="1056">
        <v>4</v>
      </c>
      <c r="M128" s="4717" t="s">
        <v>1505</v>
      </c>
      <c r="N128" s="4718"/>
      <c r="O128" s="4718"/>
      <c r="P128" s="4718"/>
      <c r="Q128" s="4718"/>
      <c r="R128" s="4718"/>
      <c r="S128" s="4718"/>
      <c r="T128" s="4718"/>
      <c r="U128" s="4718"/>
      <c r="V128" s="4718"/>
      <c r="W128" s="4718"/>
      <c r="X128" s="4718"/>
      <c r="Y128" s="117"/>
      <c r="Z128" s="648"/>
    </row>
    <row r="129" spans="1:26" ht="14.25" customHeight="1">
      <c r="A129" s="942"/>
      <c r="B129" s="613"/>
      <c r="C129" s="613"/>
      <c r="D129" s="613"/>
      <c r="E129" s="613"/>
      <c r="F129" s="613"/>
      <c r="G129" s="613"/>
      <c r="H129" s="613"/>
      <c r="I129" s="613"/>
      <c r="J129" s="613"/>
      <c r="K129" s="613"/>
      <c r="L129" s="144"/>
      <c r="M129" s="144"/>
      <c r="N129" s="144"/>
      <c r="O129" s="613"/>
      <c r="P129" s="613"/>
      <c r="Q129" s="613"/>
      <c r="R129" s="613"/>
      <c r="S129" s="613"/>
      <c r="T129" s="613"/>
      <c r="U129" s="613"/>
      <c r="V129" s="613"/>
      <c r="W129" s="613"/>
      <c r="X129" s="1862" t="str">
        <f>"Schedule SE (Form 1040) "&amp;TaxYear</f>
        <v>Schedule SE (Form 1040) 2014</v>
      </c>
      <c r="Y129" s="1052"/>
      <c r="Z129" s="648"/>
    </row>
    <row r="130" spans="1:26">
      <c r="A130" s="942"/>
      <c r="B130" s="117"/>
      <c r="C130" s="117"/>
      <c r="D130" s="117"/>
      <c r="E130" s="117"/>
      <c r="F130" s="117"/>
      <c r="G130" s="117"/>
      <c r="H130" s="117"/>
      <c r="I130" s="117"/>
      <c r="J130" s="117"/>
      <c r="K130" s="117"/>
      <c r="L130" s="135"/>
      <c r="M130" s="135"/>
      <c r="N130" s="135"/>
      <c r="O130" s="117"/>
      <c r="P130" s="117"/>
      <c r="Q130" s="117"/>
      <c r="R130" s="117"/>
      <c r="S130" s="117"/>
      <c r="T130" s="117"/>
      <c r="U130" s="117"/>
      <c r="V130" s="117"/>
      <c r="W130" s="117"/>
      <c r="X130" s="117"/>
      <c r="Y130" s="117"/>
      <c r="Z130" s="858"/>
    </row>
    <row r="131" spans="1:26" ht="13.5" thickBot="1">
      <c r="B131" s="68"/>
      <c r="C131" s="68"/>
      <c r="D131" s="68"/>
      <c r="E131" s="68"/>
      <c r="F131" s="68"/>
      <c r="G131" s="68"/>
      <c r="H131" s="68"/>
      <c r="I131" s="68"/>
      <c r="J131" s="68"/>
      <c r="K131" s="68"/>
      <c r="L131" s="313"/>
      <c r="M131" s="313"/>
      <c r="N131" s="313"/>
      <c r="O131" s="68"/>
      <c r="P131" s="68"/>
      <c r="Q131" s="68"/>
      <c r="R131" s="68"/>
      <c r="S131" s="68"/>
      <c r="T131" s="68"/>
      <c r="U131" s="68"/>
      <c r="V131" s="68"/>
      <c r="W131" s="68"/>
      <c r="X131" s="68"/>
      <c r="Y131" s="68"/>
      <c r="Z131" s="68"/>
    </row>
    <row r="132" spans="1:26" ht="12.75" customHeight="1" thickTop="1" thickBot="1">
      <c r="B132" s="498"/>
      <c r="C132" s="498"/>
      <c r="D132" s="498"/>
      <c r="E132" s="498"/>
      <c r="F132" s="4713" t="s">
        <v>682</v>
      </c>
      <c r="G132" s="4714"/>
      <c r="H132" s="4714"/>
      <c r="I132" s="4714"/>
      <c r="J132" s="4715"/>
      <c r="K132" s="4716"/>
      <c r="L132" s="892"/>
      <c r="M132" s="892"/>
      <c r="N132" s="892"/>
      <c r="O132" s="498"/>
      <c r="P132" s="498"/>
      <c r="Q132" s="498"/>
      <c r="R132" s="498"/>
      <c r="S132" s="498"/>
      <c r="T132" s="498"/>
      <c r="U132" s="498"/>
      <c r="V132" s="498"/>
      <c r="W132" s="498"/>
      <c r="X132" s="498"/>
      <c r="Y132" s="498"/>
      <c r="Z132" s="68"/>
    </row>
    <row r="133" spans="1:26" ht="14.25" thickTop="1" thickBot="1">
      <c r="B133" s="68"/>
      <c r="C133" s="68"/>
      <c r="D133" s="68"/>
      <c r="E133" s="68"/>
      <c r="F133" s="68"/>
      <c r="G133" s="68"/>
      <c r="H133" s="68"/>
      <c r="I133" s="68"/>
      <c r="J133" s="68"/>
      <c r="K133" s="68"/>
      <c r="L133" s="313"/>
      <c r="M133" s="313"/>
      <c r="N133" s="313"/>
      <c r="O133" s="68"/>
      <c r="P133" s="68"/>
      <c r="Q133" s="68"/>
      <c r="R133" s="68"/>
      <c r="S133" s="68"/>
      <c r="T133" s="68"/>
      <c r="U133" s="68"/>
      <c r="V133" s="68"/>
      <c r="W133" s="68"/>
      <c r="X133" s="68"/>
      <c r="Y133" s="68"/>
      <c r="Z133" s="498"/>
    </row>
    <row r="134" spans="1:26" ht="26.25" customHeight="1" thickTop="1" thickBot="1">
      <c r="B134" s="498"/>
      <c r="C134" s="498"/>
      <c r="D134" s="498"/>
      <c r="E134" s="498"/>
      <c r="F134" s="4713" t="s">
        <v>683</v>
      </c>
      <c r="G134" s="4714"/>
      <c r="H134" s="4714"/>
      <c r="I134" s="4714"/>
      <c r="J134" s="4715"/>
      <c r="K134" s="4716"/>
      <c r="L134" s="892"/>
      <c r="M134" s="892"/>
      <c r="N134" s="892"/>
      <c r="O134" s="498"/>
      <c r="P134" s="498"/>
      <c r="Q134" s="498"/>
      <c r="R134" s="498"/>
      <c r="S134" s="498"/>
      <c r="T134" s="498"/>
      <c r="U134" s="498"/>
      <c r="V134" s="498"/>
      <c r="W134" s="498"/>
      <c r="X134" s="498"/>
      <c r="Y134" s="498"/>
      <c r="Z134" s="68"/>
    </row>
    <row r="135" spans="1:26" ht="13.5" thickTop="1">
      <c r="Z135" s="498"/>
    </row>
  </sheetData>
  <sheetProtection password="F07E" sheet="1" objects="1" scenarios="1"/>
  <mergeCells count="78">
    <mergeCell ref="V96:X96"/>
    <mergeCell ref="V84:X84"/>
    <mergeCell ref="V88:X88"/>
    <mergeCell ref="V65:X65"/>
    <mergeCell ref="V94:X94"/>
    <mergeCell ref="V95:X95"/>
    <mergeCell ref="V89:X89"/>
    <mergeCell ref="V90:X90"/>
    <mergeCell ref="V92:X92"/>
    <mergeCell ref="V93:X93"/>
    <mergeCell ref="V86:X86"/>
    <mergeCell ref="V83:X83"/>
    <mergeCell ref="V85:X85"/>
    <mergeCell ref="V81:X81"/>
    <mergeCell ref="U11:X11"/>
    <mergeCell ref="U15:X16"/>
    <mergeCell ref="V49:X49"/>
    <mergeCell ref="V51:X51"/>
    <mergeCell ref="V52:X52"/>
    <mergeCell ref="V50:X50"/>
    <mergeCell ref="U12:X12"/>
    <mergeCell ref="V62:X62"/>
    <mergeCell ref="V58:X58"/>
    <mergeCell ref="V64:X64"/>
    <mergeCell ref="V66:X66"/>
    <mergeCell ref="V53:X53"/>
    <mergeCell ref="V56:X56"/>
    <mergeCell ref="V57:X57"/>
    <mergeCell ref="V59:X59"/>
    <mergeCell ref="V54:X54"/>
    <mergeCell ref="V55:X55"/>
    <mergeCell ref="V60:X60"/>
    <mergeCell ref="F132:K132"/>
    <mergeCell ref="F134:K134"/>
    <mergeCell ref="M128:X128"/>
    <mergeCell ref="C127:K127"/>
    <mergeCell ref="C128:K128"/>
    <mergeCell ref="M127:X127"/>
    <mergeCell ref="V126:X126"/>
    <mergeCell ref="B73:O73"/>
    <mergeCell ref="U72:X73"/>
    <mergeCell ref="V63:X63"/>
    <mergeCell ref="V101:X101"/>
    <mergeCell ref="V102:X102"/>
    <mergeCell ref="V103:X103"/>
    <mergeCell ref="V104:X104"/>
    <mergeCell ref="V109:X109"/>
    <mergeCell ref="V110:X110"/>
    <mergeCell ref="V119:X119"/>
    <mergeCell ref="V124:X124"/>
    <mergeCell ref="V108:X108"/>
    <mergeCell ref="V117:X117"/>
    <mergeCell ref="Q112:T112"/>
    <mergeCell ref="Q103:T103"/>
    <mergeCell ref="Q113:T113"/>
    <mergeCell ref="Q104:T104"/>
    <mergeCell ref="V97:X97"/>
    <mergeCell ref="V98:X98"/>
    <mergeCell ref="Q105:T105"/>
    <mergeCell ref="Q102:T102"/>
    <mergeCell ref="Q101:T101"/>
    <mergeCell ref="Z103:Z104"/>
    <mergeCell ref="V105:X105"/>
    <mergeCell ref="V106:X106"/>
    <mergeCell ref="V107:X107"/>
    <mergeCell ref="V100:X100"/>
    <mergeCell ref="G14:T14"/>
    <mergeCell ref="G12:T12"/>
    <mergeCell ref="G13:T13"/>
    <mergeCell ref="Q96:T96"/>
    <mergeCell ref="P72:T73"/>
    <mergeCell ref="P15:T16"/>
    <mergeCell ref="G21:R21"/>
    <mergeCell ref="Q68:T68"/>
    <mergeCell ref="Q67:T67"/>
    <mergeCell ref="B16:O16"/>
    <mergeCell ref="Q69:T69"/>
    <mergeCell ref="F17:Q17"/>
  </mergeCells>
  <phoneticPr fontId="12" type="noConversion"/>
  <conditionalFormatting sqref="Z118:Z120">
    <cfRule type="expression" dxfId="634" priority="52" stopIfTrue="1">
      <formula>IF($V$119&gt;$V$117,0,1)</formula>
    </cfRule>
  </conditionalFormatting>
  <conditionalFormatting sqref="Z125:Z127">
    <cfRule type="expression" dxfId="633" priority="53" stopIfTrue="1">
      <formula>IF($V$126&gt;$V$124,0,1)</formula>
    </cfRule>
  </conditionalFormatting>
  <conditionalFormatting sqref="Z90:Z92">
    <cfRule type="expression" dxfId="632" priority="54" stopIfTrue="1">
      <formula>IF(OR($V$119&gt;$V$117,$V$127&gt;$V$125),0,1)</formula>
    </cfRule>
  </conditionalFormatting>
  <conditionalFormatting sqref="B45:X45">
    <cfRule type="expression" dxfId="631" priority="56" stopIfTrue="1">
      <formula>IF(TaxYear&gt;1996,1,0)</formula>
    </cfRule>
  </conditionalFormatting>
  <conditionalFormatting sqref="V53:X55">
    <cfRule type="expression" dxfId="630" priority="58" stopIfTrue="1">
      <formula>IF($V$52&gt;0,1,0)</formula>
    </cfRule>
    <cfRule type="expression" dxfId="629" priority="59" stopIfTrue="1">
      <formula>IF($V$52&lt;=0,1,0)</formula>
    </cfRule>
  </conditionalFormatting>
  <conditionalFormatting sqref="V84:X87">
    <cfRule type="expression" dxfId="628" priority="60" stopIfTrue="1">
      <formula>IF($V$83&gt;0,1,0)</formula>
    </cfRule>
    <cfRule type="expression" dxfId="627" priority="61" stopIfTrue="1">
      <formula>IF($V$83&lt;=0,1,0)</formula>
    </cfRule>
  </conditionalFormatting>
  <conditionalFormatting sqref="V50:X50 V52:X52 V56:X56">
    <cfRule type="expression" dxfId="626" priority="63" stopIfTrue="1">
      <formula>IF($P$43&lt;&gt;"",1,0)</formula>
    </cfRule>
  </conditionalFormatting>
  <conditionalFormatting sqref="Z95:Z97">
    <cfRule type="expression" dxfId="625" priority="64" stopIfTrue="1">
      <formula>IF(AND($C$43="",$P$43&lt;&gt;"",$V$93&lt;$V$58,$Z$94="Stop"),1,0)</formula>
    </cfRule>
  </conditionalFormatting>
  <conditionalFormatting sqref="Y95">
    <cfRule type="expression" dxfId="624" priority="65" stopIfTrue="1">
      <formula>IF(AND($C$43="",$P$43&lt;&gt;"",$V$93&lt;$V$58,$Z$94="Stop"),0,1)</formula>
    </cfRule>
  </conditionalFormatting>
  <conditionalFormatting sqref="V57">
    <cfRule type="expression" dxfId="623" priority="49" stopIfTrue="1">
      <formula>IF(AND($C$43="",$P$43=""),1,0)</formula>
    </cfRule>
  </conditionalFormatting>
  <conditionalFormatting sqref="D59">
    <cfRule type="expression" dxfId="622" priority="45" stopIfTrue="1">
      <formula>IF(AND($C$43&lt;&gt;"",OR($V$52="",$V$52=0),$V$59&lt;$V$58),1,0)</formula>
    </cfRule>
  </conditionalFormatting>
  <conditionalFormatting sqref="I58">
    <cfRule type="expression" dxfId="621" priority="44" stopIfTrue="1">
      <formula>IF(AND($C$43&lt;&gt;"",OR($V$52="",$V$52=0),$V$59&lt;$V$58),1,0)</formula>
    </cfRule>
  </conditionalFormatting>
  <conditionalFormatting sqref="B16:O16">
    <cfRule type="expression" dxfId="620" priority="43">
      <formula>IF(NoColor,1,0)</formula>
    </cfRule>
  </conditionalFormatting>
  <conditionalFormatting sqref="U15:X16">
    <cfRule type="expression" dxfId="619" priority="42">
      <formula>IF(NoColor,1,0)</formula>
    </cfRule>
  </conditionalFormatting>
  <conditionalFormatting sqref="C43">
    <cfRule type="expression" dxfId="618" priority="41">
      <formula>IF(NoColor,1,0)</formula>
    </cfRule>
  </conditionalFormatting>
  <conditionalFormatting sqref="P43">
    <cfRule type="expression" dxfId="617" priority="40">
      <formula>IF(NoColor,1,0)</formula>
    </cfRule>
  </conditionalFormatting>
  <conditionalFormatting sqref="W79">
    <cfRule type="expression" dxfId="616" priority="39">
      <formula>IF(NoColor,1,0)</formula>
    </cfRule>
  </conditionalFormatting>
  <conditionalFormatting sqref="V50:X50">
    <cfRule type="expression" dxfId="615" priority="38">
      <formula>IF(NoColor,1,0)</formula>
    </cfRule>
  </conditionalFormatting>
  <conditionalFormatting sqref="V52:X52">
    <cfRule type="expression" dxfId="614" priority="37">
      <formula>IF(NoColor,1,0)</formula>
    </cfRule>
  </conditionalFormatting>
  <conditionalFormatting sqref="V56:X56">
    <cfRule type="expression" dxfId="613" priority="36">
      <formula>IF(NoColor,1,0)</formula>
    </cfRule>
  </conditionalFormatting>
  <conditionalFormatting sqref="V59:X59">
    <cfRule type="expression" dxfId="612" priority="35" stopIfTrue="1">
      <formula>IF($P$43&lt;&gt;"",1,0)</formula>
    </cfRule>
  </conditionalFormatting>
  <conditionalFormatting sqref="V59:X59">
    <cfRule type="expression" dxfId="611" priority="34">
      <formula>IF(NoColor,1,0)</formula>
    </cfRule>
  </conditionalFormatting>
  <conditionalFormatting sqref="V66:X66">
    <cfRule type="expression" dxfId="610" priority="33" stopIfTrue="1">
      <formula>IF($P$43&lt;&gt;"",1,0)</formula>
    </cfRule>
  </conditionalFormatting>
  <conditionalFormatting sqref="V66:X66">
    <cfRule type="expression" dxfId="609" priority="32">
      <formula>IF(NoColor,1,0)</formula>
    </cfRule>
  </conditionalFormatting>
  <conditionalFormatting sqref="Q69:S69">
    <cfRule type="expression" dxfId="608" priority="31" stopIfTrue="1">
      <formula>IF($P$43&lt;&gt;"",1,0)</formula>
    </cfRule>
  </conditionalFormatting>
  <conditionalFormatting sqref="Q69:S69">
    <cfRule type="expression" dxfId="607" priority="30">
      <formula>IF(NoColor,1,0)</formula>
    </cfRule>
  </conditionalFormatting>
  <conditionalFormatting sqref="U72:X73">
    <cfRule type="expression" dxfId="606" priority="29">
      <formula>IF(NoColor,1,0)</formula>
    </cfRule>
  </conditionalFormatting>
  <conditionalFormatting sqref="B73:O73">
    <cfRule type="expression" dxfId="605" priority="28">
      <formula>IF(NoColor,1,0)</formula>
    </cfRule>
  </conditionalFormatting>
  <conditionalFormatting sqref="V57:X57">
    <cfRule type="expression" dxfId="604" priority="27">
      <formula>IF(NoColor,1,0)</formula>
    </cfRule>
  </conditionalFormatting>
  <conditionalFormatting sqref="V83:X83">
    <cfRule type="expression" dxfId="603" priority="26" stopIfTrue="1">
      <formula>IF($P$43&lt;&gt;"",1,0)</formula>
    </cfRule>
  </conditionalFormatting>
  <conditionalFormatting sqref="V83:X83">
    <cfRule type="expression" dxfId="602" priority="25">
      <formula>IF(NoColor,1,0)</formula>
    </cfRule>
  </conditionalFormatting>
  <conditionalFormatting sqref="V88:X88">
    <cfRule type="expression" dxfId="601" priority="23">
      <formula>IF(NoColor,1,0)</formula>
    </cfRule>
  </conditionalFormatting>
  <conditionalFormatting sqref="V92:X92">
    <cfRule type="expression" dxfId="600" priority="21">
      <formula>IF(NoColor,1,0)</formula>
    </cfRule>
  </conditionalFormatting>
  <conditionalFormatting sqref="V106:X106">
    <cfRule type="expression" dxfId="599" priority="19">
      <formula>IF(NoColor,1,0)</formula>
    </cfRule>
  </conditionalFormatting>
  <conditionalFormatting sqref="Q103:T103">
    <cfRule type="expression" dxfId="598" priority="18">
      <formula>IF(NoColor,1,0)</formula>
    </cfRule>
  </conditionalFormatting>
  <conditionalFormatting sqref="Q113:T113">
    <cfRule type="expression" dxfId="597" priority="17">
      <formula>IF(NoColor,1,0)</formula>
    </cfRule>
  </conditionalFormatting>
  <conditionalFormatting sqref="V119:X119">
    <cfRule type="expression" dxfId="596" priority="16" stopIfTrue="1">
      <formula>IF($P$43&lt;&gt;"",1,0)</formula>
    </cfRule>
  </conditionalFormatting>
  <conditionalFormatting sqref="V119:X119">
    <cfRule type="expression" dxfId="595" priority="15">
      <formula>IF(NoColor,1,0)</formula>
    </cfRule>
  </conditionalFormatting>
  <conditionalFormatting sqref="V124:X124">
    <cfRule type="expression" dxfId="594" priority="14" stopIfTrue="1">
      <formula>IF($P$43&lt;&gt;"",1,0)</formula>
    </cfRule>
  </conditionalFormatting>
  <conditionalFormatting sqref="V124:X124">
    <cfRule type="expression" dxfId="593" priority="13">
      <formula>IF(NoColor,1,0)</formula>
    </cfRule>
  </conditionalFormatting>
  <conditionalFormatting sqref="V126:X126">
    <cfRule type="expression" dxfId="592" priority="12" stopIfTrue="1">
      <formula>IF($P$43&lt;&gt;"",1,0)</formula>
    </cfRule>
  </conditionalFormatting>
  <conditionalFormatting sqref="V126:X126">
    <cfRule type="expression" dxfId="591" priority="11">
      <formula>IF(NoColor,1,0)</formula>
    </cfRule>
  </conditionalFormatting>
  <conditionalFormatting sqref="V94:X94">
    <cfRule type="expression" dxfId="590" priority="9">
      <formula>IF(NoColor,1,0)</formula>
    </cfRule>
  </conditionalFormatting>
  <conditionalFormatting sqref="V97:X97">
    <cfRule type="expression" dxfId="589" priority="7">
      <formula>IF(NoColor,1,0)</formula>
    </cfRule>
  </conditionalFormatting>
  <conditionalFormatting sqref="Q96:T96">
    <cfRule type="expression" dxfId="588" priority="6">
      <formula>IF(NoColor,1,0)</formula>
    </cfRule>
  </conditionalFormatting>
  <conditionalFormatting sqref="V81:X81">
    <cfRule type="expression" dxfId="587" priority="5">
      <formula>IF(NoColor,1,0)</formula>
    </cfRule>
  </conditionalFormatting>
  <conditionalFormatting sqref="V89:X90">
    <cfRule type="expression" dxfId="586" priority="4">
      <formula>IF(NoColor,1,0)</formula>
    </cfRule>
  </conditionalFormatting>
  <conditionalFormatting sqref="V98:X98">
    <cfRule type="expression" dxfId="585" priority="3">
      <formula>IF(NoColor,1,0)</formula>
    </cfRule>
  </conditionalFormatting>
  <conditionalFormatting sqref="V107:X110">
    <cfRule type="expression" dxfId="584" priority="2">
      <formula>IF(NoColor,1,0)</formula>
    </cfRule>
  </conditionalFormatting>
  <conditionalFormatting sqref="Q104:T105">
    <cfRule type="expression" dxfId="583" priority="1">
      <formula>IF(NoColor,1,0)</formula>
    </cfRule>
  </conditionalFormatting>
  <hyperlinks>
    <hyperlink ref="F132:I132" r:id="rId1" display="Download Form 1040 Schedule SE"/>
    <hyperlink ref="F134:I134" r:id="rId2" display="Download Form 1040 Schedule SE Instructions"/>
  </hyperlinks>
  <printOptions horizontalCentered="1"/>
  <pageMargins left="0.51" right="0.46" top="0.3" bottom="0" header="0.42" footer="0.35"/>
  <pageSetup scale="84" fitToHeight="2" orientation="portrait" horizontalDpi="4294967292" r:id="rId3"/>
  <headerFooter alignWithMargins="0"/>
  <rowBreaks count="1" manualBreakCount="1">
    <brk id="70" min="1" max="23" man="1"/>
  </rowBreaks>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64"/>
  <sheetViews>
    <sheetView zoomScaleNormal="100" workbookViewId="0">
      <selection activeCell="L19" sqref="L19"/>
    </sheetView>
  </sheetViews>
  <sheetFormatPr defaultRowHeight="12.75"/>
  <cols>
    <col min="1" max="1" width="2" style="68" customWidth="1"/>
    <col min="2" max="2" width="8.28515625" customWidth="1"/>
    <col min="3" max="3" width="3.140625" customWidth="1"/>
    <col min="4" max="4" width="5.7109375" customWidth="1"/>
    <col min="5" max="5" width="6.7109375" customWidth="1"/>
    <col min="6" max="6" width="8.7109375" customWidth="1"/>
    <col min="7" max="7" width="8" customWidth="1"/>
    <col min="8" max="8" width="6" customWidth="1"/>
    <col min="9" max="9" width="6.5703125" customWidth="1"/>
    <col min="10" max="10" width="9.5703125" customWidth="1"/>
    <col min="11" max="11" width="12.140625" customWidth="1"/>
    <col min="12" max="12" width="3.5703125" customWidth="1"/>
    <col min="13" max="13" width="13.28515625" customWidth="1"/>
    <col min="14" max="14" width="5.5703125" customWidth="1"/>
    <col min="15" max="15" width="19.7109375" customWidth="1"/>
    <col min="16" max="16" width="6.140625" customWidth="1"/>
    <col min="17" max="17" width="14.85546875" customWidth="1"/>
    <col min="19" max="19" width="3.85546875" customWidth="1"/>
    <col min="20" max="20" width="16.85546875" customWidth="1"/>
    <col min="259" max="259" width="2" customWidth="1"/>
    <col min="260" max="260" width="8.28515625" customWidth="1"/>
    <col min="261" max="261" width="15.42578125" customWidth="1"/>
    <col min="262" max="262" width="8.7109375" customWidth="1"/>
    <col min="263" max="263" width="8" customWidth="1"/>
    <col min="264" max="264" width="6" customWidth="1"/>
    <col min="265" max="265" width="6.5703125" customWidth="1"/>
    <col min="266" max="266" width="9.5703125" customWidth="1"/>
    <col min="267" max="267" width="11.5703125" customWidth="1"/>
    <col min="268" max="268" width="3.5703125" customWidth="1"/>
    <col min="269" max="269" width="13.85546875" customWidth="1"/>
    <col min="270" max="270" width="5.5703125" customWidth="1"/>
    <col min="271" max="271" width="19.7109375" customWidth="1"/>
    <col min="272" max="272" width="2.140625" customWidth="1"/>
    <col min="273" max="273" width="13.5703125" customWidth="1"/>
    <col min="515" max="515" width="2" customWidth="1"/>
    <col min="516" max="516" width="8.28515625" customWidth="1"/>
    <col min="517" max="517" width="15.42578125" customWidth="1"/>
    <col min="518" max="518" width="8.7109375" customWidth="1"/>
    <col min="519" max="519" width="8" customWidth="1"/>
    <col min="520" max="520" width="6" customWidth="1"/>
    <col min="521" max="521" width="6.5703125" customWidth="1"/>
    <col min="522" max="522" width="9.5703125" customWidth="1"/>
    <col min="523" max="523" width="11.5703125" customWidth="1"/>
    <col min="524" max="524" width="3.5703125" customWidth="1"/>
    <col min="525" max="525" width="13.85546875" customWidth="1"/>
    <col min="526" max="526" width="5.5703125" customWidth="1"/>
    <col min="527" max="527" width="19.7109375" customWidth="1"/>
    <col min="528" max="528" width="2.140625" customWidth="1"/>
    <col min="529" max="529" width="13.5703125" customWidth="1"/>
    <col min="771" max="771" width="2" customWidth="1"/>
    <col min="772" max="772" width="8.28515625" customWidth="1"/>
    <col min="773" max="773" width="15.42578125" customWidth="1"/>
    <col min="774" max="774" width="8.7109375" customWidth="1"/>
    <col min="775" max="775" width="8" customWidth="1"/>
    <col min="776" max="776" width="6" customWidth="1"/>
    <col min="777" max="777" width="6.5703125" customWidth="1"/>
    <col min="778" max="778" width="9.5703125" customWidth="1"/>
    <col min="779" max="779" width="11.5703125" customWidth="1"/>
    <col min="780" max="780" width="3.5703125" customWidth="1"/>
    <col min="781" max="781" width="13.85546875" customWidth="1"/>
    <col min="782" max="782" width="5.5703125" customWidth="1"/>
    <col min="783" max="783" width="19.7109375" customWidth="1"/>
    <col min="784" max="784" width="2.140625" customWidth="1"/>
    <col min="785" max="785" width="13.5703125" customWidth="1"/>
    <col min="1027" max="1027" width="2" customWidth="1"/>
    <col min="1028" max="1028" width="8.28515625" customWidth="1"/>
    <col min="1029" max="1029" width="15.42578125" customWidth="1"/>
    <col min="1030" max="1030" width="8.7109375" customWidth="1"/>
    <col min="1031" max="1031" width="8" customWidth="1"/>
    <col min="1032" max="1032" width="6" customWidth="1"/>
    <col min="1033" max="1033" width="6.5703125" customWidth="1"/>
    <col min="1034" max="1034" width="9.5703125" customWidth="1"/>
    <col min="1035" max="1035" width="11.5703125" customWidth="1"/>
    <col min="1036" max="1036" width="3.5703125" customWidth="1"/>
    <col min="1037" max="1037" width="13.85546875" customWidth="1"/>
    <col min="1038" max="1038" width="5.5703125" customWidth="1"/>
    <col min="1039" max="1039" width="19.7109375" customWidth="1"/>
    <col min="1040" max="1040" width="2.140625" customWidth="1"/>
    <col min="1041" max="1041" width="13.5703125" customWidth="1"/>
    <col min="1283" max="1283" width="2" customWidth="1"/>
    <col min="1284" max="1284" width="8.28515625" customWidth="1"/>
    <col min="1285" max="1285" width="15.42578125" customWidth="1"/>
    <col min="1286" max="1286" width="8.7109375" customWidth="1"/>
    <col min="1287" max="1287" width="8" customWidth="1"/>
    <col min="1288" max="1288" width="6" customWidth="1"/>
    <col min="1289" max="1289" width="6.5703125" customWidth="1"/>
    <col min="1290" max="1290" width="9.5703125" customWidth="1"/>
    <col min="1291" max="1291" width="11.5703125" customWidth="1"/>
    <col min="1292" max="1292" width="3.5703125" customWidth="1"/>
    <col min="1293" max="1293" width="13.85546875" customWidth="1"/>
    <col min="1294" max="1294" width="5.5703125" customWidth="1"/>
    <col min="1295" max="1295" width="19.7109375" customWidth="1"/>
    <col min="1296" max="1296" width="2.140625" customWidth="1"/>
    <col min="1297" max="1297" width="13.5703125" customWidth="1"/>
    <col min="1539" max="1539" width="2" customWidth="1"/>
    <col min="1540" max="1540" width="8.28515625" customWidth="1"/>
    <col min="1541" max="1541" width="15.42578125" customWidth="1"/>
    <col min="1542" max="1542" width="8.7109375" customWidth="1"/>
    <col min="1543" max="1543" width="8" customWidth="1"/>
    <col min="1544" max="1544" width="6" customWidth="1"/>
    <col min="1545" max="1545" width="6.5703125" customWidth="1"/>
    <col min="1546" max="1546" width="9.5703125" customWidth="1"/>
    <col min="1547" max="1547" width="11.5703125" customWidth="1"/>
    <col min="1548" max="1548" width="3.5703125" customWidth="1"/>
    <col min="1549" max="1549" width="13.85546875" customWidth="1"/>
    <col min="1550" max="1550" width="5.5703125" customWidth="1"/>
    <col min="1551" max="1551" width="19.7109375" customWidth="1"/>
    <col min="1552" max="1552" width="2.140625" customWidth="1"/>
    <col min="1553" max="1553" width="13.5703125" customWidth="1"/>
    <col min="1795" max="1795" width="2" customWidth="1"/>
    <col min="1796" max="1796" width="8.28515625" customWidth="1"/>
    <col min="1797" max="1797" width="15.42578125" customWidth="1"/>
    <col min="1798" max="1798" width="8.7109375" customWidth="1"/>
    <col min="1799" max="1799" width="8" customWidth="1"/>
    <col min="1800" max="1800" width="6" customWidth="1"/>
    <col min="1801" max="1801" width="6.5703125" customWidth="1"/>
    <col min="1802" max="1802" width="9.5703125" customWidth="1"/>
    <col min="1803" max="1803" width="11.5703125" customWidth="1"/>
    <col min="1804" max="1804" width="3.5703125" customWidth="1"/>
    <col min="1805" max="1805" width="13.85546875" customWidth="1"/>
    <col min="1806" max="1806" width="5.5703125" customWidth="1"/>
    <col min="1807" max="1807" width="19.7109375" customWidth="1"/>
    <col min="1808" max="1808" width="2.140625" customWidth="1"/>
    <col min="1809" max="1809" width="13.5703125" customWidth="1"/>
    <col min="2051" max="2051" width="2" customWidth="1"/>
    <col min="2052" max="2052" width="8.28515625" customWidth="1"/>
    <col min="2053" max="2053" width="15.42578125" customWidth="1"/>
    <col min="2054" max="2054" width="8.7109375" customWidth="1"/>
    <col min="2055" max="2055" width="8" customWidth="1"/>
    <col min="2056" max="2056" width="6" customWidth="1"/>
    <col min="2057" max="2057" width="6.5703125" customWidth="1"/>
    <col min="2058" max="2058" width="9.5703125" customWidth="1"/>
    <col min="2059" max="2059" width="11.5703125" customWidth="1"/>
    <col min="2060" max="2060" width="3.5703125" customWidth="1"/>
    <col min="2061" max="2061" width="13.85546875" customWidth="1"/>
    <col min="2062" max="2062" width="5.5703125" customWidth="1"/>
    <col min="2063" max="2063" width="19.7109375" customWidth="1"/>
    <col min="2064" max="2064" width="2.140625" customWidth="1"/>
    <col min="2065" max="2065" width="13.5703125" customWidth="1"/>
    <col min="2307" max="2307" width="2" customWidth="1"/>
    <col min="2308" max="2308" width="8.28515625" customWidth="1"/>
    <col min="2309" max="2309" width="15.42578125" customWidth="1"/>
    <col min="2310" max="2310" width="8.7109375" customWidth="1"/>
    <col min="2311" max="2311" width="8" customWidth="1"/>
    <col min="2312" max="2312" width="6" customWidth="1"/>
    <col min="2313" max="2313" width="6.5703125" customWidth="1"/>
    <col min="2314" max="2314" width="9.5703125" customWidth="1"/>
    <col min="2315" max="2315" width="11.5703125" customWidth="1"/>
    <col min="2316" max="2316" width="3.5703125" customWidth="1"/>
    <col min="2317" max="2317" width="13.85546875" customWidth="1"/>
    <col min="2318" max="2318" width="5.5703125" customWidth="1"/>
    <col min="2319" max="2319" width="19.7109375" customWidth="1"/>
    <col min="2320" max="2320" width="2.140625" customWidth="1"/>
    <col min="2321" max="2321" width="13.5703125" customWidth="1"/>
    <col min="2563" max="2563" width="2" customWidth="1"/>
    <col min="2564" max="2564" width="8.28515625" customWidth="1"/>
    <col min="2565" max="2565" width="15.42578125" customWidth="1"/>
    <col min="2566" max="2566" width="8.7109375" customWidth="1"/>
    <col min="2567" max="2567" width="8" customWidth="1"/>
    <col min="2568" max="2568" width="6" customWidth="1"/>
    <col min="2569" max="2569" width="6.5703125" customWidth="1"/>
    <col min="2570" max="2570" width="9.5703125" customWidth="1"/>
    <col min="2571" max="2571" width="11.5703125" customWidth="1"/>
    <col min="2572" max="2572" width="3.5703125" customWidth="1"/>
    <col min="2573" max="2573" width="13.85546875" customWidth="1"/>
    <col min="2574" max="2574" width="5.5703125" customWidth="1"/>
    <col min="2575" max="2575" width="19.7109375" customWidth="1"/>
    <col min="2576" max="2576" width="2.140625" customWidth="1"/>
    <col min="2577" max="2577" width="13.5703125" customWidth="1"/>
    <col min="2819" max="2819" width="2" customWidth="1"/>
    <col min="2820" max="2820" width="8.28515625" customWidth="1"/>
    <col min="2821" max="2821" width="15.42578125" customWidth="1"/>
    <col min="2822" max="2822" width="8.7109375" customWidth="1"/>
    <col min="2823" max="2823" width="8" customWidth="1"/>
    <col min="2824" max="2824" width="6" customWidth="1"/>
    <col min="2825" max="2825" width="6.5703125" customWidth="1"/>
    <col min="2826" max="2826" width="9.5703125" customWidth="1"/>
    <col min="2827" max="2827" width="11.5703125" customWidth="1"/>
    <col min="2828" max="2828" width="3.5703125" customWidth="1"/>
    <col min="2829" max="2829" width="13.85546875" customWidth="1"/>
    <col min="2830" max="2830" width="5.5703125" customWidth="1"/>
    <col min="2831" max="2831" width="19.7109375" customWidth="1"/>
    <col min="2832" max="2832" width="2.140625" customWidth="1"/>
    <col min="2833" max="2833" width="13.5703125" customWidth="1"/>
    <col min="3075" max="3075" width="2" customWidth="1"/>
    <col min="3076" max="3076" width="8.28515625" customWidth="1"/>
    <col min="3077" max="3077" width="15.42578125" customWidth="1"/>
    <col min="3078" max="3078" width="8.7109375" customWidth="1"/>
    <col min="3079" max="3079" width="8" customWidth="1"/>
    <col min="3080" max="3080" width="6" customWidth="1"/>
    <col min="3081" max="3081" width="6.5703125" customWidth="1"/>
    <col min="3082" max="3082" width="9.5703125" customWidth="1"/>
    <col min="3083" max="3083" width="11.5703125" customWidth="1"/>
    <col min="3084" max="3084" width="3.5703125" customWidth="1"/>
    <col min="3085" max="3085" width="13.85546875" customWidth="1"/>
    <col min="3086" max="3086" width="5.5703125" customWidth="1"/>
    <col min="3087" max="3087" width="19.7109375" customWidth="1"/>
    <col min="3088" max="3088" width="2.140625" customWidth="1"/>
    <col min="3089" max="3089" width="13.5703125" customWidth="1"/>
    <col min="3331" max="3331" width="2" customWidth="1"/>
    <col min="3332" max="3332" width="8.28515625" customWidth="1"/>
    <col min="3333" max="3333" width="15.42578125" customWidth="1"/>
    <col min="3334" max="3334" width="8.7109375" customWidth="1"/>
    <col min="3335" max="3335" width="8" customWidth="1"/>
    <col min="3336" max="3336" width="6" customWidth="1"/>
    <col min="3337" max="3337" width="6.5703125" customWidth="1"/>
    <col min="3338" max="3338" width="9.5703125" customWidth="1"/>
    <col min="3339" max="3339" width="11.5703125" customWidth="1"/>
    <col min="3340" max="3340" width="3.5703125" customWidth="1"/>
    <col min="3341" max="3341" width="13.85546875" customWidth="1"/>
    <col min="3342" max="3342" width="5.5703125" customWidth="1"/>
    <col min="3343" max="3343" width="19.7109375" customWidth="1"/>
    <col min="3344" max="3344" width="2.140625" customWidth="1"/>
    <col min="3345" max="3345" width="13.5703125" customWidth="1"/>
    <col min="3587" max="3587" width="2" customWidth="1"/>
    <col min="3588" max="3588" width="8.28515625" customWidth="1"/>
    <col min="3589" max="3589" width="15.42578125" customWidth="1"/>
    <col min="3590" max="3590" width="8.7109375" customWidth="1"/>
    <col min="3591" max="3591" width="8" customWidth="1"/>
    <col min="3592" max="3592" width="6" customWidth="1"/>
    <col min="3593" max="3593" width="6.5703125" customWidth="1"/>
    <col min="3594" max="3594" width="9.5703125" customWidth="1"/>
    <col min="3595" max="3595" width="11.5703125" customWidth="1"/>
    <col min="3596" max="3596" width="3.5703125" customWidth="1"/>
    <col min="3597" max="3597" width="13.85546875" customWidth="1"/>
    <col min="3598" max="3598" width="5.5703125" customWidth="1"/>
    <col min="3599" max="3599" width="19.7109375" customWidth="1"/>
    <col min="3600" max="3600" width="2.140625" customWidth="1"/>
    <col min="3601" max="3601" width="13.5703125" customWidth="1"/>
    <col min="3843" max="3843" width="2" customWidth="1"/>
    <col min="3844" max="3844" width="8.28515625" customWidth="1"/>
    <col min="3845" max="3845" width="15.42578125" customWidth="1"/>
    <col min="3846" max="3846" width="8.7109375" customWidth="1"/>
    <col min="3847" max="3847" width="8" customWidth="1"/>
    <col min="3848" max="3848" width="6" customWidth="1"/>
    <col min="3849" max="3849" width="6.5703125" customWidth="1"/>
    <col min="3850" max="3850" width="9.5703125" customWidth="1"/>
    <col min="3851" max="3851" width="11.5703125" customWidth="1"/>
    <col min="3852" max="3852" width="3.5703125" customWidth="1"/>
    <col min="3853" max="3853" width="13.85546875" customWidth="1"/>
    <col min="3854" max="3854" width="5.5703125" customWidth="1"/>
    <col min="3855" max="3855" width="19.7109375" customWidth="1"/>
    <col min="3856" max="3856" width="2.140625" customWidth="1"/>
    <col min="3857" max="3857" width="13.5703125" customWidth="1"/>
    <col min="4099" max="4099" width="2" customWidth="1"/>
    <col min="4100" max="4100" width="8.28515625" customWidth="1"/>
    <col min="4101" max="4101" width="15.42578125" customWidth="1"/>
    <col min="4102" max="4102" width="8.7109375" customWidth="1"/>
    <col min="4103" max="4103" width="8" customWidth="1"/>
    <col min="4104" max="4104" width="6" customWidth="1"/>
    <col min="4105" max="4105" width="6.5703125" customWidth="1"/>
    <col min="4106" max="4106" width="9.5703125" customWidth="1"/>
    <col min="4107" max="4107" width="11.5703125" customWidth="1"/>
    <col min="4108" max="4108" width="3.5703125" customWidth="1"/>
    <col min="4109" max="4109" width="13.85546875" customWidth="1"/>
    <col min="4110" max="4110" width="5.5703125" customWidth="1"/>
    <col min="4111" max="4111" width="19.7109375" customWidth="1"/>
    <col min="4112" max="4112" width="2.140625" customWidth="1"/>
    <col min="4113" max="4113" width="13.5703125" customWidth="1"/>
    <col min="4355" max="4355" width="2" customWidth="1"/>
    <col min="4356" max="4356" width="8.28515625" customWidth="1"/>
    <col min="4357" max="4357" width="15.42578125" customWidth="1"/>
    <col min="4358" max="4358" width="8.7109375" customWidth="1"/>
    <col min="4359" max="4359" width="8" customWidth="1"/>
    <col min="4360" max="4360" width="6" customWidth="1"/>
    <col min="4361" max="4361" width="6.5703125" customWidth="1"/>
    <col min="4362" max="4362" width="9.5703125" customWidth="1"/>
    <col min="4363" max="4363" width="11.5703125" customWidth="1"/>
    <col min="4364" max="4364" width="3.5703125" customWidth="1"/>
    <col min="4365" max="4365" width="13.85546875" customWidth="1"/>
    <col min="4366" max="4366" width="5.5703125" customWidth="1"/>
    <col min="4367" max="4367" width="19.7109375" customWidth="1"/>
    <col min="4368" max="4368" width="2.140625" customWidth="1"/>
    <col min="4369" max="4369" width="13.5703125" customWidth="1"/>
    <col min="4611" max="4611" width="2" customWidth="1"/>
    <col min="4612" max="4612" width="8.28515625" customWidth="1"/>
    <col min="4613" max="4613" width="15.42578125" customWidth="1"/>
    <col min="4614" max="4614" width="8.7109375" customWidth="1"/>
    <col min="4615" max="4615" width="8" customWidth="1"/>
    <col min="4616" max="4616" width="6" customWidth="1"/>
    <col min="4617" max="4617" width="6.5703125" customWidth="1"/>
    <col min="4618" max="4618" width="9.5703125" customWidth="1"/>
    <col min="4619" max="4619" width="11.5703125" customWidth="1"/>
    <col min="4620" max="4620" width="3.5703125" customWidth="1"/>
    <col min="4621" max="4621" width="13.85546875" customWidth="1"/>
    <col min="4622" max="4622" width="5.5703125" customWidth="1"/>
    <col min="4623" max="4623" width="19.7109375" customWidth="1"/>
    <col min="4624" max="4624" width="2.140625" customWidth="1"/>
    <col min="4625" max="4625" width="13.5703125" customWidth="1"/>
    <col min="4867" max="4867" width="2" customWidth="1"/>
    <col min="4868" max="4868" width="8.28515625" customWidth="1"/>
    <col min="4869" max="4869" width="15.42578125" customWidth="1"/>
    <col min="4870" max="4870" width="8.7109375" customWidth="1"/>
    <col min="4871" max="4871" width="8" customWidth="1"/>
    <col min="4872" max="4872" width="6" customWidth="1"/>
    <col min="4873" max="4873" width="6.5703125" customWidth="1"/>
    <col min="4874" max="4874" width="9.5703125" customWidth="1"/>
    <col min="4875" max="4875" width="11.5703125" customWidth="1"/>
    <col min="4876" max="4876" width="3.5703125" customWidth="1"/>
    <col min="4877" max="4877" width="13.85546875" customWidth="1"/>
    <col min="4878" max="4878" width="5.5703125" customWidth="1"/>
    <col min="4879" max="4879" width="19.7109375" customWidth="1"/>
    <col min="4880" max="4880" width="2.140625" customWidth="1"/>
    <col min="4881" max="4881" width="13.5703125" customWidth="1"/>
    <col min="5123" max="5123" width="2" customWidth="1"/>
    <col min="5124" max="5124" width="8.28515625" customWidth="1"/>
    <col min="5125" max="5125" width="15.42578125" customWidth="1"/>
    <col min="5126" max="5126" width="8.7109375" customWidth="1"/>
    <col min="5127" max="5127" width="8" customWidth="1"/>
    <col min="5128" max="5128" width="6" customWidth="1"/>
    <col min="5129" max="5129" width="6.5703125" customWidth="1"/>
    <col min="5130" max="5130" width="9.5703125" customWidth="1"/>
    <col min="5131" max="5131" width="11.5703125" customWidth="1"/>
    <col min="5132" max="5132" width="3.5703125" customWidth="1"/>
    <col min="5133" max="5133" width="13.85546875" customWidth="1"/>
    <col min="5134" max="5134" width="5.5703125" customWidth="1"/>
    <col min="5135" max="5135" width="19.7109375" customWidth="1"/>
    <col min="5136" max="5136" width="2.140625" customWidth="1"/>
    <col min="5137" max="5137" width="13.5703125" customWidth="1"/>
    <col min="5379" max="5379" width="2" customWidth="1"/>
    <col min="5380" max="5380" width="8.28515625" customWidth="1"/>
    <col min="5381" max="5381" width="15.42578125" customWidth="1"/>
    <col min="5382" max="5382" width="8.7109375" customWidth="1"/>
    <col min="5383" max="5383" width="8" customWidth="1"/>
    <col min="5384" max="5384" width="6" customWidth="1"/>
    <col min="5385" max="5385" width="6.5703125" customWidth="1"/>
    <col min="5386" max="5386" width="9.5703125" customWidth="1"/>
    <col min="5387" max="5387" width="11.5703125" customWidth="1"/>
    <col min="5388" max="5388" width="3.5703125" customWidth="1"/>
    <col min="5389" max="5389" width="13.85546875" customWidth="1"/>
    <col min="5390" max="5390" width="5.5703125" customWidth="1"/>
    <col min="5391" max="5391" width="19.7109375" customWidth="1"/>
    <col min="5392" max="5392" width="2.140625" customWidth="1"/>
    <col min="5393" max="5393" width="13.5703125" customWidth="1"/>
    <col min="5635" max="5635" width="2" customWidth="1"/>
    <col min="5636" max="5636" width="8.28515625" customWidth="1"/>
    <col min="5637" max="5637" width="15.42578125" customWidth="1"/>
    <col min="5638" max="5638" width="8.7109375" customWidth="1"/>
    <col min="5639" max="5639" width="8" customWidth="1"/>
    <col min="5640" max="5640" width="6" customWidth="1"/>
    <col min="5641" max="5641" width="6.5703125" customWidth="1"/>
    <col min="5642" max="5642" width="9.5703125" customWidth="1"/>
    <col min="5643" max="5643" width="11.5703125" customWidth="1"/>
    <col min="5644" max="5644" width="3.5703125" customWidth="1"/>
    <col min="5645" max="5645" width="13.85546875" customWidth="1"/>
    <col min="5646" max="5646" width="5.5703125" customWidth="1"/>
    <col min="5647" max="5647" width="19.7109375" customWidth="1"/>
    <col min="5648" max="5648" width="2.140625" customWidth="1"/>
    <col min="5649" max="5649" width="13.5703125" customWidth="1"/>
    <col min="5891" max="5891" width="2" customWidth="1"/>
    <col min="5892" max="5892" width="8.28515625" customWidth="1"/>
    <col min="5893" max="5893" width="15.42578125" customWidth="1"/>
    <col min="5894" max="5894" width="8.7109375" customWidth="1"/>
    <col min="5895" max="5895" width="8" customWidth="1"/>
    <col min="5896" max="5896" width="6" customWidth="1"/>
    <col min="5897" max="5897" width="6.5703125" customWidth="1"/>
    <col min="5898" max="5898" width="9.5703125" customWidth="1"/>
    <col min="5899" max="5899" width="11.5703125" customWidth="1"/>
    <col min="5900" max="5900" width="3.5703125" customWidth="1"/>
    <col min="5901" max="5901" width="13.85546875" customWidth="1"/>
    <col min="5902" max="5902" width="5.5703125" customWidth="1"/>
    <col min="5903" max="5903" width="19.7109375" customWidth="1"/>
    <col min="5904" max="5904" width="2.140625" customWidth="1"/>
    <col min="5905" max="5905" width="13.5703125" customWidth="1"/>
    <col min="6147" max="6147" width="2" customWidth="1"/>
    <col min="6148" max="6148" width="8.28515625" customWidth="1"/>
    <col min="6149" max="6149" width="15.42578125" customWidth="1"/>
    <col min="6150" max="6150" width="8.7109375" customWidth="1"/>
    <col min="6151" max="6151" width="8" customWidth="1"/>
    <col min="6152" max="6152" width="6" customWidth="1"/>
    <col min="6153" max="6153" width="6.5703125" customWidth="1"/>
    <col min="6154" max="6154" width="9.5703125" customWidth="1"/>
    <col min="6155" max="6155" width="11.5703125" customWidth="1"/>
    <col min="6156" max="6156" width="3.5703125" customWidth="1"/>
    <col min="6157" max="6157" width="13.85546875" customWidth="1"/>
    <col min="6158" max="6158" width="5.5703125" customWidth="1"/>
    <col min="6159" max="6159" width="19.7109375" customWidth="1"/>
    <col min="6160" max="6160" width="2.140625" customWidth="1"/>
    <col min="6161" max="6161" width="13.5703125" customWidth="1"/>
    <col min="6403" max="6403" width="2" customWidth="1"/>
    <col min="6404" max="6404" width="8.28515625" customWidth="1"/>
    <col min="6405" max="6405" width="15.42578125" customWidth="1"/>
    <col min="6406" max="6406" width="8.7109375" customWidth="1"/>
    <col min="6407" max="6407" width="8" customWidth="1"/>
    <col min="6408" max="6408" width="6" customWidth="1"/>
    <col min="6409" max="6409" width="6.5703125" customWidth="1"/>
    <col min="6410" max="6410" width="9.5703125" customWidth="1"/>
    <col min="6411" max="6411" width="11.5703125" customWidth="1"/>
    <col min="6412" max="6412" width="3.5703125" customWidth="1"/>
    <col min="6413" max="6413" width="13.85546875" customWidth="1"/>
    <col min="6414" max="6414" width="5.5703125" customWidth="1"/>
    <col min="6415" max="6415" width="19.7109375" customWidth="1"/>
    <col min="6416" max="6416" width="2.140625" customWidth="1"/>
    <col min="6417" max="6417" width="13.5703125" customWidth="1"/>
    <col min="6659" max="6659" width="2" customWidth="1"/>
    <col min="6660" max="6660" width="8.28515625" customWidth="1"/>
    <col min="6661" max="6661" width="15.42578125" customWidth="1"/>
    <col min="6662" max="6662" width="8.7109375" customWidth="1"/>
    <col min="6663" max="6663" width="8" customWidth="1"/>
    <col min="6664" max="6664" width="6" customWidth="1"/>
    <col min="6665" max="6665" width="6.5703125" customWidth="1"/>
    <col min="6666" max="6666" width="9.5703125" customWidth="1"/>
    <col min="6667" max="6667" width="11.5703125" customWidth="1"/>
    <col min="6668" max="6668" width="3.5703125" customWidth="1"/>
    <col min="6669" max="6669" width="13.85546875" customWidth="1"/>
    <col min="6670" max="6670" width="5.5703125" customWidth="1"/>
    <col min="6671" max="6671" width="19.7109375" customWidth="1"/>
    <col min="6672" max="6672" width="2.140625" customWidth="1"/>
    <col min="6673" max="6673" width="13.5703125" customWidth="1"/>
    <col min="6915" max="6915" width="2" customWidth="1"/>
    <col min="6916" max="6916" width="8.28515625" customWidth="1"/>
    <col min="6917" max="6917" width="15.42578125" customWidth="1"/>
    <col min="6918" max="6918" width="8.7109375" customWidth="1"/>
    <col min="6919" max="6919" width="8" customWidth="1"/>
    <col min="6920" max="6920" width="6" customWidth="1"/>
    <col min="6921" max="6921" width="6.5703125" customWidth="1"/>
    <col min="6922" max="6922" width="9.5703125" customWidth="1"/>
    <col min="6923" max="6923" width="11.5703125" customWidth="1"/>
    <col min="6924" max="6924" width="3.5703125" customWidth="1"/>
    <col min="6925" max="6925" width="13.85546875" customWidth="1"/>
    <col min="6926" max="6926" width="5.5703125" customWidth="1"/>
    <col min="6927" max="6927" width="19.7109375" customWidth="1"/>
    <col min="6928" max="6928" width="2.140625" customWidth="1"/>
    <col min="6929" max="6929" width="13.5703125" customWidth="1"/>
    <col min="7171" max="7171" width="2" customWidth="1"/>
    <col min="7172" max="7172" width="8.28515625" customWidth="1"/>
    <col min="7173" max="7173" width="15.42578125" customWidth="1"/>
    <col min="7174" max="7174" width="8.7109375" customWidth="1"/>
    <col min="7175" max="7175" width="8" customWidth="1"/>
    <col min="7176" max="7176" width="6" customWidth="1"/>
    <col min="7177" max="7177" width="6.5703125" customWidth="1"/>
    <col min="7178" max="7178" width="9.5703125" customWidth="1"/>
    <col min="7179" max="7179" width="11.5703125" customWidth="1"/>
    <col min="7180" max="7180" width="3.5703125" customWidth="1"/>
    <col min="7181" max="7181" width="13.85546875" customWidth="1"/>
    <col min="7182" max="7182" width="5.5703125" customWidth="1"/>
    <col min="7183" max="7183" width="19.7109375" customWidth="1"/>
    <col min="7184" max="7184" width="2.140625" customWidth="1"/>
    <col min="7185" max="7185" width="13.5703125" customWidth="1"/>
    <col min="7427" max="7427" width="2" customWidth="1"/>
    <col min="7428" max="7428" width="8.28515625" customWidth="1"/>
    <col min="7429" max="7429" width="15.42578125" customWidth="1"/>
    <col min="7430" max="7430" width="8.7109375" customWidth="1"/>
    <col min="7431" max="7431" width="8" customWidth="1"/>
    <col min="7432" max="7432" width="6" customWidth="1"/>
    <col min="7433" max="7433" width="6.5703125" customWidth="1"/>
    <col min="7434" max="7434" width="9.5703125" customWidth="1"/>
    <col min="7435" max="7435" width="11.5703125" customWidth="1"/>
    <col min="7436" max="7436" width="3.5703125" customWidth="1"/>
    <col min="7437" max="7437" width="13.85546875" customWidth="1"/>
    <col min="7438" max="7438" width="5.5703125" customWidth="1"/>
    <col min="7439" max="7439" width="19.7109375" customWidth="1"/>
    <col min="7440" max="7440" width="2.140625" customWidth="1"/>
    <col min="7441" max="7441" width="13.5703125" customWidth="1"/>
    <col min="7683" max="7683" width="2" customWidth="1"/>
    <col min="7684" max="7684" width="8.28515625" customWidth="1"/>
    <col min="7685" max="7685" width="15.42578125" customWidth="1"/>
    <col min="7686" max="7686" width="8.7109375" customWidth="1"/>
    <col min="7687" max="7687" width="8" customWidth="1"/>
    <col min="7688" max="7688" width="6" customWidth="1"/>
    <col min="7689" max="7689" width="6.5703125" customWidth="1"/>
    <col min="7690" max="7690" width="9.5703125" customWidth="1"/>
    <col min="7691" max="7691" width="11.5703125" customWidth="1"/>
    <col min="7692" max="7692" width="3.5703125" customWidth="1"/>
    <col min="7693" max="7693" width="13.85546875" customWidth="1"/>
    <col min="7694" max="7694" width="5.5703125" customWidth="1"/>
    <col min="7695" max="7695" width="19.7109375" customWidth="1"/>
    <col min="7696" max="7696" width="2.140625" customWidth="1"/>
    <col min="7697" max="7697" width="13.5703125" customWidth="1"/>
    <col min="7939" max="7939" width="2" customWidth="1"/>
    <col min="7940" max="7940" width="8.28515625" customWidth="1"/>
    <col min="7941" max="7941" width="15.42578125" customWidth="1"/>
    <col min="7942" max="7942" width="8.7109375" customWidth="1"/>
    <col min="7943" max="7943" width="8" customWidth="1"/>
    <col min="7944" max="7944" width="6" customWidth="1"/>
    <col min="7945" max="7945" width="6.5703125" customWidth="1"/>
    <col min="7946" max="7946" width="9.5703125" customWidth="1"/>
    <col min="7947" max="7947" width="11.5703125" customWidth="1"/>
    <col min="7948" max="7948" width="3.5703125" customWidth="1"/>
    <col min="7949" max="7949" width="13.85546875" customWidth="1"/>
    <col min="7950" max="7950" width="5.5703125" customWidth="1"/>
    <col min="7951" max="7951" width="19.7109375" customWidth="1"/>
    <col min="7952" max="7952" width="2.140625" customWidth="1"/>
    <col min="7953" max="7953" width="13.5703125" customWidth="1"/>
    <col min="8195" max="8195" width="2" customWidth="1"/>
    <col min="8196" max="8196" width="8.28515625" customWidth="1"/>
    <col min="8197" max="8197" width="15.42578125" customWidth="1"/>
    <col min="8198" max="8198" width="8.7109375" customWidth="1"/>
    <col min="8199" max="8199" width="8" customWidth="1"/>
    <col min="8200" max="8200" width="6" customWidth="1"/>
    <col min="8201" max="8201" width="6.5703125" customWidth="1"/>
    <col min="8202" max="8202" width="9.5703125" customWidth="1"/>
    <col min="8203" max="8203" width="11.5703125" customWidth="1"/>
    <col min="8204" max="8204" width="3.5703125" customWidth="1"/>
    <col min="8205" max="8205" width="13.85546875" customWidth="1"/>
    <col min="8206" max="8206" width="5.5703125" customWidth="1"/>
    <col min="8207" max="8207" width="19.7109375" customWidth="1"/>
    <col min="8208" max="8208" width="2.140625" customWidth="1"/>
    <col min="8209" max="8209" width="13.5703125" customWidth="1"/>
    <col min="8451" max="8451" width="2" customWidth="1"/>
    <col min="8452" max="8452" width="8.28515625" customWidth="1"/>
    <col min="8453" max="8453" width="15.42578125" customWidth="1"/>
    <col min="8454" max="8454" width="8.7109375" customWidth="1"/>
    <col min="8455" max="8455" width="8" customWidth="1"/>
    <col min="8456" max="8456" width="6" customWidth="1"/>
    <col min="8457" max="8457" width="6.5703125" customWidth="1"/>
    <col min="8458" max="8458" width="9.5703125" customWidth="1"/>
    <col min="8459" max="8459" width="11.5703125" customWidth="1"/>
    <col min="8460" max="8460" width="3.5703125" customWidth="1"/>
    <col min="8461" max="8461" width="13.85546875" customWidth="1"/>
    <col min="8462" max="8462" width="5.5703125" customWidth="1"/>
    <col min="8463" max="8463" width="19.7109375" customWidth="1"/>
    <col min="8464" max="8464" width="2.140625" customWidth="1"/>
    <col min="8465" max="8465" width="13.5703125" customWidth="1"/>
    <col min="8707" max="8707" width="2" customWidth="1"/>
    <col min="8708" max="8708" width="8.28515625" customWidth="1"/>
    <col min="8709" max="8709" width="15.42578125" customWidth="1"/>
    <col min="8710" max="8710" width="8.7109375" customWidth="1"/>
    <col min="8711" max="8711" width="8" customWidth="1"/>
    <col min="8712" max="8712" width="6" customWidth="1"/>
    <col min="8713" max="8713" width="6.5703125" customWidth="1"/>
    <col min="8714" max="8714" width="9.5703125" customWidth="1"/>
    <col min="8715" max="8715" width="11.5703125" customWidth="1"/>
    <col min="8716" max="8716" width="3.5703125" customWidth="1"/>
    <col min="8717" max="8717" width="13.85546875" customWidth="1"/>
    <col min="8718" max="8718" width="5.5703125" customWidth="1"/>
    <col min="8719" max="8719" width="19.7109375" customWidth="1"/>
    <col min="8720" max="8720" width="2.140625" customWidth="1"/>
    <col min="8721" max="8721" width="13.5703125" customWidth="1"/>
    <col min="8963" max="8963" width="2" customWidth="1"/>
    <col min="8964" max="8964" width="8.28515625" customWidth="1"/>
    <col min="8965" max="8965" width="15.42578125" customWidth="1"/>
    <col min="8966" max="8966" width="8.7109375" customWidth="1"/>
    <col min="8967" max="8967" width="8" customWidth="1"/>
    <col min="8968" max="8968" width="6" customWidth="1"/>
    <col min="8969" max="8969" width="6.5703125" customWidth="1"/>
    <col min="8970" max="8970" width="9.5703125" customWidth="1"/>
    <col min="8971" max="8971" width="11.5703125" customWidth="1"/>
    <col min="8972" max="8972" width="3.5703125" customWidth="1"/>
    <col min="8973" max="8973" width="13.85546875" customWidth="1"/>
    <col min="8974" max="8974" width="5.5703125" customWidth="1"/>
    <col min="8975" max="8975" width="19.7109375" customWidth="1"/>
    <col min="8976" max="8976" width="2.140625" customWidth="1"/>
    <col min="8977" max="8977" width="13.5703125" customWidth="1"/>
    <col min="9219" max="9219" width="2" customWidth="1"/>
    <col min="9220" max="9220" width="8.28515625" customWidth="1"/>
    <col min="9221" max="9221" width="15.42578125" customWidth="1"/>
    <col min="9222" max="9222" width="8.7109375" customWidth="1"/>
    <col min="9223" max="9223" width="8" customWidth="1"/>
    <col min="9224" max="9224" width="6" customWidth="1"/>
    <col min="9225" max="9225" width="6.5703125" customWidth="1"/>
    <col min="9226" max="9226" width="9.5703125" customWidth="1"/>
    <col min="9227" max="9227" width="11.5703125" customWidth="1"/>
    <col min="9228" max="9228" width="3.5703125" customWidth="1"/>
    <col min="9229" max="9229" width="13.85546875" customWidth="1"/>
    <col min="9230" max="9230" width="5.5703125" customWidth="1"/>
    <col min="9231" max="9231" width="19.7109375" customWidth="1"/>
    <col min="9232" max="9232" width="2.140625" customWidth="1"/>
    <col min="9233" max="9233" width="13.5703125" customWidth="1"/>
    <col min="9475" max="9475" width="2" customWidth="1"/>
    <col min="9476" max="9476" width="8.28515625" customWidth="1"/>
    <col min="9477" max="9477" width="15.42578125" customWidth="1"/>
    <col min="9478" max="9478" width="8.7109375" customWidth="1"/>
    <col min="9479" max="9479" width="8" customWidth="1"/>
    <col min="9480" max="9480" width="6" customWidth="1"/>
    <col min="9481" max="9481" width="6.5703125" customWidth="1"/>
    <col min="9482" max="9482" width="9.5703125" customWidth="1"/>
    <col min="9483" max="9483" width="11.5703125" customWidth="1"/>
    <col min="9484" max="9484" width="3.5703125" customWidth="1"/>
    <col min="9485" max="9485" width="13.85546875" customWidth="1"/>
    <col min="9486" max="9486" width="5.5703125" customWidth="1"/>
    <col min="9487" max="9487" width="19.7109375" customWidth="1"/>
    <col min="9488" max="9488" width="2.140625" customWidth="1"/>
    <col min="9489" max="9489" width="13.5703125" customWidth="1"/>
    <col min="9731" max="9731" width="2" customWidth="1"/>
    <col min="9732" max="9732" width="8.28515625" customWidth="1"/>
    <col min="9733" max="9733" width="15.42578125" customWidth="1"/>
    <col min="9734" max="9734" width="8.7109375" customWidth="1"/>
    <col min="9735" max="9735" width="8" customWidth="1"/>
    <col min="9736" max="9736" width="6" customWidth="1"/>
    <col min="9737" max="9737" width="6.5703125" customWidth="1"/>
    <col min="9738" max="9738" width="9.5703125" customWidth="1"/>
    <col min="9739" max="9739" width="11.5703125" customWidth="1"/>
    <col min="9740" max="9740" width="3.5703125" customWidth="1"/>
    <col min="9741" max="9741" width="13.85546875" customWidth="1"/>
    <col min="9742" max="9742" width="5.5703125" customWidth="1"/>
    <col min="9743" max="9743" width="19.7109375" customWidth="1"/>
    <col min="9744" max="9744" width="2.140625" customWidth="1"/>
    <col min="9745" max="9745" width="13.5703125" customWidth="1"/>
    <col min="9987" max="9987" width="2" customWidth="1"/>
    <col min="9988" max="9988" width="8.28515625" customWidth="1"/>
    <col min="9989" max="9989" width="15.42578125" customWidth="1"/>
    <col min="9990" max="9990" width="8.7109375" customWidth="1"/>
    <col min="9991" max="9991" width="8" customWidth="1"/>
    <col min="9992" max="9992" width="6" customWidth="1"/>
    <col min="9993" max="9993" width="6.5703125" customWidth="1"/>
    <col min="9994" max="9994" width="9.5703125" customWidth="1"/>
    <col min="9995" max="9995" width="11.5703125" customWidth="1"/>
    <col min="9996" max="9996" width="3.5703125" customWidth="1"/>
    <col min="9997" max="9997" width="13.85546875" customWidth="1"/>
    <col min="9998" max="9998" width="5.5703125" customWidth="1"/>
    <col min="9999" max="9999" width="19.7109375" customWidth="1"/>
    <col min="10000" max="10000" width="2.140625" customWidth="1"/>
    <col min="10001" max="10001" width="13.5703125" customWidth="1"/>
    <col min="10243" max="10243" width="2" customWidth="1"/>
    <col min="10244" max="10244" width="8.28515625" customWidth="1"/>
    <col min="10245" max="10245" width="15.42578125" customWidth="1"/>
    <col min="10246" max="10246" width="8.7109375" customWidth="1"/>
    <col min="10247" max="10247" width="8" customWidth="1"/>
    <col min="10248" max="10248" width="6" customWidth="1"/>
    <col min="10249" max="10249" width="6.5703125" customWidth="1"/>
    <col min="10250" max="10250" width="9.5703125" customWidth="1"/>
    <col min="10251" max="10251" width="11.5703125" customWidth="1"/>
    <col min="10252" max="10252" width="3.5703125" customWidth="1"/>
    <col min="10253" max="10253" width="13.85546875" customWidth="1"/>
    <col min="10254" max="10254" width="5.5703125" customWidth="1"/>
    <col min="10255" max="10255" width="19.7109375" customWidth="1"/>
    <col min="10256" max="10256" width="2.140625" customWidth="1"/>
    <col min="10257" max="10257" width="13.5703125" customWidth="1"/>
    <col min="10499" max="10499" width="2" customWidth="1"/>
    <col min="10500" max="10500" width="8.28515625" customWidth="1"/>
    <col min="10501" max="10501" width="15.42578125" customWidth="1"/>
    <col min="10502" max="10502" width="8.7109375" customWidth="1"/>
    <col min="10503" max="10503" width="8" customWidth="1"/>
    <col min="10504" max="10504" width="6" customWidth="1"/>
    <col min="10505" max="10505" width="6.5703125" customWidth="1"/>
    <col min="10506" max="10506" width="9.5703125" customWidth="1"/>
    <col min="10507" max="10507" width="11.5703125" customWidth="1"/>
    <col min="10508" max="10508" width="3.5703125" customWidth="1"/>
    <col min="10509" max="10509" width="13.85546875" customWidth="1"/>
    <col min="10510" max="10510" width="5.5703125" customWidth="1"/>
    <col min="10511" max="10511" width="19.7109375" customWidth="1"/>
    <col min="10512" max="10512" width="2.140625" customWidth="1"/>
    <col min="10513" max="10513" width="13.5703125" customWidth="1"/>
    <col min="10755" max="10755" width="2" customWidth="1"/>
    <col min="10756" max="10756" width="8.28515625" customWidth="1"/>
    <col min="10757" max="10757" width="15.42578125" customWidth="1"/>
    <col min="10758" max="10758" width="8.7109375" customWidth="1"/>
    <col min="10759" max="10759" width="8" customWidth="1"/>
    <col min="10760" max="10760" width="6" customWidth="1"/>
    <col min="10761" max="10761" width="6.5703125" customWidth="1"/>
    <col min="10762" max="10762" width="9.5703125" customWidth="1"/>
    <col min="10763" max="10763" width="11.5703125" customWidth="1"/>
    <col min="10764" max="10764" width="3.5703125" customWidth="1"/>
    <col min="10765" max="10765" width="13.85546875" customWidth="1"/>
    <col min="10766" max="10766" width="5.5703125" customWidth="1"/>
    <col min="10767" max="10767" width="19.7109375" customWidth="1"/>
    <col min="10768" max="10768" width="2.140625" customWidth="1"/>
    <col min="10769" max="10769" width="13.5703125" customWidth="1"/>
    <col min="11011" max="11011" width="2" customWidth="1"/>
    <col min="11012" max="11012" width="8.28515625" customWidth="1"/>
    <col min="11013" max="11013" width="15.42578125" customWidth="1"/>
    <col min="11014" max="11014" width="8.7109375" customWidth="1"/>
    <col min="11015" max="11015" width="8" customWidth="1"/>
    <col min="11016" max="11016" width="6" customWidth="1"/>
    <col min="11017" max="11017" width="6.5703125" customWidth="1"/>
    <col min="11018" max="11018" width="9.5703125" customWidth="1"/>
    <col min="11019" max="11019" width="11.5703125" customWidth="1"/>
    <col min="11020" max="11020" width="3.5703125" customWidth="1"/>
    <col min="11021" max="11021" width="13.85546875" customWidth="1"/>
    <col min="11022" max="11022" width="5.5703125" customWidth="1"/>
    <col min="11023" max="11023" width="19.7109375" customWidth="1"/>
    <col min="11024" max="11024" width="2.140625" customWidth="1"/>
    <col min="11025" max="11025" width="13.5703125" customWidth="1"/>
    <col min="11267" max="11267" width="2" customWidth="1"/>
    <col min="11268" max="11268" width="8.28515625" customWidth="1"/>
    <col min="11269" max="11269" width="15.42578125" customWidth="1"/>
    <col min="11270" max="11270" width="8.7109375" customWidth="1"/>
    <col min="11271" max="11271" width="8" customWidth="1"/>
    <col min="11272" max="11272" width="6" customWidth="1"/>
    <col min="11273" max="11273" width="6.5703125" customWidth="1"/>
    <col min="11274" max="11274" width="9.5703125" customWidth="1"/>
    <col min="11275" max="11275" width="11.5703125" customWidth="1"/>
    <col min="11276" max="11276" width="3.5703125" customWidth="1"/>
    <col min="11277" max="11277" width="13.85546875" customWidth="1"/>
    <col min="11278" max="11278" width="5.5703125" customWidth="1"/>
    <col min="11279" max="11279" width="19.7109375" customWidth="1"/>
    <col min="11280" max="11280" width="2.140625" customWidth="1"/>
    <col min="11281" max="11281" width="13.5703125" customWidth="1"/>
    <col min="11523" max="11523" width="2" customWidth="1"/>
    <col min="11524" max="11524" width="8.28515625" customWidth="1"/>
    <col min="11525" max="11525" width="15.42578125" customWidth="1"/>
    <col min="11526" max="11526" width="8.7109375" customWidth="1"/>
    <col min="11527" max="11527" width="8" customWidth="1"/>
    <col min="11528" max="11528" width="6" customWidth="1"/>
    <col min="11529" max="11529" width="6.5703125" customWidth="1"/>
    <col min="11530" max="11530" width="9.5703125" customWidth="1"/>
    <col min="11531" max="11531" width="11.5703125" customWidth="1"/>
    <col min="11532" max="11532" width="3.5703125" customWidth="1"/>
    <col min="11533" max="11533" width="13.85546875" customWidth="1"/>
    <col min="11534" max="11534" width="5.5703125" customWidth="1"/>
    <col min="11535" max="11535" width="19.7109375" customWidth="1"/>
    <col min="11536" max="11536" width="2.140625" customWidth="1"/>
    <col min="11537" max="11537" width="13.5703125" customWidth="1"/>
    <col min="11779" max="11779" width="2" customWidth="1"/>
    <col min="11780" max="11780" width="8.28515625" customWidth="1"/>
    <col min="11781" max="11781" width="15.42578125" customWidth="1"/>
    <col min="11782" max="11782" width="8.7109375" customWidth="1"/>
    <col min="11783" max="11783" width="8" customWidth="1"/>
    <col min="11784" max="11784" width="6" customWidth="1"/>
    <col min="11785" max="11785" width="6.5703125" customWidth="1"/>
    <col min="11786" max="11786" width="9.5703125" customWidth="1"/>
    <col min="11787" max="11787" width="11.5703125" customWidth="1"/>
    <col min="11788" max="11788" width="3.5703125" customWidth="1"/>
    <col min="11789" max="11789" width="13.85546875" customWidth="1"/>
    <col min="11790" max="11790" width="5.5703125" customWidth="1"/>
    <col min="11791" max="11791" width="19.7109375" customWidth="1"/>
    <col min="11792" max="11792" width="2.140625" customWidth="1"/>
    <col min="11793" max="11793" width="13.5703125" customWidth="1"/>
    <col min="12035" max="12035" width="2" customWidth="1"/>
    <col min="12036" max="12036" width="8.28515625" customWidth="1"/>
    <col min="12037" max="12037" width="15.42578125" customWidth="1"/>
    <col min="12038" max="12038" width="8.7109375" customWidth="1"/>
    <col min="12039" max="12039" width="8" customWidth="1"/>
    <col min="12040" max="12040" width="6" customWidth="1"/>
    <col min="12041" max="12041" width="6.5703125" customWidth="1"/>
    <col min="12042" max="12042" width="9.5703125" customWidth="1"/>
    <col min="12043" max="12043" width="11.5703125" customWidth="1"/>
    <col min="12044" max="12044" width="3.5703125" customWidth="1"/>
    <col min="12045" max="12045" width="13.85546875" customWidth="1"/>
    <col min="12046" max="12046" width="5.5703125" customWidth="1"/>
    <col min="12047" max="12047" width="19.7109375" customWidth="1"/>
    <col min="12048" max="12048" width="2.140625" customWidth="1"/>
    <col min="12049" max="12049" width="13.5703125" customWidth="1"/>
    <col min="12291" max="12291" width="2" customWidth="1"/>
    <col min="12292" max="12292" width="8.28515625" customWidth="1"/>
    <col min="12293" max="12293" width="15.42578125" customWidth="1"/>
    <col min="12294" max="12294" width="8.7109375" customWidth="1"/>
    <col min="12295" max="12295" width="8" customWidth="1"/>
    <col min="12296" max="12296" width="6" customWidth="1"/>
    <col min="12297" max="12297" width="6.5703125" customWidth="1"/>
    <col min="12298" max="12298" width="9.5703125" customWidth="1"/>
    <col min="12299" max="12299" width="11.5703125" customWidth="1"/>
    <col min="12300" max="12300" width="3.5703125" customWidth="1"/>
    <col min="12301" max="12301" width="13.85546875" customWidth="1"/>
    <col min="12302" max="12302" width="5.5703125" customWidth="1"/>
    <col min="12303" max="12303" width="19.7109375" customWidth="1"/>
    <col min="12304" max="12304" width="2.140625" customWidth="1"/>
    <col min="12305" max="12305" width="13.5703125" customWidth="1"/>
    <col min="12547" max="12547" width="2" customWidth="1"/>
    <col min="12548" max="12548" width="8.28515625" customWidth="1"/>
    <col min="12549" max="12549" width="15.42578125" customWidth="1"/>
    <col min="12550" max="12550" width="8.7109375" customWidth="1"/>
    <col min="12551" max="12551" width="8" customWidth="1"/>
    <col min="12552" max="12552" width="6" customWidth="1"/>
    <col min="12553" max="12553" width="6.5703125" customWidth="1"/>
    <col min="12554" max="12554" width="9.5703125" customWidth="1"/>
    <col min="12555" max="12555" width="11.5703125" customWidth="1"/>
    <col min="12556" max="12556" width="3.5703125" customWidth="1"/>
    <col min="12557" max="12557" width="13.85546875" customWidth="1"/>
    <col min="12558" max="12558" width="5.5703125" customWidth="1"/>
    <col min="12559" max="12559" width="19.7109375" customWidth="1"/>
    <col min="12560" max="12560" width="2.140625" customWidth="1"/>
    <col min="12561" max="12561" width="13.5703125" customWidth="1"/>
    <col min="12803" max="12803" width="2" customWidth="1"/>
    <col min="12804" max="12804" width="8.28515625" customWidth="1"/>
    <col min="12805" max="12805" width="15.42578125" customWidth="1"/>
    <col min="12806" max="12806" width="8.7109375" customWidth="1"/>
    <col min="12807" max="12807" width="8" customWidth="1"/>
    <col min="12808" max="12808" width="6" customWidth="1"/>
    <col min="12809" max="12809" width="6.5703125" customWidth="1"/>
    <col min="12810" max="12810" width="9.5703125" customWidth="1"/>
    <col min="12811" max="12811" width="11.5703125" customWidth="1"/>
    <col min="12812" max="12812" width="3.5703125" customWidth="1"/>
    <col min="12813" max="12813" width="13.85546875" customWidth="1"/>
    <col min="12814" max="12814" width="5.5703125" customWidth="1"/>
    <col min="12815" max="12815" width="19.7109375" customWidth="1"/>
    <col min="12816" max="12816" width="2.140625" customWidth="1"/>
    <col min="12817" max="12817" width="13.5703125" customWidth="1"/>
    <col min="13059" max="13059" width="2" customWidth="1"/>
    <col min="13060" max="13060" width="8.28515625" customWidth="1"/>
    <col min="13061" max="13061" width="15.42578125" customWidth="1"/>
    <col min="13062" max="13062" width="8.7109375" customWidth="1"/>
    <col min="13063" max="13063" width="8" customWidth="1"/>
    <col min="13064" max="13064" width="6" customWidth="1"/>
    <col min="13065" max="13065" width="6.5703125" customWidth="1"/>
    <col min="13066" max="13066" width="9.5703125" customWidth="1"/>
    <col min="13067" max="13067" width="11.5703125" customWidth="1"/>
    <col min="13068" max="13068" width="3.5703125" customWidth="1"/>
    <col min="13069" max="13069" width="13.85546875" customWidth="1"/>
    <col min="13070" max="13070" width="5.5703125" customWidth="1"/>
    <col min="13071" max="13071" width="19.7109375" customWidth="1"/>
    <col min="13072" max="13072" width="2.140625" customWidth="1"/>
    <col min="13073" max="13073" width="13.5703125" customWidth="1"/>
    <col min="13315" max="13315" width="2" customWidth="1"/>
    <col min="13316" max="13316" width="8.28515625" customWidth="1"/>
    <col min="13317" max="13317" width="15.42578125" customWidth="1"/>
    <col min="13318" max="13318" width="8.7109375" customWidth="1"/>
    <col min="13319" max="13319" width="8" customWidth="1"/>
    <col min="13320" max="13320" width="6" customWidth="1"/>
    <col min="13321" max="13321" width="6.5703125" customWidth="1"/>
    <col min="13322" max="13322" width="9.5703125" customWidth="1"/>
    <col min="13323" max="13323" width="11.5703125" customWidth="1"/>
    <col min="13324" max="13324" width="3.5703125" customWidth="1"/>
    <col min="13325" max="13325" width="13.85546875" customWidth="1"/>
    <col min="13326" max="13326" width="5.5703125" customWidth="1"/>
    <col min="13327" max="13327" width="19.7109375" customWidth="1"/>
    <col min="13328" max="13328" width="2.140625" customWidth="1"/>
    <col min="13329" max="13329" width="13.5703125" customWidth="1"/>
    <col min="13571" max="13571" width="2" customWidth="1"/>
    <col min="13572" max="13572" width="8.28515625" customWidth="1"/>
    <col min="13573" max="13573" width="15.42578125" customWidth="1"/>
    <col min="13574" max="13574" width="8.7109375" customWidth="1"/>
    <col min="13575" max="13575" width="8" customWidth="1"/>
    <col min="13576" max="13576" width="6" customWidth="1"/>
    <col min="13577" max="13577" width="6.5703125" customWidth="1"/>
    <col min="13578" max="13578" width="9.5703125" customWidth="1"/>
    <col min="13579" max="13579" width="11.5703125" customWidth="1"/>
    <col min="13580" max="13580" width="3.5703125" customWidth="1"/>
    <col min="13581" max="13581" width="13.85546875" customWidth="1"/>
    <col min="13582" max="13582" width="5.5703125" customWidth="1"/>
    <col min="13583" max="13583" width="19.7109375" customWidth="1"/>
    <col min="13584" max="13584" width="2.140625" customWidth="1"/>
    <col min="13585" max="13585" width="13.5703125" customWidth="1"/>
    <col min="13827" max="13827" width="2" customWidth="1"/>
    <col min="13828" max="13828" width="8.28515625" customWidth="1"/>
    <col min="13829" max="13829" width="15.42578125" customWidth="1"/>
    <col min="13830" max="13830" width="8.7109375" customWidth="1"/>
    <col min="13831" max="13831" width="8" customWidth="1"/>
    <col min="13832" max="13832" width="6" customWidth="1"/>
    <col min="13833" max="13833" width="6.5703125" customWidth="1"/>
    <col min="13834" max="13834" width="9.5703125" customWidth="1"/>
    <col min="13835" max="13835" width="11.5703125" customWidth="1"/>
    <col min="13836" max="13836" width="3.5703125" customWidth="1"/>
    <col min="13837" max="13837" width="13.85546875" customWidth="1"/>
    <col min="13838" max="13838" width="5.5703125" customWidth="1"/>
    <col min="13839" max="13839" width="19.7109375" customWidth="1"/>
    <col min="13840" max="13840" width="2.140625" customWidth="1"/>
    <col min="13841" max="13841" width="13.5703125" customWidth="1"/>
    <col min="14083" max="14083" width="2" customWidth="1"/>
    <col min="14084" max="14084" width="8.28515625" customWidth="1"/>
    <col min="14085" max="14085" width="15.42578125" customWidth="1"/>
    <col min="14086" max="14086" width="8.7109375" customWidth="1"/>
    <col min="14087" max="14087" width="8" customWidth="1"/>
    <col min="14088" max="14088" width="6" customWidth="1"/>
    <col min="14089" max="14089" width="6.5703125" customWidth="1"/>
    <col min="14090" max="14090" width="9.5703125" customWidth="1"/>
    <col min="14091" max="14091" width="11.5703125" customWidth="1"/>
    <col min="14092" max="14092" width="3.5703125" customWidth="1"/>
    <col min="14093" max="14093" width="13.85546875" customWidth="1"/>
    <col min="14094" max="14094" width="5.5703125" customWidth="1"/>
    <col min="14095" max="14095" width="19.7109375" customWidth="1"/>
    <col min="14096" max="14096" width="2.140625" customWidth="1"/>
    <col min="14097" max="14097" width="13.5703125" customWidth="1"/>
    <col min="14339" max="14339" width="2" customWidth="1"/>
    <col min="14340" max="14340" width="8.28515625" customWidth="1"/>
    <col min="14341" max="14341" width="15.42578125" customWidth="1"/>
    <col min="14342" max="14342" width="8.7109375" customWidth="1"/>
    <col min="14343" max="14343" width="8" customWidth="1"/>
    <col min="14344" max="14344" width="6" customWidth="1"/>
    <col min="14345" max="14345" width="6.5703125" customWidth="1"/>
    <col min="14346" max="14346" width="9.5703125" customWidth="1"/>
    <col min="14347" max="14347" width="11.5703125" customWidth="1"/>
    <col min="14348" max="14348" width="3.5703125" customWidth="1"/>
    <col min="14349" max="14349" width="13.85546875" customWidth="1"/>
    <col min="14350" max="14350" width="5.5703125" customWidth="1"/>
    <col min="14351" max="14351" width="19.7109375" customWidth="1"/>
    <col min="14352" max="14352" width="2.140625" customWidth="1"/>
    <col min="14353" max="14353" width="13.5703125" customWidth="1"/>
    <col min="14595" max="14595" width="2" customWidth="1"/>
    <col min="14596" max="14596" width="8.28515625" customWidth="1"/>
    <col min="14597" max="14597" width="15.42578125" customWidth="1"/>
    <col min="14598" max="14598" width="8.7109375" customWidth="1"/>
    <col min="14599" max="14599" width="8" customWidth="1"/>
    <col min="14600" max="14600" width="6" customWidth="1"/>
    <col min="14601" max="14601" width="6.5703125" customWidth="1"/>
    <col min="14602" max="14602" width="9.5703125" customWidth="1"/>
    <col min="14603" max="14603" width="11.5703125" customWidth="1"/>
    <col min="14604" max="14604" width="3.5703125" customWidth="1"/>
    <col min="14605" max="14605" width="13.85546875" customWidth="1"/>
    <col min="14606" max="14606" width="5.5703125" customWidth="1"/>
    <col min="14607" max="14607" width="19.7109375" customWidth="1"/>
    <col min="14608" max="14608" width="2.140625" customWidth="1"/>
    <col min="14609" max="14609" width="13.5703125" customWidth="1"/>
    <col min="14851" max="14851" width="2" customWidth="1"/>
    <col min="14852" max="14852" width="8.28515625" customWidth="1"/>
    <col min="14853" max="14853" width="15.42578125" customWidth="1"/>
    <col min="14854" max="14854" width="8.7109375" customWidth="1"/>
    <col min="14855" max="14855" width="8" customWidth="1"/>
    <col min="14856" max="14856" width="6" customWidth="1"/>
    <col min="14857" max="14857" width="6.5703125" customWidth="1"/>
    <col min="14858" max="14858" width="9.5703125" customWidth="1"/>
    <col min="14859" max="14859" width="11.5703125" customWidth="1"/>
    <col min="14860" max="14860" width="3.5703125" customWidth="1"/>
    <col min="14861" max="14861" width="13.85546875" customWidth="1"/>
    <col min="14862" max="14862" width="5.5703125" customWidth="1"/>
    <col min="14863" max="14863" width="19.7109375" customWidth="1"/>
    <col min="14864" max="14864" width="2.140625" customWidth="1"/>
    <col min="14865" max="14865" width="13.5703125" customWidth="1"/>
    <col min="15107" max="15107" width="2" customWidth="1"/>
    <col min="15108" max="15108" width="8.28515625" customWidth="1"/>
    <col min="15109" max="15109" width="15.42578125" customWidth="1"/>
    <col min="15110" max="15110" width="8.7109375" customWidth="1"/>
    <col min="15111" max="15111" width="8" customWidth="1"/>
    <col min="15112" max="15112" width="6" customWidth="1"/>
    <col min="15113" max="15113" width="6.5703125" customWidth="1"/>
    <col min="15114" max="15114" width="9.5703125" customWidth="1"/>
    <col min="15115" max="15115" width="11.5703125" customWidth="1"/>
    <col min="15116" max="15116" width="3.5703125" customWidth="1"/>
    <col min="15117" max="15117" width="13.85546875" customWidth="1"/>
    <col min="15118" max="15118" width="5.5703125" customWidth="1"/>
    <col min="15119" max="15119" width="19.7109375" customWidth="1"/>
    <col min="15120" max="15120" width="2.140625" customWidth="1"/>
    <col min="15121" max="15121" width="13.5703125" customWidth="1"/>
    <col min="15363" max="15363" width="2" customWidth="1"/>
    <col min="15364" max="15364" width="8.28515625" customWidth="1"/>
    <col min="15365" max="15365" width="15.42578125" customWidth="1"/>
    <col min="15366" max="15366" width="8.7109375" customWidth="1"/>
    <col min="15367" max="15367" width="8" customWidth="1"/>
    <col min="15368" max="15368" width="6" customWidth="1"/>
    <col min="15369" max="15369" width="6.5703125" customWidth="1"/>
    <col min="15370" max="15370" width="9.5703125" customWidth="1"/>
    <col min="15371" max="15371" width="11.5703125" customWidth="1"/>
    <col min="15372" max="15372" width="3.5703125" customWidth="1"/>
    <col min="15373" max="15373" width="13.85546875" customWidth="1"/>
    <col min="15374" max="15374" width="5.5703125" customWidth="1"/>
    <col min="15375" max="15375" width="19.7109375" customWidth="1"/>
    <col min="15376" max="15376" width="2.140625" customWidth="1"/>
    <col min="15377" max="15377" width="13.5703125" customWidth="1"/>
    <col min="15619" max="15619" width="2" customWidth="1"/>
    <col min="15620" max="15620" width="8.28515625" customWidth="1"/>
    <col min="15621" max="15621" width="15.42578125" customWidth="1"/>
    <col min="15622" max="15622" width="8.7109375" customWidth="1"/>
    <col min="15623" max="15623" width="8" customWidth="1"/>
    <col min="15624" max="15624" width="6" customWidth="1"/>
    <col min="15625" max="15625" width="6.5703125" customWidth="1"/>
    <col min="15626" max="15626" width="9.5703125" customWidth="1"/>
    <col min="15627" max="15627" width="11.5703125" customWidth="1"/>
    <col min="15628" max="15628" width="3.5703125" customWidth="1"/>
    <col min="15629" max="15629" width="13.85546875" customWidth="1"/>
    <col min="15630" max="15630" width="5.5703125" customWidth="1"/>
    <col min="15631" max="15631" width="19.7109375" customWidth="1"/>
    <col min="15632" max="15632" width="2.140625" customWidth="1"/>
    <col min="15633" max="15633" width="13.5703125" customWidth="1"/>
    <col min="15875" max="15875" width="2" customWidth="1"/>
    <col min="15876" max="15876" width="8.28515625" customWidth="1"/>
    <col min="15877" max="15877" width="15.42578125" customWidth="1"/>
    <col min="15878" max="15878" width="8.7109375" customWidth="1"/>
    <col min="15879" max="15879" width="8" customWidth="1"/>
    <col min="15880" max="15880" width="6" customWidth="1"/>
    <col min="15881" max="15881" width="6.5703125" customWidth="1"/>
    <col min="15882" max="15882" width="9.5703125" customWidth="1"/>
    <col min="15883" max="15883" width="11.5703125" customWidth="1"/>
    <col min="15884" max="15884" width="3.5703125" customWidth="1"/>
    <col min="15885" max="15885" width="13.85546875" customWidth="1"/>
    <col min="15886" max="15886" width="5.5703125" customWidth="1"/>
    <col min="15887" max="15887" width="19.7109375" customWidth="1"/>
    <col min="15888" max="15888" width="2.140625" customWidth="1"/>
    <col min="15889" max="15889" width="13.5703125" customWidth="1"/>
    <col min="16131" max="16131" width="2" customWidth="1"/>
    <col min="16132" max="16132" width="8.28515625" customWidth="1"/>
    <col min="16133" max="16133" width="15.42578125" customWidth="1"/>
    <col min="16134" max="16134" width="8.7109375" customWidth="1"/>
    <col min="16135" max="16135" width="8" customWidth="1"/>
    <col min="16136" max="16136" width="6" customWidth="1"/>
    <col min="16137" max="16137" width="6.5703125" customWidth="1"/>
    <col min="16138" max="16138" width="9.5703125" customWidth="1"/>
    <col min="16139" max="16139" width="11.5703125" customWidth="1"/>
    <col min="16140" max="16140" width="3.5703125" customWidth="1"/>
    <col min="16141" max="16141" width="13.85546875" customWidth="1"/>
    <col min="16142" max="16142" width="5.5703125" customWidth="1"/>
    <col min="16143" max="16143" width="19.7109375" customWidth="1"/>
    <col min="16144" max="16144" width="2.140625" customWidth="1"/>
    <col min="16145" max="16145" width="13.5703125" customWidth="1"/>
  </cols>
  <sheetData>
    <row r="1" spans="1:17" ht="9" customHeight="1">
      <c r="A1" s="117"/>
      <c r="B1" s="117"/>
      <c r="C1" s="117"/>
      <c r="D1" s="117"/>
      <c r="E1" s="117"/>
      <c r="F1" s="117"/>
      <c r="G1" s="117"/>
      <c r="H1" s="117"/>
      <c r="I1" s="117"/>
      <c r="J1" s="117"/>
      <c r="K1" s="117"/>
      <c r="L1" s="117"/>
      <c r="M1" s="117"/>
      <c r="N1" s="117"/>
      <c r="O1" s="117"/>
      <c r="P1" s="1058"/>
    </row>
    <row r="2" spans="1:17" ht="12.75" customHeight="1">
      <c r="A2" s="117"/>
      <c r="B2" s="3476"/>
      <c r="C2" s="3476"/>
      <c r="D2" s="3476"/>
      <c r="E2" s="3612"/>
      <c r="F2" s="4282" t="s">
        <v>2554</v>
      </c>
      <c r="G2" s="3889"/>
      <c r="H2" s="3889"/>
      <c r="I2" s="3889"/>
      <c r="J2" s="3889"/>
      <c r="K2" s="3889"/>
      <c r="L2" s="3889"/>
      <c r="M2" s="4856"/>
      <c r="N2" s="4857"/>
      <c r="O2" s="3477" t="s">
        <v>2553</v>
      </c>
      <c r="P2" s="3478"/>
      <c r="Q2" s="7"/>
    </row>
    <row r="3" spans="1:17" ht="22.5" customHeight="1">
      <c r="A3" s="117"/>
      <c r="B3" s="4840" t="s">
        <v>499</v>
      </c>
      <c r="C3" s="4835">
        <v>2441</v>
      </c>
      <c r="D3" s="4836"/>
      <c r="E3" s="4837"/>
      <c r="F3" s="3973"/>
      <c r="G3" s="3889"/>
      <c r="H3" s="3889"/>
      <c r="I3" s="3889"/>
      <c r="J3" s="3889"/>
      <c r="K3" s="3889"/>
      <c r="L3" s="3889"/>
      <c r="M3" s="4856"/>
      <c r="N3" s="4857"/>
      <c r="O3" s="4838">
        <f>TaxYear</f>
        <v>2014</v>
      </c>
      <c r="P3" s="3478"/>
      <c r="Q3" s="7"/>
    </row>
    <row r="4" spans="1:17" ht="12.75" customHeight="1">
      <c r="A4" s="117"/>
      <c r="B4" s="3963"/>
      <c r="C4" s="4836"/>
      <c r="D4" s="4836"/>
      <c r="E4" s="4837"/>
      <c r="F4" s="4852" t="s">
        <v>2654</v>
      </c>
      <c r="G4" s="3889"/>
      <c r="H4" s="3889"/>
      <c r="I4" s="3889"/>
      <c r="J4" s="3889"/>
      <c r="K4" s="3889"/>
      <c r="L4" s="3889"/>
      <c r="M4" s="4856"/>
      <c r="N4" s="4857"/>
      <c r="O4" s="4839"/>
      <c r="P4" s="3478"/>
      <c r="Q4" s="7"/>
    </row>
    <row r="5" spans="1:17" ht="12.75" customHeight="1">
      <c r="A5" s="117"/>
      <c r="B5" s="3608" t="s">
        <v>2555</v>
      </c>
      <c r="C5" s="3608"/>
      <c r="D5" s="3608"/>
      <c r="E5" s="3613"/>
      <c r="F5" s="4853" t="s">
        <v>2656</v>
      </c>
      <c r="G5" s="3743"/>
      <c r="H5" s="3743"/>
      <c r="I5" s="3743"/>
      <c r="J5" s="3743"/>
      <c r="K5" s="3743"/>
      <c r="L5" s="3743"/>
      <c r="M5" s="4856"/>
      <c r="N5" s="4857"/>
      <c r="O5" s="3473" t="s">
        <v>2556</v>
      </c>
      <c r="P5" s="3478"/>
      <c r="Q5" s="7"/>
    </row>
    <row r="6" spans="1:17" ht="13.5" thickBot="1">
      <c r="A6" s="117"/>
      <c r="B6" s="3479" t="s">
        <v>2557</v>
      </c>
      <c r="C6" s="3479"/>
      <c r="D6" s="3479"/>
      <c r="E6" s="3614"/>
      <c r="F6" s="4854" t="s">
        <v>2655</v>
      </c>
      <c r="G6" s="4855"/>
      <c r="H6" s="4855"/>
      <c r="I6" s="4855"/>
      <c r="J6" s="4855"/>
      <c r="K6" s="4855"/>
      <c r="L6" s="4855"/>
      <c r="M6" s="4858"/>
      <c r="N6" s="4859"/>
      <c r="O6" s="3480" t="s">
        <v>2558</v>
      </c>
      <c r="P6" s="3478"/>
      <c r="Q6" s="7"/>
    </row>
    <row r="7" spans="1:17" ht="11.25" customHeight="1">
      <c r="A7" s="117"/>
      <c r="B7" s="34" t="s">
        <v>150</v>
      </c>
      <c r="C7" s="231"/>
      <c r="D7" s="231"/>
      <c r="E7" s="231"/>
      <c r="F7" s="196"/>
      <c r="G7" s="198"/>
      <c r="H7" s="198"/>
      <c r="I7" s="198"/>
      <c r="J7" s="198"/>
      <c r="K7" s="3481"/>
      <c r="L7" s="3482"/>
      <c r="M7" s="3483"/>
      <c r="N7" s="3197"/>
      <c r="O7" s="340" t="s">
        <v>151</v>
      </c>
      <c r="P7" s="3484"/>
      <c r="Q7" s="7"/>
    </row>
    <row r="8" spans="1:17" ht="14.25" customHeight="1" thickBot="1">
      <c r="A8" s="117"/>
      <c r="B8" s="4862" t="str">
        <f>Names</f>
        <v/>
      </c>
      <c r="C8" s="4863"/>
      <c r="D8" s="4863"/>
      <c r="E8" s="4863"/>
      <c r="F8" s="4863"/>
      <c r="G8" s="4863"/>
      <c r="H8" s="4863"/>
      <c r="I8" s="4863"/>
      <c r="J8" s="4863"/>
      <c r="K8" s="4863"/>
      <c r="L8" s="4863"/>
      <c r="M8" s="4864"/>
      <c r="N8" s="4780">
        <f>SS_Yours</f>
        <v>0</v>
      </c>
      <c r="O8" s="4781"/>
      <c r="P8" s="3484"/>
      <c r="Q8" s="7"/>
    </row>
    <row r="9" spans="1:17" ht="7.5" customHeight="1">
      <c r="A9" s="117"/>
      <c r="B9" s="3487"/>
      <c r="C9" s="196"/>
      <c r="D9" s="196"/>
      <c r="E9" s="196"/>
      <c r="F9" s="196"/>
      <c r="G9" s="196"/>
      <c r="H9" s="196"/>
      <c r="I9" s="3487"/>
      <c r="J9" s="3487"/>
      <c r="K9" s="196"/>
      <c r="L9" s="3488"/>
      <c r="M9" s="196"/>
      <c r="N9" s="196"/>
      <c r="O9" s="3489"/>
      <c r="P9" s="3478"/>
      <c r="Q9" s="7"/>
    </row>
    <row r="10" spans="1:17" ht="15" customHeight="1">
      <c r="A10" s="117"/>
      <c r="B10" s="3490" t="s">
        <v>93</v>
      </c>
      <c r="C10" s="3491" t="s">
        <v>2559</v>
      </c>
      <c r="D10" s="3491"/>
      <c r="E10" s="3491"/>
      <c r="F10" s="197"/>
      <c r="G10" s="197"/>
      <c r="H10" s="197"/>
      <c r="I10" s="197"/>
      <c r="J10" s="197"/>
      <c r="K10" s="197"/>
      <c r="L10" s="197"/>
      <c r="M10" s="197"/>
      <c r="N10" s="197"/>
      <c r="O10" s="196"/>
      <c r="P10" s="3478"/>
      <c r="Q10" s="7"/>
    </row>
    <row r="11" spans="1:17">
      <c r="A11" s="117"/>
      <c r="B11" s="28"/>
      <c r="C11" s="3509" t="s">
        <v>2657</v>
      </c>
      <c r="D11" s="28"/>
      <c r="E11" s="28"/>
      <c r="F11" s="28"/>
      <c r="G11" s="28"/>
      <c r="H11" s="28"/>
      <c r="I11" s="28"/>
      <c r="J11" s="28"/>
      <c r="K11" s="28"/>
      <c r="L11" s="28"/>
      <c r="M11" s="28"/>
      <c r="N11" s="28"/>
      <c r="O11" s="28"/>
      <c r="P11" s="3478"/>
      <c r="Q11" s="7"/>
    </row>
    <row r="12" spans="1:17">
      <c r="A12" s="117"/>
      <c r="B12" s="3492" t="s">
        <v>2560</v>
      </c>
      <c r="C12" s="208" t="s">
        <v>2561</v>
      </c>
      <c r="D12" s="208"/>
      <c r="E12" s="208"/>
      <c r="F12" s="3493"/>
      <c r="G12" s="3494"/>
      <c r="H12" s="196"/>
      <c r="I12" s="3495" t="s">
        <v>2562</v>
      </c>
      <c r="J12" s="197"/>
      <c r="K12" s="197"/>
      <c r="L12" s="3494"/>
      <c r="M12" s="3496" t="s">
        <v>2563</v>
      </c>
      <c r="N12" s="197"/>
      <c r="O12" s="3497" t="s">
        <v>2564</v>
      </c>
      <c r="P12" s="3478"/>
      <c r="Q12" s="7"/>
    </row>
    <row r="13" spans="1:17">
      <c r="A13" s="117"/>
      <c r="B13" s="3498" t="str">
        <f>"   1"</f>
        <v xml:space="preserve">   1</v>
      </c>
      <c r="C13" s="447" t="s">
        <v>2658</v>
      </c>
      <c r="D13" s="3499"/>
      <c r="E13" s="3499"/>
      <c r="F13" s="3500"/>
      <c r="G13" s="3501" t="s">
        <v>2566</v>
      </c>
      <c r="H13" s="210"/>
      <c r="I13" s="28"/>
      <c r="J13" s="28"/>
      <c r="K13" s="28"/>
      <c r="L13" s="3502"/>
      <c r="M13" s="210" t="s">
        <v>2567</v>
      </c>
      <c r="N13" s="28"/>
      <c r="O13" s="3501" t="s">
        <v>2568</v>
      </c>
      <c r="P13" s="3478"/>
      <c r="Q13" s="7"/>
    </row>
    <row r="14" spans="1:17">
      <c r="A14" s="117"/>
      <c r="B14" s="4782"/>
      <c r="C14" s="4783"/>
      <c r="D14" s="4783"/>
      <c r="E14" s="4783"/>
      <c r="F14" s="4784"/>
      <c r="G14" s="4787"/>
      <c r="H14" s="4788"/>
      <c r="I14" s="4789"/>
      <c r="J14" s="4789"/>
      <c r="K14" s="4790"/>
      <c r="L14" s="4791"/>
      <c r="M14" s="4792"/>
      <c r="N14" s="4793"/>
      <c r="O14" s="4797"/>
      <c r="P14" s="3478"/>
      <c r="Q14" s="7"/>
    </row>
    <row r="15" spans="1:17">
      <c r="A15" s="117"/>
      <c r="B15" s="4785"/>
      <c r="C15" s="4785"/>
      <c r="D15" s="4785"/>
      <c r="E15" s="4785"/>
      <c r="F15" s="4786"/>
      <c r="G15" s="4755"/>
      <c r="H15" s="4756"/>
      <c r="I15" s="4757"/>
      <c r="J15" s="4757"/>
      <c r="K15" s="4758"/>
      <c r="L15" s="4794"/>
      <c r="M15" s="4795"/>
      <c r="N15" s="4796"/>
      <c r="O15" s="4798"/>
      <c r="P15" s="3478"/>
      <c r="Q15" s="7"/>
    </row>
    <row r="16" spans="1:17">
      <c r="A16" s="117"/>
      <c r="B16" s="4782"/>
      <c r="C16" s="4783"/>
      <c r="D16" s="4783"/>
      <c r="E16" s="4783"/>
      <c r="F16" s="4784"/>
      <c r="G16" s="4787"/>
      <c r="H16" s="4788"/>
      <c r="I16" s="4789"/>
      <c r="J16" s="4789"/>
      <c r="K16" s="4790"/>
      <c r="L16" s="4791"/>
      <c r="M16" s="4792"/>
      <c r="N16" s="4793"/>
      <c r="O16" s="4797"/>
      <c r="P16" s="3478"/>
      <c r="Q16" s="7"/>
    </row>
    <row r="17" spans="1:24">
      <c r="A17" s="117"/>
      <c r="B17" s="4785"/>
      <c r="C17" s="4785"/>
      <c r="D17" s="4785"/>
      <c r="E17" s="4785"/>
      <c r="F17" s="4786"/>
      <c r="G17" s="4755"/>
      <c r="H17" s="4756"/>
      <c r="I17" s="4757"/>
      <c r="J17" s="4757"/>
      <c r="K17" s="4758"/>
      <c r="L17" s="4794"/>
      <c r="M17" s="4795"/>
      <c r="N17" s="4796"/>
      <c r="O17" s="4798"/>
      <c r="P17" s="3478"/>
      <c r="Q17" s="7"/>
    </row>
    <row r="18" spans="1:24" ht="8.25" customHeight="1" thickBot="1">
      <c r="A18" s="117"/>
      <c r="B18" s="196"/>
      <c r="C18" s="197"/>
      <c r="D18" s="197"/>
      <c r="E18" s="197"/>
      <c r="F18" s="197"/>
      <c r="G18" s="197"/>
      <c r="H18" s="197"/>
      <c r="I18" s="197"/>
      <c r="J18" s="197"/>
      <c r="K18" s="197"/>
      <c r="L18" s="197"/>
      <c r="M18" s="197"/>
      <c r="N18" s="197"/>
      <c r="O18" s="196"/>
      <c r="P18" s="3478"/>
      <c r="Q18" s="7"/>
    </row>
    <row r="19" spans="1:24" ht="13.5" customHeight="1" thickTop="1" thickBot="1">
      <c r="A19" s="117"/>
      <c r="B19" s="196"/>
      <c r="C19" s="197"/>
      <c r="D19" s="197"/>
      <c r="E19" s="197"/>
      <c r="F19" s="4767" t="s">
        <v>2570</v>
      </c>
      <c r="G19" s="4768"/>
      <c r="H19" s="4768"/>
      <c r="I19" s="4769"/>
      <c r="J19" s="196"/>
      <c r="K19" s="3503" t="s">
        <v>461</v>
      </c>
      <c r="L19" s="2584"/>
      <c r="M19" s="197" t="s">
        <v>2569</v>
      </c>
      <c r="N19" s="197"/>
      <c r="O19" s="196"/>
      <c r="P19" s="3478"/>
      <c r="Q19" s="7"/>
    </row>
    <row r="20" spans="1:24" ht="6.75" customHeight="1" thickBot="1">
      <c r="A20" s="117"/>
      <c r="B20" s="196"/>
      <c r="C20" s="197"/>
      <c r="D20" s="197"/>
      <c r="E20" s="197"/>
      <c r="F20" s="4770"/>
      <c r="G20" s="3889"/>
      <c r="H20" s="3889"/>
      <c r="I20" s="4771"/>
      <c r="J20" s="3504"/>
      <c r="K20" s="3505"/>
      <c r="L20" s="726"/>
      <c r="M20" s="197"/>
      <c r="N20" s="197"/>
      <c r="O20" s="196"/>
      <c r="P20" s="3478"/>
      <c r="Q20" s="7"/>
    </row>
    <row r="21" spans="1:24" ht="12.75" customHeight="1" thickBot="1">
      <c r="A21" s="117"/>
      <c r="B21" s="196"/>
      <c r="C21" s="197"/>
      <c r="D21" s="197"/>
      <c r="E21" s="197"/>
      <c r="F21" s="4759" t="s">
        <v>2571</v>
      </c>
      <c r="G21" s="4519"/>
      <c r="H21" s="4519"/>
      <c r="I21" s="4760"/>
      <c r="J21" s="196"/>
      <c r="K21" s="3503" t="s">
        <v>460</v>
      </c>
      <c r="L21" s="2584"/>
      <c r="M21" s="197" t="s">
        <v>2572</v>
      </c>
      <c r="N21" s="197"/>
      <c r="O21" s="196"/>
      <c r="P21" s="3478"/>
      <c r="Q21" s="7"/>
      <c r="T21" s="3694" t="s">
        <v>2771</v>
      </c>
    </row>
    <row r="22" spans="1:24" ht="6.75" customHeight="1" thickBot="1">
      <c r="A22" s="117"/>
      <c r="B22" s="196"/>
      <c r="C22" s="197"/>
      <c r="D22" s="197"/>
      <c r="E22" s="197"/>
      <c r="F22" s="3506"/>
      <c r="G22" s="2135"/>
      <c r="H22" s="2135"/>
      <c r="I22" s="3507"/>
      <c r="J22" s="4860" t="str">
        <f>IF(AND(L19="",L21=""),"Check one.",IF(AND(L19&lt;&gt;"",L21&lt;&gt;""),"Check only one.",""))</f>
        <v>Check one.</v>
      </c>
      <c r="K22" s="4526"/>
      <c r="L22" s="197"/>
      <c r="M22" s="3508"/>
      <c r="N22" s="197"/>
      <c r="O22" s="196"/>
      <c r="P22" s="3478"/>
      <c r="Q22" s="7"/>
    </row>
    <row r="23" spans="1:24" ht="6.75" customHeight="1" thickTop="1">
      <c r="A23" s="117"/>
      <c r="B23" s="196"/>
      <c r="C23" s="197"/>
      <c r="D23" s="197"/>
      <c r="E23" s="197"/>
      <c r="F23" s="197"/>
      <c r="G23" s="197"/>
      <c r="H23" s="197"/>
      <c r="I23" s="197"/>
      <c r="J23" s="4526"/>
      <c r="K23" s="4526"/>
      <c r="L23" s="197"/>
      <c r="M23" s="197"/>
      <c r="N23" s="197"/>
      <c r="O23" s="196"/>
      <c r="P23" s="3478"/>
      <c r="Q23" s="7"/>
    </row>
    <row r="24" spans="1:24">
      <c r="A24" s="117"/>
      <c r="B24" s="246" t="s">
        <v>2573</v>
      </c>
      <c r="C24" s="1683" t="s">
        <v>2659</v>
      </c>
      <c r="D24" s="1683"/>
      <c r="E24" s="1683"/>
      <c r="F24" s="1683"/>
      <c r="G24" s="196"/>
      <c r="H24" s="196"/>
      <c r="I24" s="196"/>
      <c r="J24" s="196"/>
      <c r="K24" s="196"/>
      <c r="L24" s="196"/>
      <c r="M24" s="196"/>
      <c r="N24" s="196"/>
      <c r="O24" s="196"/>
      <c r="P24" s="3478"/>
      <c r="Q24" s="7"/>
      <c r="T24" s="3683" t="s">
        <v>2729</v>
      </c>
      <c r="U24" s="3684"/>
      <c r="V24" s="3684"/>
      <c r="W24" s="3684"/>
      <c r="X24" s="3685"/>
    </row>
    <row r="25" spans="1:24">
      <c r="A25" s="117"/>
      <c r="B25" s="3615" t="s">
        <v>2660</v>
      </c>
      <c r="C25" s="3509"/>
      <c r="D25" s="3509"/>
      <c r="E25" s="3509"/>
      <c r="F25" s="3509"/>
      <c r="G25" s="28"/>
      <c r="H25" s="28"/>
      <c r="I25" s="28"/>
      <c r="J25" s="28"/>
      <c r="K25" s="28"/>
      <c r="L25" s="28"/>
      <c r="M25" s="28"/>
      <c r="N25" s="28"/>
      <c r="O25" s="28"/>
      <c r="P25" s="3478"/>
      <c r="Q25" s="7"/>
      <c r="T25" s="3686" t="s">
        <v>2730</v>
      </c>
      <c r="U25" s="3263"/>
      <c r="V25" s="3263"/>
      <c r="W25" s="3263"/>
      <c r="X25" s="3687"/>
    </row>
    <row r="26" spans="1:24" ht="18" customHeight="1">
      <c r="A26" s="117"/>
      <c r="B26" s="3490" t="s">
        <v>197</v>
      </c>
      <c r="C26" s="3609" t="s">
        <v>2574</v>
      </c>
      <c r="D26" s="3511"/>
      <c r="E26" s="3511"/>
      <c r="F26" s="3512"/>
      <c r="G26" s="3512"/>
      <c r="H26" s="3512"/>
      <c r="I26" s="3512"/>
      <c r="J26" s="3512"/>
      <c r="K26" s="3512"/>
      <c r="L26" s="3512"/>
      <c r="M26" s="3512"/>
      <c r="N26" s="3512"/>
      <c r="O26" s="3512"/>
      <c r="P26" s="3478"/>
      <c r="Q26" s="7"/>
      <c r="T26" s="3695" t="s">
        <v>2772</v>
      </c>
      <c r="U26" s="3684"/>
      <c r="V26" s="3684"/>
      <c r="W26" s="3684"/>
      <c r="X26" s="3685"/>
    </row>
    <row r="27" spans="1:24">
      <c r="A27" s="117"/>
      <c r="B27" s="3513">
        <v>2</v>
      </c>
      <c r="C27" s="28" t="s">
        <v>2575</v>
      </c>
      <c r="D27" s="28"/>
      <c r="E27" s="28"/>
      <c r="F27" s="28"/>
      <c r="G27" s="28"/>
      <c r="H27" s="28"/>
      <c r="I27" s="28"/>
      <c r="J27" s="28"/>
      <c r="K27" s="28"/>
      <c r="L27" s="28"/>
      <c r="M27" s="28"/>
      <c r="N27" s="28"/>
      <c r="O27" s="28"/>
      <c r="P27" s="3478"/>
      <c r="Q27" s="7"/>
      <c r="T27" s="3686" t="s">
        <v>2731</v>
      </c>
      <c r="U27" s="3263"/>
      <c r="V27" s="3263"/>
      <c r="W27" s="3263"/>
      <c r="X27" s="3687"/>
    </row>
    <row r="28" spans="1:24" ht="12.75" customHeight="1">
      <c r="A28" s="117"/>
      <c r="B28" s="196"/>
      <c r="C28" s="197"/>
      <c r="D28" s="197"/>
      <c r="E28" s="197"/>
      <c r="F28" s="206" t="s">
        <v>2576</v>
      </c>
      <c r="G28" s="197"/>
      <c r="H28" s="197"/>
      <c r="I28" s="197"/>
      <c r="J28" s="197"/>
      <c r="K28" s="197"/>
      <c r="L28" s="4772" t="s">
        <v>2661</v>
      </c>
      <c r="M28" s="4773"/>
      <c r="N28" s="4774"/>
      <c r="O28" s="3514" t="s">
        <v>2577</v>
      </c>
      <c r="P28" s="3478"/>
      <c r="Q28" s="7"/>
      <c r="T28" s="3686" t="s">
        <v>2732</v>
      </c>
      <c r="U28" s="3263"/>
      <c r="V28" s="3263"/>
      <c r="W28" s="3263"/>
      <c r="X28" s="3687"/>
    </row>
    <row r="29" spans="1:24" ht="10.5" customHeight="1">
      <c r="A29" s="117"/>
      <c r="B29" s="196"/>
      <c r="C29" s="3515"/>
      <c r="D29" s="3515"/>
      <c r="E29" s="3515"/>
      <c r="F29" s="206"/>
      <c r="G29" s="197"/>
      <c r="H29" s="197"/>
      <c r="I29" s="208"/>
      <c r="J29" s="208"/>
      <c r="K29" s="197"/>
      <c r="L29" s="4775"/>
      <c r="M29" s="4273"/>
      <c r="N29" s="4776"/>
      <c r="O29" s="3517" t="str">
        <f>"incurred and paid in "&amp;TaxYear&amp;" for"</f>
        <v>incurred and paid in 2014 for</v>
      </c>
      <c r="P29" s="3478"/>
      <c r="Q29" s="7"/>
      <c r="T29" s="3686" t="s">
        <v>2733</v>
      </c>
      <c r="U29" s="3263"/>
      <c r="V29" s="3263"/>
      <c r="W29" s="3263"/>
      <c r="X29" s="3687"/>
    </row>
    <row r="30" spans="1:24" ht="10.5" customHeight="1">
      <c r="A30" s="117"/>
      <c r="B30" s="28"/>
      <c r="C30" s="3499" t="s">
        <v>2579</v>
      </c>
      <c r="D30" s="3499"/>
      <c r="E30" s="3499"/>
      <c r="F30" s="28"/>
      <c r="G30" s="28"/>
      <c r="H30" s="28"/>
      <c r="I30" s="210" t="s">
        <v>2580</v>
      </c>
      <c r="J30" s="210"/>
      <c r="K30" s="28"/>
      <c r="L30" s="4777"/>
      <c r="M30" s="4778"/>
      <c r="N30" s="4779"/>
      <c r="O30" s="3518" t="s">
        <v>2581</v>
      </c>
      <c r="P30" s="3478"/>
      <c r="Q30" s="7"/>
      <c r="T30" s="3686" t="s">
        <v>2734</v>
      </c>
      <c r="U30" s="3263"/>
      <c r="V30" s="3263"/>
      <c r="W30" s="3263"/>
      <c r="X30" s="3687"/>
    </row>
    <row r="31" spans="1:24" ht="21.75" customHeight="1">
      <c r="A31" s="117"/>
      <c r="B31" s="4761"/>
      <c r="C31" s="4762"/>
      <c r="D31" s="4762"/>
      <c r="E31" s="4762"/>
      <c r="F31" s="4763"/>
      <c r="G31" s="4761"/>
      <c r="H31" s="4762"/>
      <c r="I31" s="4762"/>
      <c r="J31" s="4762"/>
      <c r="K31" s="4763"/>
      <c r="L31" s="4764"/>
      <c r="M31" s="4765"/>
      <c r="N31" s="4766"/>
      <c r="O31" s="3619"/>
      <c r="P31" s="3478">
        <f>IF(O31&lt;&gt;"",1,0)</f>
        <v>0</v>
      </c>
      <c r="Q31" s="7"/>
      <c r="T31" s="3686" t="s">
        <v>2735</v>
      </c>
      <c r="U31" s="3263"/>
      <c r="V31" s="3263"/>
      <c r="W31" s="3263"/>
      <c r="X31" s="3687"/>
    </row>
    <row r="32" spans="1:24" ht="21.75" customHeight="1">
      <c r="A32" s="117"/>
      <c r="B32" s="4761"/>
      <c r="C32" s="4762"/>
      <c r="D32" s="4762"/>
      <c r="E32" s="4762"/>
      <c r="F32" s="4763"/>
      <c r="G32" s="4761"/>
      <c r="H32" s="4762"/>
      <c r="I32" s="4762"/>
      <c r="J32" s="4762"/>
      <c r="K32" s="4763"/>
      <c r="L32" s="4764"/>
      <c r="M32" s="4765"/>
      <c r="N32" s="4766"/>
      <c r="O32" s="3619"/>
      <c r="P32" s="3478">
        <f>IF(O32&lt;&gt;"",1,0)</f>
        <v>0</v>
      </c>
      <c r="Q32" s="7"/>
      <c r="T32" s="3686" t="s">
        <v>2736</v>
      </c>
      <c r="U32" s="3263"/>
      <c r="V32" s="3263"/>
      <c r="W32" s="3263"/>
      <c r="X32" s="3687"/>
    </row>
    <row r="33" spans="1:24">
      <c r="A33" s="117"/>
      <c r="B33" s="3519">
        <v>3</v>
      </c>
      <c r="C33" s="3520" t="str">
        <f>"Add the amounts in column (c) of line "&amp;B27&amp;"."</f>
        <v>Add the amounts in column (c) of line 2.</v>
      </c>
      <c r="D33" s="3520"/>
      <c r="E33" s="3520"/>
      <c r="F33" s="197"/>
      <c r="G33" s="197"/>
      <c r="H33" s="197"/>
      <c r="I33" s="224" t="s">
        <v>2582</v>
      </c>
      <c r="J33" s="3520" t="str">
        <f>"enter more than "&amp;TEXT(Q33,"$0,000")&amp;" for one qualifying"</f>
        <v>enter more than $3,000 for one qualifying</v>
      </c>
      <c r="K33" s="197"/>
      <c r="L33" s="197"/>
      <c r="M33" s="197"/>
      <c r="N33" s="3521"/>
      <c r="O33" s="3522">
        <f>ROUND(SUM(O31,O32,O148:O155),0)</f>
        <v>0</v>
      </c>
      <c r="P33" s="3478"/>
      <c r="Q33" s="3523">
        <v>3000</v>
      </c>
      <c r="T33" s="3686" t="s">
        <v>2737</v>
      </c>
      <c r="U33" s="3263"/>
      <c r="V33" s="3263"/>
      <c r="W33" s="3263"/>
      <c r="X33" s="3687"/>
    </row>
    <row r="34" spans="1:24">
      <c r="A34" s="117"/>
      <c r="B34" s="300"/>
      <c r="C34" s="3520" t="str">
        <f>"person or "&amp;TEXT(Q34,"$0,000")&amp;" for two or more persons.  If you completed Part III, enter the amount"</f>
        <v>person or $6,000 for two or more persons.  If you completed Part III, enter the amount</v>
      </c>
      <c r="D34" s="3520"/>
      <c r="E34" s="3520"/>
      <c r="F34" s="197"/>
      <c r="G34" s="197"/>
      <c r="H34" s="197"/>
      <c r="I34" s="197"/>
      <c r="J34" s="197"/>
      <c r="K34" s="197"/>
      <c r="L34" s="197"/>
      <c r="M34" s="197"/>
      <c r="N34" s="3524"/>
      <c r="O34" s="3522">
        <f>IF(P34&gt;1,Q34,Q33)</f>
        <v>3000</v>
      </c>
      <c r="P34" s="3478">
        <f>SUM(P31:P32,P148:P155)</f>
        <v>0</v>
      </c>
      <c r="Q34" s="3523">
        <v>6000</v>
      </c>
      <c r="T34" s="3686" t="s">
        <v>2738</v>
      </c>
      <c r="U34" s="3263"/>
      <c r="V34" s="3263"/>
      <c r="W34" s="3263"/>
      <c r="X34" s="3687"/>
    </row>
    <row r="35" spans="1:24" ht="15.75" customHeight="1">
      <c r="A35" s="117"/>
      <c r="B35" s="300"/>
      <c r="C35" s="1683" t="str">
        <f>"from line "&amp;B112</f>
        <v>from line 31</v>
      </c>
      <c r="D35" s="1683"/>
      <c r="E35" s="1683"/>
      <c r="F35" s="196"/>
      <c r="G35" s="196"/>
      <c r="H35" s="196"/>
      <c r="I35" s="196"/>
      <c r="J35" s="196"/>
      <c r="K35" s="196"/>
      <c r="L35" s="196"/>
      <c r="M35" s="3525" t="str">
        <f>IF(SUM(O148:O155)&gt;0,"  .   .   .   .   .   .   .   .   .   .   .   .   .   .   .   .   .   .   .   .   .   .   .   .   .   .  See Attached ","    .   .   .   .   .   .   .   .   .   .   .   .   .   .   .   .   .   .   .   .   .   .   .   .   .   .   .   .   .   .   .   . ")</f>
        <v xml:space="preserve">    .   .   .   .   .   .   .   .   .   .   .   .   .   .   .   .   .   .   .   .   .   .   .   .   .   .   .   .   .   .   .   . </v>
      </c>
      <c r="N35" s="3526">
        <f>B33</f>
        <v>3</v>
      </c>
      <c r="O35" s="3611" t="str">
        <f>IF(J22&lt;&gt;"","",IF(AND(L19&lt;&gt;"",L21=""),MIN(O33,O34),O113))</f>
        <v/>
      </c>
      <c r="P35" s="3478"/>
      <c r="Q35" s="3616" t="s">
        <v>153</v>
      </c>
      <c r="T35" s="3686" t="s">
        <v>2739</v>
      </c>
      <c r="U35" s="3263"/>
      <c r="V35" s="3263"/>
      <c r="W35" s="3263"/>
      <c r="X35" s="3687"/>
    </row>
    <row r="36" spans="1:24" ht="15" customHeight="1">
      <c r="A36" s="117"/>
      <c r="B36" s="3519">
        <v>4</v>
      </c>
      <c r="C36" s="3520" t="s">
        <v>2583</v>
      </c>
      <c r="D36" s="3520"/>
      <c r="E36" s="3520"/>
      <c r="F36" s="197"/>
      <c r="G36" s="197"/>
      <c r="H36" s="197"/>
      <c r="I36" s="196"/>
      <c r="J36" s="196"/>
      <c r="K36" s="196"/>
      <c r="L36" s="196"/>
      <c r="M36" s="3527"/>
      <c r="N36" s="3526">
        <f>B36</f>
        <v>4</v>
      </c>
      <c r="O36" s="3611" t="str">
        <f>IF(AND(L19="",L21=""),"",IF(Q36&lt;&gt;"",ROUND(Q36,0),'W-2s'!G3))</f>
        <v/>
      </c>
      <c r="P36" s="3478"/>
      <c r="Q36" s="3617"/>
      <c r="T36" s="3686" t="s">
        <v>2740</v>
      </c>
      <c r="U36" s="3263"/>
      <c r="V36" s="3263"/>
      <c r="W36" s="3263"/>
      <c r="X36" s="3687"/>
    </row>
    <row r="37" spans="1:24" ht="14.25" customHeight="1">
      <c r="A37" s="117"/>
      <c r="B37" s="3519">
        <v>5</v>
      </c>
      <c r="C37" s="3520" t="s">
        <v>2662</v>
      </c>
      <c r="D37" s="3520"/>
      <c r="E37" s="3520"/>
      <c r="F37" s="197"/>
      <c r="G37" s="197"/>
      <c r="H37" s="197"/>
      <c r="I37" s="197"/>
      <c r="J37" s="197"/>
      <c r="K37" s="197"/>
      <c r="L37" s="197"/>
      <c r="M37" s="197"/>
      <c r="N37" s="3494"/>
      <c r="O37" s="3528"/>
      <c r="P37" s="3478"/>
      <c r="Q37" s="3618" t="s">
        <v>153</v>
      </c>
      <c r="T37" s="3686" t="s">
        <v>2741</v>
      </c>
      <c r="U37" s="3263"/>
      <c r="V37" s="3263"/>
      <c r="W37" s="3263"/>
      <c r="X37" s="3687"/>
    </row>
    <row r="38" spans="1:24" ht="14.25" customHeight="1">
      <c r="A38" s="117"/>
      <c r="B38" s="300"/>
      <c r="C38" s="3529" t="s">
        <v>2663</v>
      </c>
      <c r="D38" s="3529"/>
      <c r="E38" s="3529"/>
      <c r="F38" s="197"/>
      <c r="G38" s="197"/>
      <c r="H38" s="197"/>
      <c r="I38" s="197"/>
      <c r="J38" s="197"/>
      <c r="K38" s="197"/>
      <c r="L38" s="196"/>
      <c r="M38" s="3527"/>
      <c r="N38" s="3526">
        <f>B37</f>
        <v>5</v>
      </c>
      <c r="O38" s="3611" t="str">
        <f>IF(Q38&lt;&gt;"",ROUND(Q38,0),IF(J22&lt;&gt;"","",IF(File_Marr_Joint&lt;&gt;"",ROUND('W-2s'!G26,0),O36)))</f>
        <v/>
      </c>
      <c r="P38" s="3478"/>
      <c r="Q38" s="3617"/>
      <c r="T38" s="3686" t="s">
        <v>2742</v>
      </c>
      <c r="U38" s="3263"/>
      <c r="V38" s="3263"/>
      <c r="W38" s="3263"/>
      <c r="X38" s="3687"/>
    </row>
    <row r="39" spans="1:24" ht="19.5" customHeight="1">
      <c r="A39" s="117"/>
      <c r="B39" s="3519">
        <v>6</v>
      </c>
      <c r="C39" s="330" t="s">
        <v>2584</v>
      </c>
      <c r="D39" s="330"/>
      <c r="E39" s="330"/>
      <c r="F39" s="197"/>
      <c r="G39" s="197"/>
      <c r="H39" s="197"/>
      <c r="I39" s="196"/>
      <c r="J39" s="196"/>
      <c r="K39" s="196"/>
      <c r="L39" s="196"/>
      <c r="M39" s="3527"/>
      <c r="N39" s="3526">
        <f>B39</f>
        <v>6</v>
      </c>
      <c r="O39" s="3611" t="str">
        <f>IF(Q39&lt;&gt;"",ROUND(Q39,0),IF(J22&lt;&gt;"","",MIN(O35,O36,O38)))</f>
        <v/>
      </c>
      <c r="P39" s="3478"/>
      <c r="Q39" s="3617"/>
      <c r="T39" s="3686" t="s">
        <v>2743</v>
      </c>
      <c r="U39" s="3263"/>
      <c r="V39" s="3263"/>
      <c r="W39" s="3263"/>
      <c r="X39" s="3687"/>
    </row>
    <row r="40" spans="1:24" ht="17.25" customHeight="1">
      <c r="A40" s="117"/>
      <c r="B40" s="3519">
        <v>7</v>
      </c>
      <c r="C40" s="197" t="s">
        <v>1720</v>
      </c>
      <c r="D40" s="197"/>
      <c r="E40" s="197"/>
      <c r="F40" s="197"/>
      <c r="G40" s="197"/>
      <c r="H40" s="197"/>
      <c r="I40" s="197"/>
      <c r="J40" s="197"/>
      <c r="K40" s="224" t="s">
        <v>2585</v>
      </c>
      <c r="L40" s="3526">
        <f>B40</f>
        <v>7</v>
      </c>
      <c r="M40" s="3611" t="str">
        <f>IF(AND(L19="",L21=""),"",Adj_Gross_Inc)</f>
        <v/>
      </c>
      <c r="N40" s="3524"/>
      <c r="O40" s="1759"/>
      <c r="P40" s="3478"/>
      <c r="Q40" s="7"/>
      <c r="T40" s="3691" t="s">
        <v>2744</v>
      </c>
      <c r="U40" s="3692"/>
      <c r="V40" s="3692"/>
      <c r="W40" s="3692"/>
      <c r="X40" s="3693"/>
    </row>
    <row r="41" spans="1:24">
      <c r="A41" s="117"/>
      <c r="B41" s="3519">
        <v>8</v>
      </c>
      <c r="C41" s="197" t="s">
        <v>2586</v>
      </c>
      <c r="D41" s="197"/>
      <c r="E41" s="197"/>
      <c r="F41" s="197"/>
      <c r="G41" s="197"/>
      <c r="H41" s="197"/>
      <c r="I41" s="197"/>
      <c r="J41" s="197"/>
      <c r="K41" s="197"/>
      <c r="L41" s="197"/>
      <c r="M41" s="197"/>
      <c r="N41" s="3524"/>
      <c r="O41" s="1759"/>
      <c r="P41" s="3478"/>
      <c r="Q41" s="7"/>
      <c r="T41" s="3695" t="s">
        <v>2773</v>
      </c>
      <c r="U41" s="3684"/>
      <c r="V41" s="3684"/>
      <c r="W41" s="3684"/>
      <c r="X41" s="3685"/>
    </row>
    <row r="42" spans="1:24">
      <c r="A42" s="117"/>
      <c r="B42" s="196"/>
      <c r="C42" s="197"/>
      <c r="D42" s="197"/>
      <c r="E42" s="197"/>
      <c r="F42" s="206" t="s">
        <v>2587</v>
      </c>
      <c r="G42" s="197"/>
      <c r="H42" s="197"/>
      <c r="I42" s="197"/>
      <c r="J42" s="3495" t="s">
        <v>2587</v>
      </c>
      <c r="K42" s="197"/>
      <c r="L42" s="197"/>
      <c r="M42" s="197"/>
      <c r="N42" s="3524"/>
      <c r="O42" s="1759"/>
      <c r="P42" s="3478"/>
      <c r="Q42" s="7"/>
      <c r="T42" s="3686" t="s">
        <v>2745</v>
      </c>
      <c r="U42" s="3263"/>
      <c r="V42" s="3263"/>
      <c r="W42" s="3263"/>
      <c r="X42" s="3687"/>
    </row>
    <row r="43" spans="1:24" ht="11.25" customHeight="1">
      <c r="A43" s="117"/>
      <c r="B43" s="196"/>
      <c r="C43" s="197"/>
      <c r="D43" s="197"/>
      <c r="E43" s="197"/>
      <c r="F43" s="197"/>
      <c r="G43" s="3530" t="s">
        <v>2588</v>
      </c>
      <c r="H43" s="3496"/>
      <c r="I43" s="206" t="s">
        <v>2589</v>
      </c>
      <c r="J43" s="197"/>
      <c r="K43" s="3496" t="s">
        <v>2588</v>
      </c>
      <c r="L43" s="206" t="s">
        <v>2589</v>
      </c>
      <c r="M43" s="197"/>
      <c r="N43" s="3524"/>
      <c r="O43" s="1759"/>
      <c r="P43" s="3478"/>
      <c r="Q43" s="7"/>
      <c r="T43" s="3686" t="s">
        <v>2746</v>
      </c>
      <c r="U43" s="3263"/>
      <c r="V43" s="3263"/>
      <c r="W43" s="3263"/>
      <c r="X43" s="3687"/>
    </row>
    <row r="44" spans="1:24" ht="9.75" customHeight="1" thickBot="1">
      <c r="A44" s="117"/>
      <c r="B44" s="196"/>
      <c r="C44" s="227"/>
      <c r="D44" s="227"/>
      <c r="E44" s="227"/>
      <c r="F44" s="331" t="s">
        <v>1714</v>
      </c>
      <c r="G44" s="3531" t="s">
        <v>2590</v>
      </c>
      <c r="H44" s="3532"/>
      <c r="I44" s="3531" t="s">
        <v>2591</v>
      </c>
      <c r="J44" s="3533" t="s">
        <v>1714</v>
      </c>
      <c r="K44" s="3532" t="s">
        <v>2590</v>
      </c>
      <c r="L44" s="3534" t="s">
        <v>2591</v>
      </c>
      <c r="M44" s="3535"/>
      <c r="N44" s="3524"/>
      <c r="O44" s="1759"/>
      <c r="P44" s="3478"/>
      <c r="Q44" s="7"/>
      <c r="T44" s="3686" t="s">
        <v>2747</v>
      </c>
      <c r="U44" s="3263"/>
      <c r="V44" s="3263"/>
      <c r="W44" s="3263"/>
      <c r="X44" s="3687"/>
    </row>
    <row r="45" spans="1:24">
      <c r="A45" s="117"/>
      <c r="B45" s="196"/>
      <c r="C45" s="197"/>
      <c r="D45" s="197"/>
      <c r="E45" s="197"/>
      <c r="F45" s="3536">
        <v>0</v>
      </c>
      <c r="G45" s="3537" t="str">
        <f>"--  "&amp;TEXT(F46,"0,000")</f>
        <v>--  15,000</v>
      </c>
      <c r="H45" s="3537"/>
      <c r="I45" s="3538">
        <v>0.35</v>
      </c>
      <c r="J45" s="3539">
        <f>F52+2000</f>
        <v>29000</v>
      </c>
      <c r="K45" s="3540" t="str">
        <f>" --  "&amp;TEXT(J45+2000,"0,000")</f>
        <v xml:space="preserve"> --  31,000</v>
      </c>
      <c r="L45" s="3541"/>
      <c r="M45" s="3538">
        <v>0.27</v>
      </c>
      <c r="N45" s="3524"/>
      <c r="O45" s="1759"/>
      <c r="P45" s="3478"/>
      <c r="Q45" s="7"/>
      <c r="T45" s="3686" t="s">
        <v>2748</v>
      </c>
      <c r="U45" s="3263"/>
      <c r="V45" s="3263"/>
      <c r="W45" s="3263"/>
      <c r="X45" s="3687"/>
    </row>
    <row r="46" spans="1:24">
      <c r="A46" s="117"/>
      <c r="B46" s="196"/>
      <c r="C46" s="197"/>
      <c r="D46" s="197"/>
      <c r="E46" s="197"/>
      <c r="F46" s="3542">
        <v>15000</v>
      </c>
      <c r="G46" s="3540" t="str">
        <f>"--  "&amp;TEXT(F46+2000,"0,000")</f>
        <v>--  17,000</v>
      </c>
      <c r="H46" s="3540"/>
      <c r="I46" s="3538">
        <v>0.34</v>
      </c>
      <c r="J46" s="3543">
        <f>J45+2000</f>
        <v>31000</v>
      </c>
      <c r="K46" s="3540" t="str">
        <f t="shared" ref="K46:K51" si="0">" --  "&amp;TEXT(J46+2000,"0,000")</f>
        <v xml:space="preserve"> --  33,000</v>
      </c>
      <c r="L46" s="3541"/>
      <c r="M46" s="3538">
        <v>0.26</v>
      </c>
      <c r="N46" s="3524"/>
      <c r="O46" s="1759"/>
      <c r="P46" s="3478"/>
      <c r="Q46" s="7"/>
      <c r="T46" s="3686" t="s">
        <v>2749</v>
      </c>
      <c r="U46" s="3263"/>
      <c r="V46" s="3263"/>
      <c r="W46" s="3263"/>
      <c r="X46" s="3687"/>
    </row>
    <row r="47" spans="1:24">
      <c r="A47" s="117"/>
      <c r="B47" s="196"/>
      <c r="C47" s="197"/>
      <c r="D47" s="197"/>
      <c r="E47" s="197"/>
      <c r="F47" s="3542">
        <f t="shared" ref="F47:F52" si="1">F46+2000</f>
        <v>17000</v>
      </c>
      <c r="G47" s="3540" t="str">
        <f t="shared" ref="G47:G52" si="2">"--  "&amp;TEXT(F47+2000,"0,000")</f>
        <v>--  19,000</v>
      </c>
      <c r="H47" s="3540"/>
      <c r="I47" s="3538">
        <v>0.33</v>
      </c>
      <c r="J47" s="3543">
        <f t="shared" ref="J47:J52" si="3">J46+2000</f>
        <v>33000</v>
      </c>
      <c r="K47" s="3540" t="str">
        <f t="shared" si="0"/>
        <v xml:space="preserve"> --  35,000</v>
      </c>
      <c r="L47" s="3541"/>
      <c r="M47" s="3538">
        <v>0.25</v>
      </c>
      <c r="N47" s="3524"/>
      <c r="O47" s="1759"/>
      <c r="P47" s="3478"/>
      <c r="Q47" s="7"/>
      <c r="T47" s="3686" t="s">
        <v>2750</v>
      </c>
      <c r="U47" s="3263"/>
      <c r="V47" s="3263"/>
      <c r="W47" s="3263"/>
      <c r="X47" s="3687"/>
    </row>
    <row r="48" spans="1:24">
      <c r="A48" s="117"/>
      <c r="B48" s="196"/>
      <c r="C48" s="197"/>
      <c r="D48" s="197"/>
      <c r="E48" s="197"/>
      <c r="F48" s="3542">
        <f t="shared" si="1"/>
        <v>19000</v>
      </c>
      <c r="G48" s="3540" t="str">
        <f t="shared" si="2"/>
        <v>--  21,000</v>
      </c>
      <c r="H48" s="3540"/>
      <c r="I48" s="3538">
        <v>0.32</v>
      </c>
      <c r="J48" s="3543">
        <f t="shared" si="3"/>
        <v>35000</v>
      </c>
      <c r="K48" s="3540" t="str">
        <f t="shared" si="0"/>
        <v xml:space="preserve"> --  37,000</v>
      </c>
      <c r="L48" s="3541"/>
      <c r="M48" s="3538">
        <v>0.24</v>
      </c>
      <c r="N48" s="3524"/>
      <c r="O48" s="1759"/>
      <c r="P48" s="3478"/>
      <c r="Q48" s="7"/>
      <c r="T48" s="3686" t="s">
        <v>2751</v>
      </c>
      <c r="U48" s="3263"/>
      <c r="V48" s="3263"/>
      <c r="W48" s="3263"/>
      <c r="X48" s="3687"/>
    </row>
    <row r="49" spans="1:24">
      <c r="A49" s="117"/>
      <c r="B49" s="196"/>
      <c r="C49" s="197"/>
      <c r="D49" s="197"/>
      <c r="E49" s="197"/>
      <c r="F49" s="3542">
        <f t="shared" si="1"/>
        <v>21000</v>
      </c>
      <c r="G49" s="3540" t="str">
        <f t="shared" si="2"/>
        <v>--  23,000</v>
      </c>
      <c r="H49" s="3540"/>
      <c r="I49" s="3538">
        <v>0.31</v>
      </c>
      <c r="J49" s="3543">
        <f t="shared" si="3"/>
        <v>37000</v>
      </c>
      <c r="K49" s="3540" t="str">
        <f t="shared" si="0"/>
        <v xml:space="preserve"> --  39,000</v>
      </c>
      <c r="L49" s="3541"/>
      <c r="M49" s="3538">
        <v>0.23</v>
      </c>
      <c r="N49" s="3526">
        <f>B41</f>
        <v>8</v>
      </c>
      <c r="O49" s="3611" t="str">
        <f>IF(J22&lt;&gt;"","",CONCATENATE("X   ",TEXT(P49,"0.00")))</f>
        <v/>
      </c>
      <c r="P49" s="1058" t="e">
        <f>IF(M40=0,I45,IF((M40-1)&lt;J45,LOOKUP((M40-1),F45:F52,I45:I52),LOOKUP((M40-1),J45:J52,M45:M52)))</f>
        <v>#VALUE!</v>
      </c>
      <c r="Q49" s="7"/>
      <c r="T49" s="3686" t="s">
        <v>2752</v>
      </c>
      <c r="U49" s="3263"/>
      <c r="V49" s="3263"/>
      <c r="W49" s="3263"/>
      <c r="X49" s="3687"/>
    </row>
    <row r="50" spans="1:24">
      <c r="A50" s="117"/>
      <c r="B50" s="196"/>
      <c r="C50" s="197"/>
      <c r="D50" s="197"/>
      <c r="E50" s="197"/>
      <c r="F50" s="3542">
        <f t="shared" si="1"/>
        <v>23000</v>
      </c>
      <c r="G50" s="3540" t="str">
        <f t="shared" si="2"/>
        <v>--  25,000</v>
      </c>
      <c r="H50" s="3540"/>
      <c r="I50" s="3538">
        <v>0.3</v>
      </c>
      <c r="J50" s="3543">
        <f t="shared" si="3"/>
        <v>39000</v>
      </c>
      <c r="K50" s="3540" t="str">
        <f t="shared" si="0"/>
        <v xml:space="preserve"> --  41,000</v>
      </c>
      <c r="L50" s="3541"/>
      <c r="M50" s="3538">
        <v>0.22</v>
      </c>
      <c r="N50" s="3524"/>
      <c r="O50" s="3528"/>
      <c r="P50" s="3478"/>
      <c r="Q50" s="7"/>
      <c r="T50" s="3686" t="s">
        <v>2753</v>
      </c>
      <c r="U50" s="3263"/>
      <c r="V50" s="3263"/>
      <c r="W50" s="3263"/>
      <c r="X50" s="3687"/>
    </row>
    <row r="51" spans="1:24">
      <c r="A51" s="117"/>
      <c r="B51" s="196"/>
      <c r="C51" s="197"/>
      <c r="D51" s="197"/>
      <c r="E51" s="197"/>
      <c r="F51" s="3542">
        <f t="shared" si="1"/>
        <v>25000</v>
      </c>
      <c r="G51" s="3540" t="str">
        <f t="shared" si="2"/>
        <v>--  27,000</v>
      </c>
      <c r="H51" s="3540"/>
      <c r="I51" s="3538">
        <v>0.28999999999999998</v>
      </c>
      <c r="J51" s="3543">
        <f t="shared" si="3"/>
        <v>41000</v>
      </c>
      <c r="K51" s="3540" t="str">
        <f t="shared" si="0"/>
        <v xml:space="preserve"> --  43,000</v>
      </c>
      <c r="L51" s="3541"/>
      <c r="M51" s="3538">
        <v>0.21</v>
      </c>
      <c r="N51" s="3524"/>
      <c r="O51" s="3528"/>
      <c r="P51" s="3478"/>
      <c r="Q51" s="7"/>
      <c r="T51" s="3686" t="s">
        <v>2754</v>
      </c>
      <c r="U51" s="3263"/>
      <c r="V51" s="3263"/>
      <c r="W51" s="3263"/>
      <c r="X51" s="3687"/>
    </row>
    <row r="52" spans="1:24">
      <c r="A52" s="117"/>
      <c r="B52" s="196"/>
      <c r="C52" s="197"/>
      <c r="D52" s="197"/>
      <c r="E52" s="197"/>
      <c r="F52" s="3542">
        <f t="shared" si="1"/>
        <v>27000</v>
      </c>
      <c r="G52" s="3540" t="str">
        <f t="shared" si="2"/>
        <v>--  29,000</v>
      </c>
      <c r="H52" s="3540"/>
      <c r="I52" s="3538">
        <v>0.28000000000000003</v>
      </c>
      <c r="J52" s="3543">
        <f t="shared" si="3"/>
        <v>43000</v>
      </c>
      <c r="K52" s="3540" t="str">
        <f>" --  No limit"</f>
        <v xml:space="preserve"> --  No limit</v>
      </c>
      <c r="L52" s="3541"/>
      <c r="M52" s="3538">
        <v>0.2</v>
      </c>
      <c r="N52" s="3524"/>
      <c r="O52" s="3528"/>
      <c r="P52" s="3478"/>
      <c r="Q52" s="7"/>
      <c r="T52" s="3691" t="s">
        <v>2755</v>
      </c>
      <c r="U52" s="3692"/>
      <c r="V52" s="3692"/>
      <c r="W52" s="3692"/>
      <c r="X52" s="3693"/>
    </row>
    <row r="53" spans="1:24">
      <c r="A53" s="117"/>
      <c r="B53" s="196"/>
      <c r="C53" s="197"/>
      <c r="D53" s="197"/>
      <c r="E53" s="197"/>
      <c r="F53" s="3542"/>
      <c r="G53" s="3542"/>
      <c r="H53" s="3542"/>
      <c r="I53" s="3541"/>
      <c r="J53" s="3544"/>
      <c r="K53" s="3540"/>
      <c r="L53" s="3541"/>
      <c r="M53" s="197"/>
      <c r="N53" s="3524"/>
      <c r="O53" s="3528"/>
      <c r="P53" s="3478"/>
      <c r="Q53" s="7"/>
      <c r="T53" s="3695" t="s">
        <v>2774</v>
      </c>
      <c r="U53" s="3684"/>
      <c r="V53" s="3684"/>
      <c r="W53" s="3684"/>
      <c r="X53" s="3685"/>
    </row>
    <row r="54" spans="1:24">
      <c r="A54" s="117"/>
      <c r="B54" s="3519">
        <v>9</v>
      </c>
      <c r="C54" s="3520" t="str">
        <f>"Multiply line 6 by the decimal amount on line 8.  If you paid "&amp;TaxYear-1&amp;" expenses in "&amp;TaxYear&amp;", see"</f>
        <v>Multiply line 6 by the decimal amount on line 8.  If you paid 2013 expenses in 2014, see</v>
      </c>
      <c r="D54" s="3520"/>
      <c r="E54" s="3520"/>
      <c r="F54" s="197"/>
      <c r="G54" s="197"/>
      <c r="H54" s="197"/>
      <c r="I54" s="197"/>
      <c r="J54" s="197"/>
      <c r="K54" s="197"/>
      <c r="L54" s="197"/>
      <c r="M54" s="197"/>
      <c r="N54" s="3524"/>
      <c r="O54" s="3545"/>
      <c r="P54" s="3478"/>
      <c r="Q54" s="3616" t="s">
        <v>153</v>
      </c>
      <c r="T54" s="3686" t="s">
        <v>2756</v>
      </c>
      <c r="U54" s="3263"/>
      <c r="V54" s="3263"/>
      <c r="W54" s="3263"/>
      <c r="X54" s="3687"/>
    </row>
    <row r="55" spans="1:24">
      <c r="A55" s="117"/>
      <c r="B55" s="196"/>
      <c r="C55" s="1683" t="s">
        <v>2592</v>
      </c>
      <c r="D55" s="1683"/>
      <c r="E55" s="1683"/>
      <c r="F55" s="196"/>
      <c r="G55" s="196"/>
      <c r="H55" s="196"/>
      <c r="I55" s="196"/>
      <c r="J55" s="196"/>
      <c r="K55" s="196"/>
      <c r="L55" s="231"/>
      <c r="M55" s="2952" t="s">
        <v>988</v>
      </c>
      <c r="N55" s="3526">
        <f>B54</f>
        <v>9</v>
      </c>
      <c r="O55" s="3611" t="str">
        <f>IF(Q55&lt;&gt;"",ROUND(Q55,0),IF(J22&lt;&gt;"","",IF((ROUND((O39)*(P49),0))&gt;Tax,Tax,ROUND((O39)*(P49),0))))</f>
        <v/>
      </c>
      <c r="P55" s="1058">
        <f>IF(AND(L19&lt;&gt;"",K19=""),ROUND((O39)*(O49),0),0)</f>
        <v>0</v>
      </c>
      <c r="Q55" s="3617"/>
      <c r="T55" s="3691" t="s">
        <v>2757</v>
      </c>
      <c r="U55" s="3692"/>
      <c r="V55" s="3692"/>
      <c r="W55" s="3692"/>
      <c r="X55" s="3693"/>
    </row>
    <row r="56" spans="1:24" ht="12" customHeight="1">
      <c r="A56" s="117"/>
      <c r="B56" s="3519">
        <v>10</v>
      </c>
      <c r="C56" s="197" t="s">
        <v>2625</v>
      </c>
      <c r="D56" s="197"/>
      <c r="E56" s="197"/>
      <c r="F56" s="197"/>
      <c r="G56" s="197"/>
      <c r="H56" s="197"/>
      <c r="I56" s="197"/>
      <c r="J56" s="197"/>
      <c r="K56" s="197"/>
      <c r="L56" s="196"/>
      <c r="M56" s="3525"/>
      <c r="N56" s="3524"/>
      <c r="O56" s="1759"/>
      <c r="P56" s="3478"/>
      <c r="Q56" s="7"/>
      <c r="R56" s="1573"/>
      <c r="T56" s="3683" t="s">
        <v>2758</v>
      </c>
      <c r="U56" s="3684"/>
      <c r="V56" s="3684"/>
      <c r="W56" s="3684"/>
      <c r="X56" s="3685"/>
    </row>
    <row r="57" spans="1:24" ht="14.25" customHeight="1">
      <c r="A57" s="117"/>
      <c r="B57" s="3519"/>
      <c r="C57" s="197" t="s">
        <v>2626</v>
      </c>
      <c r="D57" s="197"/>
      <c r="E57" s="197"/>
      <c r="F57" s="197"/>
      <c r="G57" s="197"/>
      <c r="H57" s="197"/>
      <c r="I57" s="197"/>
      <c r="J57" s="197"/>
      <c r="K57" s="3525" t="s">
        <v>913</v>
      </c>
      <c r="L57" s="3526">
        <v>10</v>
      </c>
      <c r="M57" s="3611" t="str">
        <f>IF(Q57&lt;&gt;"",ROUND(Q57,0),IF(AND(L19="",L21=""),"",IF(O57&gt;0,O57,0)))</f>
        <v/>
      </c>
      <c r="N57" s="3524"/>
      <c r="O57" s="3598">
        <f>SUM(F1040_Line47,-Foreign_Tax_Credit)</f>
        <v>0</v>
      </c>
      <c r="P57" s="3478"/>
      <c r="Q57" s="3617"/>
      <c r="R57" s="3598"/>
      <c r="T57" s="3686" t="s">
        <v>2759</v>
      </c>
      <c r="U57" s="3263"/>
      <c r="V57" s="3263"/>
      <c r="W57" s="3263"/>
      <c r="X57" s="3687"/>
    </row>
    <row r="58" spans="1:24" ht="12.75" customHeight="1">
      <c r="A58" s="117"/>
      <c r="B58" s="3519">
        <v>11</v>
      </c>
      <c r="C58" s="192" t="s">
        <v>2593</v>
      </c>
      <c r="D58" s="192"/>
      <c r="E58" s="192"/>
      <c r="F58" s="196"/>
      <c r="G58" s="196"/>
      <c r="H58" s="196"/>
      <c r="I58" s="196"/>
      <c r="J58" s="196"/>
      <c r="K58" s="196"/>
      <c r="L58" s="196"/>
      <c r="M58" s="196"/>
      <c r="N58" s="3494"/>
      <c r="O58" s="3528"/>
      <c r="P58" s="3478"/>
      <c r="Q58" s="7"/>
      <c r="T58" s="3686" t="s">
        <v>2760</v>
      </c>
      <c r="U58" s="3263"/>
      <c r="V58" s="3263"/>
      <c r="W58" s="3263"/>
      <c r="X58" s="3687"/>
    </row>
    <row r="59" spans="1:24" ht="14.25" customHeight="1" thickBot="1">
      <c r="A59" s="117"/>
      <c r="B59" s="3546"/>
      <c r="C59" s="3222" t="s">
        <v>2725</v>
      </c>
      <c r="D59" s="3222"/>
      <c r="E59" s="3222"/>
      <c r="F59" s="227"/>
      <c r="G59" s="227"/>
      <c r="H59" s="227"/>
      <c r="I59" s="227"/>
      <c r="J59" s="227"/>
      <c r="K59" s="227"/>
      <c r="L59" s="227"/>
      <c r="M59" s="3547" t="s">
        <v>2594</v>
      </c>
      <c r="N59" s="3548">
        <f>B58</f>
        <v>11</v>
      </c>
      <c r="O59" s="3611" t="str">
        <f>IF(Q59&lt;&gt;"",ROUND(Q59,0),IF(J22&lt;&gt;"","",MIN(O55,M57)))</f>
        <v/>
      </c>
      <c r="P59" s="3478"/>
      <c r="Q59" s="3617"/>
      <c r="T59" s="3686" t="s">
        <v>2761</v>
      </c>
      <c r="U59" s="3263"/>
      <c r="V59" s="3263"/>
      <c r="W59" s="3263"/>
      <c r="X59" s="3687"/>
    </row>
    <row r="60" spans="1:24" s="3472" customFormat="1" ht="16.5" customHeight="1">
      <c r="A60" s="1049"/>
      <c r="B60" s="3549" t="s">
        <v>2595</v>
      </c>
      <c r="C60" s="3550"/>
      <c r="D60" s="3550"/>
      <c r="E60" s="3550"/>
      <c r="F60" s="3550"/>
      <c r="G60" s="3550"/>
      <c r="H60" s="3550"/>
      <c r="I60" s="3550"/>
      <c r="J60" s="3550"/>
      <c r="K60" s="3550"/>
      <c r="L60" s="3550"/>
      <c r="M60" s="3551" t="s">
        <v>2596</v>
      </c>
      <c r="N60" s="3550"/>
      <c r="O60" s="544" t="str">
        <f>"Form 2441  ("&amp;TaxYear&amp;")"</f>
        <v>Form 2441  (2014)</v>
      </c>
      <c r="P60" s="3485"/>
      <c r="Q60" s="3486"/>
      <c r="T60" s="3688" t="s">
        <v>2762</v>
      </c>
      <c r="U60" s="3689"/>
      <c r="V60" s="3689"/>
      <c r="W60" s="3689"/>
      <c r="X60" s="3690"/>
    </row>
    <row r="61" spans="1:24" ht="15.75" customHeight="1" thickBot="1">
      <c r="A61" s="117"/>
      <c r="B61" s="228" t="str">
        <f>"Form 2441 ("&amp;TaxYear&amp;")"</f>
        <v>Form 2441 (2014)</v>
      </c>
      <c r="C61" s="227"/>
      <c r="D61" s="227"/>
      <c r="E61" s="227"/>
      <c r="F61" s="227"/>
      <c r="G61" s="227"/>
      <c r="H61" s="227"/>
      <c r="I61" s="227"/>
      <c r="J61" s="227"/>
      <c r="K61" s="227"/>
      <c r="L61" s="227"/>
      <c r="M61" s="227"/>
      <c r="N61" s="227"/>
      <c r="O61" s="3552" t="s">
        <v>2597</v>
      </c>
      <c r="P61" s="3478"/>
      <c r="Q61" s="7"/>
      <c r="T61" s="3686" t="s">
        <v>2763</v>
      </c>
      <c r="U61" s="3263"/>
      <c r="V61" s="3263"/>
      <c r="W61" s="3263"/>
      <c r="X61" s="3687"/>
    </row>
    <row r="62" spans="1:24" ht="19.5" customHeight="1">
      <c r="A62" s="117"/>
      <c r="B62" s="3553" t="s">
        <v>546</v>
      </c>
      <c r="C62" s="3554" t="s">
        <v>2598</v>
      </c>
      <c r="D62" s="3554"/>
      <c r="E62" s="3554"/>
      <c r="F62" s="202"/>
      <c r="G62" s="202"/>
      <c r="H62" s="202"/>
      <c r="I62" s="202"/>
      <c r="J62" s="202"/>
      <c r="K62" s="202"/>
      <c r="L62" s="202"/>
      <c r="M62" s="202"/>
      <c r="N62" s="202"/>
      <c r="O62" s="202"/>
      <c r="P62" s="3485"/>
      <c r="Q62" s="3486"/>
      <c r="T62" s="3686" t="s">
        <v>2764</v>
      </c>
      <c r="U62" s="3263"/>
      <c r="V62" s="3263"/>
      <c r="W62" s="3263"/>
      <c r="X62" s="3687"/>
    </row>
    <row r="63" spans="1:24">
      <c r="A63" s="117"/>
      <c r="B63" s="3519">
        <v>12</v>
      </c>
      <c r="C63" s="3520" t="s">
        <v>2599</v>
      </c>
      <c r="D63" s="3520"/>
      <c r="E63" s="3520"/>
      <c r="F63" s="197"/>
      <c r="G63" s="197"/>
      <c r="H63" s="197"/>
      <c r="I63" s="197"/>
      <c r="J63" s="197" t="str">
        <f>"received for "&amp;TaxYear&amp;".  Amounts you "</f>
        <v xml:space="preserve">received for 2014.  Amounts you </v>
      </c>
      <c r="K63" s="197"/>
      <c r="L63" s="197"/>
      <c r="M63" s="197"/>
      <c r="N63" s="3555"/>
      <c r="O63" s="3556"/>
      <c r="P63" s="3478"/>
      <c r="Q63" s="7"/>
      <c r="T63" s="3686" t="s">
        <v>2765</v>
      </c>
      <c r="U63" s="3263"/>
      <c r="V63" s="3263"/>
      <c r="W63" s="3263"/>
      <c r="X63" s="3687"/>
    </row>
    <row r="64" spans="1:24">
      <c r="A64" s="117"/>
      <c r="B64" s="300"/>
      <c r="C64" s="3520" t="s">
        <v>2600</v>
      </c>
      <c r="D64" s="3520"/>
      <c r="E64" s="3520"/>
      <c r="F64" s="197"/>
      <c r="G64" s="197"/>
      <c r="H64" s="197"/>
      <c r="I64" s="197"/>
      <c r="J64" s="197"/>
      <c r="K64" s="197"/>
      <c r="L64" s="197"/>
      <c r="M64" s="197"/>
      <c r="N64" s="3494"/>
      <c r="O64" s="1759"/>
      <c r="P64" s="3478"/>
      <c r="Q64" s="7"/>
      <c r="T64" s="3686" t="s">
        <v>2766</v>
      </c>
      <c r="U64" s="3263"/>
      <c r="V64" s="3263"/>
      <c r="W64" s="3263"/>
      <c r="X64" s="3687"/>
    </row>
    <row r="65" spans="1:24">
      <c r="A65" s="117"/>
      <c r="B65" s="300"/>
      <c r="C65" s="3520" t="s">
        <v>2601</v>
      </c>
      <c r="D65" s="3520"/>
      <c r="E65" s="3520"/>
      <c r="F65" s="197"/>
      <c r="G65" s="197"/>
      <c r="H65" s="197"/>
      <c r="I65" s="197"/>
      <c r="J65" s="197"/>
      <c r="K65" s="197"/>
      <c r="L65" s="197"/>
      <c r="M65" s="197"/>
      <c r="N65" s="3494"/>
      <c r="O65" s="1759"/>
      <c r="P65" s="3478"/>
      <c r="Q65" s="7"/>
      <c r="T65" s="3686" t="s">
        <v>2767</v>
      </c>
      <c r="U65" s="3263"/>
      <c r="V65" s="3263"/>
      <c r="W65" s="3263"/>
      <c r="X65" s="3687"/>
    </row>
    <row r="66" spans="1:24" ht="12.75" customHeight="1">
      <c r="A66" s="117"/>
      <c r="B66" s="300"/>
      <c r="C66" s="3520" t="s">
        <v>2602</v>
      </c>
      <c r="D66" s="3520"/>
      <c r="E66" s="3520"/>
      <c r="F66" s="197"/>
      <c r="G66" s="197"/>
      <c r="H66" s="197"/>
      <c r="I66" s="197"/>
      <c r="J66" s="197"/>
      <c r="K66" s="197"/>
      <c r="L66" s="197"/>
      <c r="M66" s="197"/>
      <c r="N66" s="3494"/>
      <c r="O66" s="1759"/>
      <c r="P66" s="3478"/>
      <c r="Q66" s="7"/>
      <c r="T66" s="3686" t="s">
        <v>2768</v>
      </c>
      <c r="U66" s="3263"/>
      <c r="V66" s="3263"/>
      <c r="W66" s="3263"/>
      <c r="X66" s="3687"/>
    </row>
    <row r="67" spans="1:24" ht="13.5" customHeight="1">
      <c r="A67" s="117"/>
      <c r="B67" s="300"/>
      <c r="C67" s="3520" t="s">
        <v>2603</v>
      </c>
      <c r="D67" s="3520"/>
      <c r="E67" s="3520"/>
      <c r="F67" s="197"/>
      <c r="G67" s="197"/>
      <c r="H67" s="197"/>
      <c r="I67" s="197"/>
      <c r="J67" s="197"/>
      <c r="K67" s="197"/>
      <c r="L67" s="197"/>
      <c r="M67" s="197"/>
      <c r="N67" s="3557">
        <f>B63</f>
        <v>12</v>
      </c>
      <c r="O67" s="3626"/>
      <c r="P67" s="3478"/>
      <c r="Q67" s="7"/>
      <c r="T67" s="3686" t="s">
        <v>2769</v>
      </c>
      <c r="U67" s="3263"/>
      <c r="V67" s="3263"/>
      <c r="W67" s="3263"/>
      <c r="X67" s="3687"/>
    </row>
    <row r="68" spans="1:24">
      <c r="A68" s="117"/>
      <c r="B68" s="3519">
        <v>13</v>
      </c>
      <c r="C68" s="3520" t="str">
        <f>"Enter the amount, if any, you carried over from "&amp;TaxYear-1&amp;" and used in "&amp;TaxYear&amp;" during the grace"</f>
        <v>Enter the amount, if any, you carried over from 2013 and used in 2014 during the grace</v>
      </c>
      <c r="D68" s="3520"/>
      <c r="E68" s="3520"/>
      <c r="F68" s="197"/>
      <c r="G68" s="197"/>
      <c r="H68" s="197"/>
      <c r="I68" s="197"/>
      <c r="J68" s="197"/>
      <c r="K68" s="197"/>
      <c r="L68" s="197"/>
      <c r="M68" s="224"/>
      <c r="N68" s="3566"/>
      <c r="O68" s="3567"/>
      <c r="P68" s="3478"/>
      <c r="Q68" s="7"/>
      <c r="T68" s="3691" t="s">
        <v>2770</v>
      </c>
      <c r="U68" s="3692"/>
      <c r="V68" s="3692"/>
      <c r="W68" s="3692"/>
      <c r="X68" s="3693"/>
    </row>
    <row r="69" spans="1:24" ht="12.75" customHeight="1">
      <c r="A69" s="117"/>
      <c r="B69" s="3519"/>
      <c r="C69" s="3520" t="s">
        <v>2628</v>
      </c>
      <c r="D69" s="3520"/>
      <c r="E69" s="3520"/>
      <c r="F69" s="197"/>
      <c r="G69" s="197"/>
      <c r="H69" s="197"/>
      <c r="I69" s="197"/>
      <c r="J69" s="197"/>
      <c r="K69" s="197"/>
      <c r="L69" s="197"/>
      <c r="M69" s="224" t="s">
        <v>972</v>
      </c>
      <c r="N69" s="3558">
        <f>B68</f>
        <v>13</v>
      </c>
      <c r="O69" s="3626"/>
      <c r="P69" s="3478"/>
      <c r="Q69" s="7"/>
    </row>
    <row r="70" spans="1:24" ht="16.5" customHeight="1">
      <c r="A70" s="117"/>
      <c r="B70" s="3519">
        <v>14</v>
      </c>
      <c r="C70" s="197" t="str">
        <f>"Enter the amount, if any, you forfeited or carried forward to "&amp;TaxYear+1&amp;". See instructions"</f>
        <v>Enter the amount, if any, you forfeited or carried forward to 2015. See instructions</v>
      </c>
      <c r="D70" s="197"/>
      <c r="E70" s="197"/>
      <c r="F70" s="197"/>
      <c r="G70" s="197"/>
      <c r="H70" s="197"/>
      <c r="I70" s="197"/>
      <c r="J70" s="197"/>
      <c r="K70" s="197"/>
      <c r="L70" s="197"/>
      <c r="M70" s="224" t="s">
        <v>1064</v>
      </c>
      <c r="N70" s="3558">
        <f>B70</f>
        <v>14</v>
      </c>
      <c r="O70" s="3626"/>
      <c r="P70" s="3478"/>
      <c r="Q70" s="7"/>
    </row>
    <row r="71" spans="1:24" ht="16.5" customHeight="1">
      <c r="A71" s="117"/>
      <c r="B71" s="3519">
        <v>15</v>
      </c>
      <c r="C71" s="3520" t="s">
        <v>2629</v>
      </c>
      <c r="D71" s="3520"/>
      <c r="E71" s="3520"/>
      <c r="F71" s="197"/>
      <c r="G71" s="197"/>
      <c r="H71" s="197"/>
      <c r="I71" s="197"/>
      <c r="J71" s="197"/>
      <c r="K71" s="197"/>
      <c r="L71" s="197"/>
      <c r="M71" s="224" t="s">
        <v>1057</v>
      </c>
      <c r="N71" s="3558">
        <f>B71</f>
        <v>15</v>
      </c>
      <c r="O71" s="3611" t="str">
        <f>IF(OR(L19&lt;&gt;"",L21=""),"",ROUND(SUM(O67,O69,O70),0))</f>
        <v/>
      </c>
      <c r="P71" s="3478"/>
      <c r="Q71" s="7"/>
      <c r="S71" s="5"/>
      <c r="T71" s="5"/>
      <c r="U71" s="5"/>
      <c r="V71" s="5"/>
    </row>
    <row r="72" spans="1:24" ht="15.75" customHeight="1">
      <c r="A72" s="117"/>
      <c r="B72" s="3519">
        <v>16</v>
      </c>
      <c r="C72" s="197" t="s">
        <v>2604</v>
      </c>
      <c r="D72" s="197"/>
      <c r="E72" s="197"/>
      <c r="F72" s="197"/>
      <c r="G72" s="197"/>
      <c r="H72" s="197"/>
      <c r="I72" s="197"/>
      <c r="J72" s="197"/>
      <c r="K72" s="197"/>
      <c r="L72" s="3559"/>
      <c r="M72" s="3560"/>
      <c r="N72" s="3524"/>
      <c r="O72" s="198"/>
      <c r="P72" s="3478"/>
      <c r="Q72" s="3616"/>
      <c r="S72" s="3621"/>
      <c r="T72" s="3622" t="s">
        <v>2667</v>
      </c>
      <c r="U72" s="5"/>
      <c r="V72" s="5"/>
    </row>
    <row r="73" spans="1:24" ht="12.75" customHeight="1">
      <c r="A73" s="117"/>
      <c r="B73" s="300"/>
      <c r="C73" s="197" t="str">
        <f>"in   "&amp;TaxYear&amp;"   for   care  of   the"</f>
        <v>in   2014   for   care  of   the</v>
      </c>
      <c r="D73" s="197"/>
      <c r="E73" s="197"/>
      <c r="F73" s="197"/>
      <c r="G73" s="36" t="s">
        <v>2605</v>
      </c>
      <c r="H73" s="36"/>
      <c r="I73" s="197"/>
      <c r="J73" s="197"/>
      <c r="K73" s="3561"/>
      <c r="L73" s="3557">
        <f>B72</f>
        <v>16</v>
      </c>
      <c r="M73" s="3626"/>
      <c r="N73" s="3562"/>
      <c r="O73" s="198"/>
      <c r="P73" s="3478"/>
      <c r="Q73" s="3616" t="s">
        <v>153</v>
      </c>
      <c r="S73" s="3621"/>
      <c r="T73" s="3622" t="s">
        <v>2668</v>
      </c>
      <c r="U73" s="5"/>
      <c r="V73" s="5"/>
    </row>
    <row r="74" spans="1:24" ht="16.5" customHeight="1">
      <c r="A74" s="117"/>
      <c r="B74" s="3519">
        <v>17</v>
      </c>
      <c r="C74" s="3520" t="s">
        <v>2630</v>
      </c>
      <c r="D74" s="3520"/>
      <c r="E74" s="3520"/>
      <c r="F74" s="197"/>
      <c r="G74" s="197"/>
      <c r="H74" s="197"/>
      <c r="I74" s="197"/>
      <c r="J74" s="197"/>
      <c r="K74" s="197"/>
      <c r="L74" s="3557">
        <f>B74</f>
        <v>17</v>
      </c>
      <c r="M74" s="3611" t="str">
        <f>IF(Q74&lt;&gt;"",Q74,IF(OR(L19&lt;&gt;"",L21=""),"",MIN(O71,M73)))</f>
        <v/>
      </c>
      <c r="N74" s="3524"/>
      <c r="O74" s="198"/>
      <c r="P74" s="3478"/>
      <c r="Q74" s="3617"/>
      <c r="S74" s="5"/>
      <c r="T74" s="5"/>
      <c r="U74" s="5"/>
      <c r="V74" s="5"/>
    </row>
    <row r="75" spans="1:24" ht="15" customHeight="1">
      <c r="A75" s="117"/>
      <c r="B75" s="3519">
        <v>18</v>
      </c>
      <c r="C75" s="197" t="s">
        <v>2606</v>
      </c>
      <c r="D75" s="197"/>
      <c r="E75" s="197"/>
      <c r="F75" s="197"/>
      <c r="G75" s="197"/>
      <c r="H75" s="197"/>
      <c r="I75" s="197"/>
      <c r="J75" s="197"/>
      <c r="K75" s="197"/>
      <c r="L75" s="3557">
        <f>B75</f>
        <v>18</v>
      </c>
      <c r="M75" s="3611" t="str">
        <f>IF(Q75&lt;&gt;"",ROUND(Q75,0),IF(OR(L19&lt;&gt;"",L21=""),"",'W-2s'!G3))</f>
        <v/>
      </c>
      <c r="N75" s="3524"/>
      <c r="O75" s="3627" t="s">
        <v>2674</v>
      </c>
      <c r="P75" s="3478"/>
      <c r="Q75" s="3617"/>
      <c r="S75" s="4861" t="s">
        <v>2664</v>
      </c>
      <c r="T75" s="4861"/>
      <c r="U75" s="4861"/>
      <c r="V75" s="4861"/>
    </row>
    <row r="76" spans="1:24" ht="14.25" customHeight="1">
      <c r="A76" s="117"/>
      <c r="B76" s="3519">
        <v>19</v>
      </c>
      <c r="C76" s="197" t="s">
        <v>2607</v>
      </c>
      <c r="D76" s="197"/>
      <c r="E76" s="197"/>
      <c r="F76" s="197"/>
      <c r="G76" s="197"/>
      <c r="H76" s="197"/>
      <c r="I76" s="197"/>
      <c r="J76" s="197"/>
      <c r="K76" s="197"/>
      <c r="L76" s="3524"/>
      <c r="M76" s="3563"/>
      <c r="N76" s="3524"/>
      <c r="O76" s="3627" t="s">
        <v>2675</v>
      </c>
      <c r="P76" s="3478"/>
      <c r="Q76" s="7"/>
      <c r="S76" s="4861"/>
      <c r="T76" s="4861"/>
      <c r="U76" s="4861"/>
      <c r="V76" s="4861"/>
    </row>
    <row r="77" spans="1:24">
      <c r="A77" s="117"/>
      <c r="B77" s="3519"/>
      <c r="C77" s="197" t="s">
        <v>2608</v>
      </c>
      <c r="D77" s="197"/>
      <c r="E77" s="197"/>
      <c r="F77" s="197"/>
      <c r="G77" s="197"/>
      <c r="H77" s="197"/>
      <c r="I77" s="197"/>
      <c r="J77" s="197"/>
      <c r="K77" s="197"/>
      <c r="L77" s="3524"/>
      <c r="M77" s="3563"/>
      <c r="N77" s="3524"/>
      <c r="O77" s="3627" t="s">
        <v>2676</v>
      </c>
      <c r="P77" s="3478"/>
      <c r="Q77" s="7"/>
      <c r="S77" s="4861"/>
      <c r="T77" s="4861"/>
      <c r="U77" s="4861"/>
      <c r="V77" s="4861"/>
    </row>
    <row r="78" spans="1:24" ht="14.25">
      <c r="A78" s="117"/>
      <c r="B78" s="3519"/>
      <c r="C78" s="336" t="s">
        <v>2609</v>
      </c>
      <c r="D78" s="336"/>
      <c r="E78" s="336"/>
      <c r="F78" s="336"/>
      <c r="G78" s="197"/>
      <c r="H78" s="197"/>
      <c r="I78" s="197"/>
      <c r="J78" s="197"/>
      <c r="K78" s="197"/>
      <c r="L78" s="3524"/>
      <c r="M78" s="3563"/>
      <c r="N78" s="3524"/>
      <c r="O78" s="3627" t="s">
        <v>2669</v>
      </c>
      <c r="P78" s="3478"/>
      <c r="Q78" s="7"/>
      <c r="S78" s="4861"/>
      <c r="T78" s="4861"/>
      <c r="U78" s="4861"/>
      <c r="V78" s="4861"/>
    </row>
    <row r="79" spans="1:24">
      <c r="A79" s="117"/>
      <c r="B79" s="300"/>
      <c r="C79" s="197" t="s">
        <v>2610</v>
      </c>
      <c r="D79" s="197"/>
      <c r="E79" s="197"/>
      <c r="F79" s="197"/>
      <c r="G79" s="197"/>
      <c r="H79" s="197"/>
      <c r="I79" s="197"/>
      <c r="J79" s="197"/>
      <c r="K79" s="197"/>
      <c r="L79" s="3524"/>
      <c r="M79" s="3563"/>
      <c r="N79" s="3524"/>
      <c r="O79" s="3627" t="s">
        <v>2670</v>
      </c>
      <c r="P79" s="3478"/>
      <c r="Q79" s="7"/>
      <c r="S79" s="4861"/>
      <c r="T79" s="4861"/>
      <c r="U79" s="4861"/>
      <c r="V79" s="4861"/>
    </row>
    <row r="80" spans="1:24">
      <c r="A80" s="117"/>
      <c r="B80" s="300"/>
      <c r="C80" s="197" t="s">
        <v>2611</v>
      </c>
      <c r="D80" s="197"/>
      <c r="E80" s="197"/>
      <c r="F80" s="197"/>
      <c r="G80" s="197"/>
      <c r="H80" s="197"/>
      <c r="I80" s="197"/>
      <c r="J80" s="197"/>
      <c r="K80" s="197"/>
      <c r="L80" s="3524"/>
      <c r="M80" s="3620" t="str">
        <f>IF(AND(File_Marr_Sep&lt;&gt;"",S72&lt;&gt;""),ROUND('W-2s'!G26,0),M75)</f>
        <v/>
      </c>
      <c r="N80" s="3524"/>
      <c r="O80" s="3627" t="str">
        <f>"'unmarried' for"</f>
        <v>'unmarried' for</v>
      </c>
      <c r="P80" s="3478"/>
      <c r="Q80" s="3616" t="s">
        <v>153</v>
      </c>
      <c r="S80" s="4861"/>
      <c r="T80" s="4861"/>
      <c r="U80" s="4861"/>
      <c r="V80" s="4861"/>
    </row>
    <row r="81" spans="1:22">
      <c r="A81" s="117"/>
      <c r="B81" s="300"/>
      <c r="C81" s="197" t="s">
        <v>2612</v>
      </c>
      <c r="D81" s="197"/>
      <c r="E81" s="197"/>
      <c r="F81" s="197"/>
      <c r="G81" s="197"/>
      <c r="H81" s="197"/>
      <c r="I81" s="197"/>
      <c r="J81" s="36" t="s">
        <v>1198</v>
      </c>
      <c r="K81" s="197"/>
      <c r="L81" s="3557">
        <f>B76</f>
        <v>19</v>
      </c>
      <c r="M81" s="3611" t="str">
        <f>IF(Q81&lt;&gt;"",ROUND(Q81,0),IF(OR(L19&lt;&gt;"",L21=""),"",IF(File_Marr_Joint&lt;&gt;"",ROUND('W-2s'!G26,0),IF(AND(File_Marr_Sep&lt;&gt;"",S72&lt;&gt;""),M80,M75))))</f>
        <v/>
      </c>
      <c r="N81" s="3524"/>
      <c r="O81" s="3627" t="s">
        <v>2671</v>
      </c>
      <c r="P81" s="3478"/>
      <c r="Q81" s="3617"/>
      <c r="S81" s="4861"/>
      <c r="T81" s="4861"/>
      <c r="U81" s="4861"/>
      <c r="V81" s="4861"/>
    </row>
    <row r="82" spans="1:22" ht="14.25">
      <c r="A82" s="117"/>
      <c r="B82" s="300"/>
      <c r="C82" s="336" t="s">
        <v>2613</v>
      </c>
      <c r="D82" s="336"/>
      <c r="E82" s="336"/>
      <c r="F82" s="197"/>
      <c r="G82" s="197"/>
      <c r="H82" s="197"/>
      <c r="I82" s="197"/>
      <c r="J82" s="197"/>
      <c r="K82" s="197"/>
      <c r="L82" s="3524"/>
      <c r="M82" s="3563"/>
      <c r="N82" s="3524"/>
      <c r="O82" s="3627" t="s">
        <v>2672</v>
      </c>
      <c r="P82" s="3478"/>
      <c r="Q82" s="7"/>
      <c r="S82" s="4861"/>
      <c r="T82" s="4861"/>
      <c r="U82" s="4861"/>
      <c r="V82" s="4861"/>
    </row>
    <row r="83" spans="1:22">
      <c r="A83" s="117"/>
      <c r="B83" s="300"/>
      <c r="C83" s="197" t="s">
        <v>2614</v>
      </c>
      <c r="D83" s="197"/>
      <c r="E83" s="197"/>
      <c r="F83" s="197"/>
      <c r="G83" s="197"/>
      <c r="H83" s="197"/>
      <c r="I83" s="197"/>
      <c r="J83" s="197"/>
      <c r="K83" s="197"/>
      <c r="L83" s="3524"/>
      <c r="M83" s="3563"/>
      <c r="N83" s="3524"/>
      <c r="O83" s="3627" t="s">
        <v>2673</v>
      </c>
      <c r="P83" s="3478"/>
      <c r="Q83" s="7"/>
      <c r="S83" s="4861"/>
      <c r="T83" s="4861"/>
      <c r="U83" s="4861"/>
      <c r="V83" s="4861"/>
    </row>
    <row r="84" spans="1:22" ht="14.25">
      <c r="A84" s="117"/>
      <c r="B84" s="300"/>
      <c r="C84" s="336" t="s">
        <v>2631</v>
      </c>
      <c r="D84" s="336"/>
      <c r="E84" s="336"/>
      <c r="F84" s="36"/>
      <c r="G84" s="197"/>
      <c r="H84" s="197"/>
      <c r="I84" s="197"/>
      <c r="J84" s="197"/>
      <c r="K84" s="197"/>
      <c r="L84" s="3524"/>
      <c r="M84" s="3565"/>
      <c r="N84" s="3524"/>
      <c r="O84" s="3564"/>
      <c r="P84" s="3478"/>
      <c r="Q84" s="7"/>
      <c r="S84" s="4861"/>
      <c r="T84" s="4861"/>
      <c r="U84" s="4861"/>
      <c r="V84" s="4861"/>
    </row>
    <row r="85" spans="1:22" ht="16.5" customHeight="1">
      <c r="A85" s="117"/>
      <c r="B85" s="3519">
        <v>20</v>
      </c>
      <c r="C85" s="3520" t="s">
        <v>2632</v>
      </c>
      <c r="D85" s="3520"/>
      <c r="E85" s="3520"/>
      <c r="F85" s="197"/>
      <c r="G85" s="197"/>
      <c r="H85" s="197"/>
      <c r="I85" s="197"/>
      <c r="J85" s="197"/>
      <c r="K85" s="197"/>
      <c r="L85" s="3557">
        <f>B85</f>
        <v>20</v>
      </c>
      <c r="M85" s="3611" t="str">
        <f>IF(OR(L19&lt;&gt;"",L21=""),"",MIN(M74,M75,M81))</f>
        <v/>
      </c>
      <c r="N85" s="3524"/>
      <c r="O85" s="3564"/>
      <c r="P85" s="3478"/>
      <c r="Q85" s="7"/>
      <c r="S85" s="4861"/>
      <c r="T85" s="4861"/>
      <c r="U85" s="4861"/>
      <c r="V85" s="4861"/>
    </row>
    <row r="86" spans="1:22" ht="16.5" customHeight="1">
      <c r="A86" s="117"/>
      <c r="B86" s="3519">
        <v>21</v>
      </c>
      <c r="C86" s="3520" t="s">
        <v>2633</v>
      </c>
      <c r="D86" s="3520"/>
      <c r="E86" s="3520"/>
      <c r="F86" s="197"/>
      <c r="G86" s="197"/>
      <c r="H86" s="197"/>
      <c r="I86" s="197"/>
      <c r="J86" s="197"/>
      <c r="K86" s="197"/>
      <c r="L86" s="3606"/>
      <c r="M86" s="224"/>
      <c r="N86" s="3524"/>
      <c r="O86" s="3623">
        <v>5000</v>
      </c>
      <c r="P86" s="3478"/>
      <c r="Q86" s="7"/>
      <c r="S86" s="4861"/>
      <c r="T86" s="4861"/>
      <c r="U86" s="4861"/>
      <c r="V86" s="4861"/>
    </row>
    <row r="87" spans="1:22">
      <c r="A87" s="117"/>
      <c r="B87" s="3519"/>
      <c r="C87" s="3520" t="s">
        <v>2634</v>
      </c>
      <c r="D87" s="3520"/>
      <c r="E87" s="3520"/>
      <c r="F87" s="197"/>
      <c r="G87" s="197"/>
      <c r="H87" s="197"/>
      <c r="I87" s="197"/>
      <c r="J87" s="197"/>
      <c r="K87" s="224" t="s">
        <v>2635</v>
      </c>
      <c r="L87" s="3557">
        <f>B86</f>
        <v>21</v>
      </c>
      <c r="M87" s="3611" t="str">
        <f>IF(OR(L19&lt;&gt;"",L21=""),"",IF(AND(File_Marr_Sep&lt;&gt;"",S72&lt;&gt;""),O87,O86))</f>
        <v/>
      </c>
      <c r="N87" s="3524"/>
      <c r="O87" s="3623">
        <v>2500</v>
      </c>
      <c r="P87" s="3478"/>
      <c r="Q87" s="7"/>
      <c r="S87" s="4861"/>
      <c r="T87" s="4861"/>
      <c r="U87" s="4861"/>
      <c r="V87" s="4861"/>
    </row>
    <row r="88" spans="1:22" ht="13.5" thickBot="1">
      <c r="A88" s="117"/>
      <c r="B88" s="3519">
        <v>22</v>
      </c>
      <c r="C88" s="3520" t="s">
        <v>2637</v>
      </c>
      <c r="D88" s="3520"/>
      <c r="E88" s="3520"/>
      <c r="F88" s="197"/>
      <c r="G88" s="197"/>
      <c r="H88" s="197"/>
      <c r="I88" s="197"/>
      <c r="J88" s="197"/>
      <c r="K88" s="197"/>
      <c r="L88" s="197"/>
      <c r="M88" s="197"/>
      <c r="N88" s="3524"/>
      <c r="O88" s="198"/>
      <c r="P88" s="3478"/>
      <c r="Q88" s="3624" t="s">
        <v>2665</v>
      </c>
      <c r="S88" s="4861"/>
      <c r="T88" s="4861"/>
      <c r="U88" s="4861"/>
      <c r="V88" s="4861"/>
    </row>
    <row r="89" spans="1:22" ht="13.5" thickBot="1">
      <c r="A89" s="2835">
        <f>IF(C89&lt;&gt;"",1,0)</f>
        <v>1</v>
      </c>
      <c r="B89" s="3519"/>
      <c r="C89" s="2584" t="s">
        <v>2693</v>
      </c>
      <c r="D89" s="3520" t="s">
        <v>2638</v>
      </c>
      <c r="E89" s="3520"/>
      <c r="F89" s="3628"/>
      <c r="G89" s="3628" t="str">
        <f>IF(OR(L19&lt;&gt;"",L21=""),"",IF(A91=0,"&lt; Check one.",IF(A91=2,"Check ONLY one.","")))</f>
        <v/>
      </c>
      <c r="H89" s="197"/>
      <c r="I89" s="197"/>
      <c r="J89" s="197"/>
      <c r="K89" s="197"/>
      <c r="L89" s="197"/>
      <c r="M89" s="224"/>
      <c r="N89" s="3566"/>
      <c r="O89" s="3629" t="str">
        <f>IF(OR(L19&lt;&gt;"",L21=""),"",IF(A91=0,"&lt; Check one.",IF(A91=2,"Check ONLY one.","")))</f>
        <v/>
      </c>
      <c r="P89" s="3478"/>
      <c r="Q89" s="3624" t="s">
        <v>2666</v>
      </c>
      <c r="S89" s="4861"/>
      <c r="T89" s="4861"/>
      <c r="U89" s="4861"/>
      <c r="V89" s="4861"/>
    </row>
    <row r="90" spans="1:22" ht="13.5" thickBot="1">
      <c r="A90" s="2835">
        <f>IF(C90&lt;&gt;"",1,0)</f>
        <v>0</v>
      </c>
      <c r="B90" s="300"/>
      <c r="C90" s="2584"/>
      <c r="D90" s="3520" t="s">
        <v>2639</v>
      </c>
      <c r="E90" s="3520"/>
      <c r="F90" s="197"/>
      <c r="G90" s="197"/>
      <c r="H90" s="197"/>
      <c r="I90" s="197"/>
      <c r="J90" s="197"/>
      <c r="K90" s="197"/>
      <c r="L90" s="197"/>
      <c r="M90" s="224" t="s">
        <v>2221</v>
      </c>
      <c r="N90" s="3558">
        <f>B88</f>
        <v>22</v>
      </c>
      <c r="O90" s="3611" t="str">
        <f>IF(OR(L19&lt;&gt;"",L21=""),"",IF(C89&lt;&gt;"",0,ROUND(Q90,0)))</f>
        <v/>
      </c>
      <c r="P90" s="3478"/>
      <c r="Q90" s="3625"/>
      <c r="S90" s="4861"/>
      <c r="T90" s="4861"/>
      <c r="U90" s="4861"/>
      <c r="V90" s="4861"/>
    </row>
    <row r="91" spans="1:22" ht="15" customHeight="1">
      <c r="A91" s="2835">
        <f>SUM(A89,A90)</f>
        <v>1</v>
      </c>
      <c r="B91" s="3519">
        <v>23</v>
      </c>
      <c r="C91" s="3520" t="s">
        <v>2636</v>
      </c>
      <c r="D91" s="3520"/>
      <c r="E91" s="3520"/>
      <c r="F91" s="197"/>
      <c r="G91" s="197"/>
      <c r="H91" s="197"/>
      <c r="I91" s="197"/>
      <c r="J91" s="197"/>
      <c r="K91" s="224" t="s">
        <v>775</v>
      </c>
      <c r="L91" s="3557">
        <f>B91</f>
        <v>23</v>
      </c>
      <c r="M91" s="3611" t="str">
        <f>IF(OR(L19&lt;&gt;"",L21=""),"",SUM(O71,-O90))</f>
        <v/>
      </c>
      <c r="N91" s="3524"/>
      <c r="O91" s="198"/>
      <c r="P91" s="3478"/>
      <c r="Q91" s="7"/>
      <c r="S91" s="4861"/>
      <c r="T91" s="4861"/>
      <c r="U91" s="4861"/>
      <c r="V91" s="4861"/>
    </row>
    <row r="92" spans="1:22" ht="16.5" customHeight="1">
      <c r="A92" s="117"/>
      <c r="B92" s="3519">
        <v>24</v>
      </c>
      <c r="C92" s="36" t="s">
        <v>2615</v>
      </c>
      <c r="D92" s="36"/>
      <c r="E92" s="36"/>
      <c r="F92" s="197"/>
      <c r="G92" s="197"/>
      <c r="H92" s="197"/>
      <c r="I92" s="197" t="str">
        <f>"of line "&amp;B85&amp;", "&amp;B86&amp;", or "&amp;B88&amp;". Also, include this amount on"</f>
        <v>of line 20, 21, or 22. Also, include this amount on</v>
      </c>
      <c r="J92" s="197"/>
      <c r="K92" s="197"/>
      <c r="L92" s="197"/>
      <c r="M92" s="224"/>
      <c r="N92" s="3566"/>
      <c r="O92" s="3568"/>
      <c r="P92" s="3478"/>
      <c r="Q92" s="7"/>
      <c r="S92" s="4861"/>
      <c r="T92" s="4861"/>
      <c r="U92" s="4861"/>
      <c r="V92" s="4861"/>
    </row>
    <row r="93" spans="1:22" ht="13.5" customHeight="1">
      <c r="A93" s="117"/>
      <c r="B93" s="300"/>
      <c r="C93" s="3520" t="s">
        <v>2641</v>
      </c>
      <c r="D93" s="3520"/>
      <c r="E93" s="3520"/>
      <c r="F93" s="197"/>
      <c r="G93" s="197"/>
      <c r="H93" s="197"/>
      <c r="I93" s="197"/>
      <c r="J93" s="197"/>
      <c r="K93" s="197"/>
      <c r="L93" s="197"/>
      <c r="M93" s="224" t="s">
        <v>976</v>
      </c>
      <c r="N93" s="3558">
        <f>B92</f>
        <v>24</v>
      </c>
      <c r="O93" s="3611" t="str">
        <f>IF(OR(L19&lt;&gt;"",L21=""),"",MIN(M85,M87,O90))</f>
        <v/>
      </c>
      <c r="P93" s="3478"/>
      <c r="Q93" s="7"/>
      <c r="S93" s="4861"/>
      <c r="T93" s="4861"/>
      <c r="U93" s="4861"/>
      <c r="V93" s="4861"/>
    </row>
    <row r="94" spans="1:22" ht="13.5" customHeight="1">
      <c r="A94" s="117"/>
      <c r="B94" s="3519">
        <v>25</v>
      </c>
      <c r="C94" s="3520" t="s">
        <v>2644</v>
      </c>
      <c r="D94" s="197"/>
      <c r="E94" s="197"/>
      <c r="F94" s="197"/>
      <c r="G94" s="197"/>
      <c r="H94" s="197"/>
      <c r="I94" s="197"/>
      <c r="J94" s="197"/>
      <c r="K94" s="224"/>
      <c r="L94" s="197"/>
      <c r="M94" s="197"/>
      <c r="N94" s="3524"/>
      <c r="O94" s="198"/>
      <c r="P94" s="3478"/>
      <c r="Q94" s="7"/>
    </row>
    <row r="95" spans="1:22" ht="13.5" customHeight="1">
      <c r="A95" s="117"/>
      <c r="B95" s="3519"/>
      <c r="C95" s="3520" t="s">
        <v>2642</v>
      </c>
      <c r="D95" s="197"/>
      <c r="E95" s="197"/>
      <c r="F95" s="197"/>
      <c r="G95" s="197"/>
      <c r="H95" s="197"/>
      <c r="I95" s="197"/>
      <c r="J95" s="197"/>
      <c r="K95" s="224"/>
      <c r="L95" s="197"/>
      <c r="M95" s="197"/>
      <c r="N95" s="3524"/>
      <c r="O95" s="198"/>
      <c r="P95" s="3478"/>
      <c r="Q95" s="3616" t="s">
        <v>153</v>
      </c>
    </row>
    <row r="96" spans="1:22" ht="13.5" customHeight="1">
      <c r="A96" s="117"/>
      <c r="B96" s="3519"/>
      <c r="C96" s="3520" t="s">
        <v>2643</v>
      </c>
      <c r="D96" s="36"/>
      <c r="E96" s="36"/>
      <c r="F96" s="197"/>
      <c r="G96" s="197"/>
      <c r="H96" s="197"/>
      <c r="I96" s="197"/>
      <c r="J96" s="197"/>
      <c r="K96" s="197"/>
      <c r="L96" s="197"/>
      <c r="M96" s="197"/>
      <c r="N96" s="3558">
        <f>B94</f>
        <v>25</v>
      </c>
      <c r="O96" s="3611" t="str">
        <f>IF(Q96&lt;&gt;"",Q96,IF(OR(L19&lt;&gt;"",L21=""),"",IF(AND(C89="",C90=""),"",IF(C89&lt;&gt;"",MIN(M85,M87),IF(SUM(MIN(M85,M87),-O93)&lt;0,0,SUM(MIN(M85,M87),-O93))))))</f>
        <v/>
      </c>
      <c r="P96" s="3478"/>
      <c r="Q96" s="3617"/>
    </row>
    <row r="97" spans="1:23" ht="13.5" customHeight="1">
      <c r="A97" s="117"/>
      <c r="B97" s="3519">
        <v>26</v>
      </c>
      <c r="C97" s="3610" t="s">
        <v>2645</v>
      </c>
      <c r="D97" s="325"/>
      <c r="E97" s="325"/>
      <c r="F97" s="197"/>
      <c r="G97" s="197"/>
      <c r="H97" s="197"/>
      <c r="I97" s="197"/>
      <c r="J97" s="197"/>
      <c r="K97" s="197"/>
      <c r="L97" s="197"/>
      <c r="M97" s="197"/>
      <c r="N97" s="3559"/>
      <c r="O97" s="3564"/>
      <c r="P97" s="3478"/>
      <c r="Q97" s="7"/>
    </row>
    <row r="98" spans="1:23" ht="13.5" customHeight="1">
      <c r="A98" s="117"/>
      <c r="B98" s="3519"/>
      <c r="C98" s="3520" t="s">
        <v>2646</v>
      </c>
      <c r="D98" s="325"/>
      <c r="E98" s="325"/>
      <c r="F98" s="197"/>
      <c r="G98" s="197"/>
      <c r="H98" s="197"/>
      <c r="I98" s="197"/>
      <c r="J98" s="197"/>
      <c r="K98" s="197"/>
      <c r="L98" s="197"/>
      <c r="M98" s="197"/>
      <c r="N98" s="3559"/>
      <c r="O98" s="3564"/>
      <c r="P98" s="3478"/>
      <c r="Q98" s="7"/>
    </row>
    <row r="99" spans="1:23" ht="13.5" customHeight="1">
      <c r="A99" s="117"/>
      <c r="B99" s="3519"/>
      <c r="C99" s="3520" t="s">
        <v>2647</v>
      </c>
      <c r="D99" s="325"/>
      <c r="E99" s="325"/>
      <c r="F99" s="197"/>
      <c r="G99" s="197"/>
      <c r="H99" s="197"/>
      <c r="I99" s="197"/>
      <c r="J99" s="197"/>
      <c r="K99" s="197"/>
      <c r="L99" s="197"/>
      <c r="M99" s="197"/>
      <c r="N99" s="3559"/>
      <c r="O99" s="3564"/>
      <c r="P99" s="3478"/>
      <c r="Q99" s="7"/>
    </row>
    <row r="100" spans="1:23" ht="15" customHeight="1">
      <c r="A100" s="117"/>
      <c r="B100" s="3519"/>
      <c r="C100" s="3520" t="s">
        <v>2650</v>
      </c>
      <c r="D100" s="325"/>
      <c r="E100" s="325"/>
      <c r="F100" s="197"/>
      <c r="G100" s="197"/>
      <c r="H100" s="197"/>
      <c r="I100" s="197"/>
      <c r="J100" s="197"/>
      <c r="K100" s="197"/>
      <c r="L100" s="197"/>
      <c r="M100" s="197"/>
      <c r="N100" s="3559"/>
      <c r="O100" s="3564"/>
      <c r="P100" s="3478"/>
      <c r="Q100" s="3616" t="s">
        <v>153</v>
      </c>
    </row>
    <row r="101" spans="1:23">
      <c r="A101" s="117"/>
      <c r="B101" s="3569"/>
      <c r="C101" s="3509" t="s">
        <v>2648</v>
      </c>
      <c r="D101" s="3509"/>
      <c r="E101" s="3509"/>
      <c r="F101" s="28"/>
      <c r="G101" s="28"/>
      <c r="H101" s="28"/>
      <c r="I101" s="28"/>
      <c r="J101" s="28"/>
      <c r="K101" s="28"/>
      <c r="L101" s="28"/>
      <c r="M101" s="3570" t="s">
        <v>1254</v>
      </c>
      <c r="N101" s="3557">
        <f>B97</f>
        <v>26</v>
      </c>
      <c r="O101" s="3611" t="str">
        <f>IF(Q101&lt;&gt;"",Q101,IF(AND(C89="",C90=""),"",IF(OR(L19&lt;&gt;"",L21=""),"",IF(SUM(M91,-O96)&lt;0,0,SUM(M91,-O96)))))</f>
        <v/>
      </c>
      <c r="P101" s="3478"/>
      <c r="Q101" s="3617"/>
    </row>
    <row r="102" spans="1:23">
      <c r="A102" s="117"/>
      <c r="B102" s="196"/>
      <c r="C102" s="197"/>
      <c r="D102" s="197"/>
      <c r="E102" s="197"/>
      <c r="F102" s="197"/>
      <c r="G102" s="197"/>
      <c r="H102" s="197"/>
      <c r="I102" s="197"/>
      <c r="J102" s="197"/>
      <c r="K102" s="197"/>
      <c r="L102" s="197"/>
      <c r="M102" s="197"/>
      <c r="N102" s="197"/>
      <c r="O102" s="198"/>
      <c r="P102" s="3478"/>
      <c r="Q102" s="7"/>
    </row>
    <row r="103" spans="1:23">
      <c r="A103" s="117"/>
      <c r="B103" s="196" t="s">
        <v>664</v>
      </c>
      <c r="C103" s="197"/>
      <c r="D103" s="197"/>
      <c r="E103" s="197"/>
      <c r="F103" s="197"/>
      <c r="G103" s="197"/>
      <c r="H103" s="197"/>
      <c r="I103" s="197" t="s">
        <v>2616</v>
      </c>
      <c r="J103" s="197"/>
      <c r="K103" s="197"/>
      <c r="L103" s="197"/>
      <c r="M103" s="197"/>
      <c r="N103" s="197"/>
      <c r="O103" s="198"/>
      <c r="P103" s="3478"/>
      <c r="Q103" s="7"/>
    </row>
    <row r="104" spans="1:23">
      <c r="A104" s="117"/>
      <c r="B104" s="1683"/>
      <c r="C104" s="197"/>
      <c r="D104" s="197"/>
      <c r="E104" s="197"/>
      <c r="F104" s="197"/>
      <c r="G104" s="197"/>
      <c r="H104" s="197"/>
      <c r="I104" s="3520" t="s">
        <v>2649</v>
      </c>
      <c r="J104" s="197"/>
      <c r="K104" s="197"/>
      <c r="L104" s="197"/>
      <c r="M104" s="197"/>
      <c r="N104" s="197"/>
      <c r="O104" s="198"/>
      <c r="P104" s="3478"/>
      <c r="Q104" s="7"/>
    </row>
    <row r="105" spans="1:23">
      <c r="A105" s="117"/>
      <c r="B105" s="28"/>
      <c r="C105" s="28"/>
      <c r="D105" s="28"/>
      <c r="E105" s="28"/>
      <c r="F105" s="28"/>
      <c r="G105" s="28"/>
      <c r="H105" s="28"/>
      <c r="I105" s="28"/>
      <c r="J105" s="28"/>
      <c r="K105" s="28"/>
      <c r="L105" s="28"/>
      <c r="M105" s="28"/>
      <c r="N105" s="28"/>
      <c r="O105" s="29"/>
      <c r="P105" s="3478"/>
      <c r="Q105" s="3616" t="s">
        <v>153</v>
      </c>
    </row>
    <row r="106" spans="1:23" ht="16.5" customHeight="1">
      <c r="A106" s="117"/>
      <c r="B106" s="3519">
        <v>27</v>
      </c>
      <c r="C106" s="197" t="str">
        <f>"Enter "&amp;TEXT(Q33,"$0,000")&amp;" ("&amp;TEXT(Q34,"$0,000")&amp;" if two or more qualifying persons)"</f>
        <v>Enter $3,000 ($6,000 if two or more qualifying persons)</v>
      </c>
      <c r="D106" s="197"/>
      <c r="E106" s="197"/>
      <c r="F106" s="197"/>
      <c r="G106" s="197"/>
      <c r="H106" s="197"/>
      <c r="I106" s="197"/>
      <c r="J106" s="197"/>
      <c r="K106" s="197"/>
      <c r="L106" s="197"/>
      <c r="M106" s="197"/>
      <c r="N106" s="3557">
        <f>B106</f>
        <v>27</v>
      </c>
      <c r="O106" s="3611" t="str">
        <f>IF(Q106&lt;&gt;"",Q106,IF(OR(L19&lt;&gt;"",L21=""),"",IF(P34&gt;1,Q34,Q33)))</f>
        <v/>
      </c>
      <c r="P106" s="3478"/>
      <c r="Q106" s="3617"/>
      <c r="S106" s="4844" t="s">
        <v>2677</v>
      </c>
      <c r="T106" s="4845"/>
      <c r="U106" s="4845"/>
      <c r="V106" s="4845"/>
      <c r="W106" s="4846"/>
    </row>
    <row r="107" spans="1:23" ht="16.5" customHeight="1">
      <c r="A107" s="117"/>
      <c r="B107" s="3519">
        <v>28</v>
      </c>
      <c r="C107" s="3520" t="s">
        <v>2652</v>
      </c>
      <c r="D107" s="197"/>
      <c r="E107" s="197"/>
      <c r="F107" s="197"/>
      <c r="G107" s="197"/>
      <c r="H107" s="197"/>
      <c r="I107" s="197"/>
      <c r="J107" s="197"/>
      <c r="K107" s="197"/>
      <c r="L107" s="197"/>
      <c r="M107" s="224"/>
      <c r="N107" s="3557">
        <f>B107</f>
        <v>28</v>
      </c>
      <c r="O107" s="3611" t="str">
        <f>IF(OR(L19&lt;&gt;"",L21=""),"",SUM(O93,O96))</f>
        <v/>
      </c>
      <c r="P107" s="3478"/>
      <c r="Q107" s="7"/>
      <c r="S107" s="4847"/>
      <c r="T107" s="4335"/>
      <c r="U107" s="4335"/>
      <c r="V107" s="4335"/>
      <c r="W107" s="4848"/>
    </row>
    <row r="108" spans="1:23" ht="15.75" customHeight="1">
      <c r="A108" s="117"/>
      <c r="B108" s="3519">
        <v>29</v>
      </c>
      <c r="C108" s="197" t="str">
        <f>"Subtract line "&amp;B107&amp;" from line "&amp;B106&amp;". If zero or"</f>
        <v>Subtract line 28 from line 27. If zero or</v>
      </c>
      <c r="D108" s="197"/>
      <c r="E108" s="197"/>
      <c r="F108" s="197"/>
      <c r="G108" s="197"/>
      <c r="H108" s="197" t="s">
        <v>2617</v>
      </c>
      <c r="I108" s="197"/>
      <c r="J108" s="197"/>
      <c r="K108" s="197"/>
      <c r="L108" s="197"/>
      <c r="M108" s="197"/>
      <c r="N108" s="3524"/>
      <c r="O108" s="3564"/>
      <c r="P108" s="3478"/>
      <c r="Q108" s="3616" t="s">
        <v>153</v>
      </c>
      <c r="S108" s="4847"/>
      <c r="T108" s="4335"/>
      <c r="U108" s="4335"/>
      <c r="V108" s="4335"/>
      <c r="W108" s="4848"/>
    </row>
    <row r="109" spans="1:23">
      <c r="A109" s="117"/>
      <c r="B109" s="3519"/>
      <c r="C109" s="3571" t="s">
        <v>2618</v>
      </c>
      <c r="D109" s="3571"/>
      <c r="E109" s="3571"/>
      <c r="F109" s="197" t="str">
        <f>"paid "&amp;TaxYear-1&amp;" expenses in "&amp;TaxYear&amp;", see the instruction for line 9"</f>
        <v>paid 2013 expenses in 2014, see the instruction for line 9</v>
      </c>
      <c r="G109" s="197"/>
      <c r="H109" s="197"/>
      <c r="I109" s="197"/>
      <c r="J109" s="197"/>
      <c r="K109" s="197"/>
      <c r="L109" s="197"/>
      <c r="M109" s="224" t="s">
        <v>983</v>
      </c>
      <c r="N109" s="3557">
        <f>B108</f>
        <v>29</v>
      </c>
      <c r="O109" s="3611" t="str">
        <f>IF(Q109&lt;&gt;"",ROUND(Q109,0),IF(OR(L19&lt;&gt;"",L21=""),"",IF(SUM(O106,-O107)&gt;=0,SUM(O106,-O107),"STOP")))</f>
        <v/>
      </c>
      <c r="P109" s="3478"/>
      <c r="Q109" s="3617"/>
      <c r="S109" s="4847"/>
      <c r="T109" s="4335"/>
      <c r="U109" s="4335"/>
      <c r="V109" s="4335"/>
      <c r="W109" s="4848"/>
    </row>
    <row r="110" spans="1:23">
      <c r="A110" s="117"/>
      <c r="B110" s="3519">
        <v>30</v>
      </c>
      <c r="C110" s="3520" t="s">
        <v>2651</v>
      </c>
      <c r="D110" s="330"/>
      <c r="E110" s="330"/>
      <c r="F110" s="197"/>
      <c r="G110" s="197"/>
      <c r="H110" s="197"/>
      <c r="I110" s="197"/>
      <c r="J110" s="197"/>
      <c r="K110" s="197"/>
      <c r="L110" s="197"/>
      <c r="M110" s="197"/>
      <c r="N110" s="3524"/>
      <c r="O110" s="3564"/>
      <c r="P110" s="3478"/>
      <c r="Q110" s="3616" t="s">
        <v>153</v>
      </c>
      <c r="S110" s="4849"/>
      <c r="T110" s="4850"/>
      <c r="U110" s="4850"/>
      <c r="V110" s="4850"/>
      <c r="W110" s="4851"/>
    </row>
    <row r="111" spans="1:23">
      <c r="A111" s="117"/>
      <c r="B111" s="3519"/>
      <c r="C111" s="3520" t="str">
        <f>"line "&amp;B107&amp;" above.   Then, add the amounts in column (c) and enter the total here"</f>
        <v>line 28 above.   Then, add the amounts in column (c) and enter the total here</v>
      </c>
      <c r="D111" s="330"/>
      <c r="E111" s="330"/>
      <c r="F111" s="197"/>
      <c r="G111" s="197"/>
      <c r="H111" s="197"/>
      <c r="I111" s="197"/>
      <c r="J111" s="197"/>
      <c r="K111" s="197"/>
      <c r="L111" s="197"/>
      <c r="M111" s="224" t="s">
        <v>675</v>
      </c>
      <c r="N111" s="3557">
        <f>B110</f>
        <v>30</v>
      </c>
      <c r="O111" s="3611" t="str">
        <f>IF(Q111&lt;&gt;"",Q111,IF(OR(L19&lt;&gt;"",L21=""),"",O33))</f>
        <v/>
      </c>
      <c r="P111" s="3478"/>
      <c r="Q111" s="3617"/>
    </row>
    <row r="112" spans="1:23">
      <c r="A112" s="117"/>
      <c r="B112" s="3519">
        <v>31</v>
      </c>
      <c r="C112" s="197" t="s">
        <v>2619</v>
      </c>
      <c r="D112" s="197"/>
      <c r="E112" s="197"/>
      <c r="F112" s="197" t="str">
        <f>"of line "&amp;B108&amp;" or "&amp;B110&amp;".  Also, enter this amount on line "&amp;B33&amp;" on the front of this"</f>
        <v>of line 29 or 30.  Also, enter this amount on line 3 on the front of this</v>
      </c>
      <c r="G112" s="197"/>
      <c r="H112" s="197"/>
      <c r="I112" s="197"/>
      <c r="J112" s="197"/>
      <c r="K112" s="197"/>
      <c r="L112" s="197"/>
      <c r="M112" s="197"/>
      <c r="N112" s="3524"/>
      <c r="O112" s="3564"/>
      <c r="P112" s="3478"/>
      <c r="Q112" s="3616" t="s">
        <v>153</v>
      </c>
    </row>
    <row r="113" spans="1:17" ht="13.5" thickBot="1">
      <c r="A113" s="117"/>
      <c r="B113" s="227"/>
      <c r="C113" s="227" t="str">
        <f>"form and complete lines "&amp;B36&amp;" through "&amp;B58</f>
        <v>form and complete lines 4 through 11</v>
      </c>
      <c r="D113" s="227"/>
      <c r="E113" s="227"/>
      <c r="F113" s="227"/>
      <c r="G113" s="227"/>
      <c r="H113" s="227"/>
      <c r="I113" s="227"/>
      <c r="J113" s="227"/>
      <c r="K113" s="227"/>
      <c r="L113" s="227"/>
      <c r="M113" s="3572" t="s">
        <v>2653</v>
      </c>
      <c r="N113" s="3573">
        <f>B112</f>
        <v>31</v>
      </c>
      <c r="O113" s="3611" t="str">
        <f>IF(Q113&lt;&gt;"",Q113,IF(OR(L19&lt;&gt;"",L21=""),"",IF(O109="STOP",0,MIN(O109,O111))))</f>
        <v/>
      </c>
      <c r="P113" s="3478"/>
      <c r="Q113" s="3617"/>
    </row>
    <row r="114" spans="1:17" ht="17.25" customHeight="1">
      <c r="A114" s="117"/>
      <c r="B114" s="3574"/>
      <c r="C114" s="327"/>
      <c r="D114" s="327"/>
      <c r="E114" s="327"/>
      <c r="F114" s="327"/>
      <c r="G114" s="327"/>
      <c r="H114" s="327"/>
      <c r="I114" s="327"/>
      <c r="J114" s="327"/>
      <c r="K114" s="327"/>
      <c r="L114" s="327"/>
      <c r="M114" s="440"/>
      <c r="N114" s="327"/>
      <c r="O114" s="3575" t="str">
        <f>"Form 2441  ("&amp;TaxYear&amp;")"</f>
        <v>Form 2441  (2014)</v>
      </c>
      <c r="P114" s="3478"/>
      <c r="Q114" s="7"/>
    </row>
    <row r="115" spans="1:17" ht="36" customHeight="1" thickBot="1">
      <c r="A115" s="117"/>
      <c r="B115" s="3487"/>
      <c r="C115" s="196"/>
      <c r="D115" s="196"/>
      <c r="E115" s="196"/>
      <c r="F115" s="196"/>
      <c r="G115" s="196"/>
      <c r="H115" s="196"/>
      <c r="I115" s="3487"/>
      <c r="J115" s="3487"/>
      <c r="K115" s="196"/>
      <c r="L115" s="3488"/>
      <c r="M115" s="196"/>
      <c r="N115" s="196"/>
      <c r="O115" s="3489"/>
      <c r="P115" s="3478"/>
      <c r="Q115" s="7"/>
    </row>
    <row r="116" spans="1:17" ht="17.25" customHeight="1">
      <c r="A116" s="117"/>
      <c r="B116" s="3576"/>
      <c r="C116" s="4806">
        <v>2441</v>
      </c>
      <c r="D116" s="4807"/>
      <c r="E116" s="4807"/>
      <c r="F116" s="328"/>
      <c r="G116" s="4799" t="s">
        <v>2620</v>
      </c>
      <c r="H116" s="4800"/>
      <c r="I116" s="4413"/>
      <c r="J116" s="4413"/>
      <c r="K116" s="4413"/>
      <c r="L116" s="4413"/>
      <c r="M116" s="4413"/>
      <c r="N116" s="4801"/>
      <c r="O116" s="4802">
        <f>TaxYear</f>
        <v>2014</v>
      </c>
      <c r="P116" s="3478"/>
      <c r="Q116" s="7"/>
    </row>
    <row r="117" spans="1:17" ht="21" customHeight="1" thickBot="1">
      <c r="A117" s="117"/>
      <c r="B117" s="3577" t="s">
        <v>499</v>
      </c>
      <c r="C117" s="4808"/>
      <c r="D117" s="4808"/>
      <c r="E117" s="4808"/>
      <c r="F117" s="3578"/>
      <c r="G117" s="4804" t="s">
        <v>2554</v>
      </c>
      <c r="H117" s="4805"/>
      <c r="I117" s="4401"/>
      <c r="J117" s="4401"/>
      <c r="K117" s="4401"/>
      <c r="L117" s="4401"/>
      <c r="M117" s="4401"/>
      <c r="N117" s="4402"/>
      <c r="O117" s="4803"/>
      <c r="P117" s="3485"/>
      <c r="Q117" s="3486"/>
    </row>
    <row r="118" spans="1:17" ht="6" customHeight="1">
      <c r="A118" s="117"/>
      <c r="B118" s="3579"/>
      <c r="C118" s="3580"/>
      <c r="D118" s="3580"/>
      <c r="E118" s="3580"/>
      <c r="F118" s="3581"/>
      <c r="G118" s="3582"/>
      <c r="H118" s="3582"/>
      <c r="I118" s="3582"/>
      <c r="J118" s="3581"/>
      <c r="K118" s="3581"/>
      <c r="L118" s="3581"/>
      <c r="M118" s="3581"/>
      <c r="N118" s="3581"/>
      <c r="O118" s="3583"/>
      <c r="P118" s="3485"/>
      <c r="Q118" s="3486"/>
    </row>
    <row r="119" spans="1:17" ht="11.25" customHeight="1">
      <c r="A119" s="117"/>
      <c r="B119" s="3584" t="s">
        <v>150</v>
      </c>
      <c r="C119" s="3585"/>
      <c r="D119" s="3585"/>
      <c r="E119" s="3585"/>
      <c r="F119" s="3153"/>
      <c r="G119" s="223"/>
      <c r="H119" s="223"/>
      <c r="I119" s="223"/>
      <c r="J119" s="223"/>
      <c r="K119" s="3586"/>
      <c r="L119" s="3587"/>
      <c r="M119" s="3588"/>
      <c r="N119" s="3589"/>
      <c r="O119" s="820" t="s">
        <v>151</v>
      </c>
      <c r="P119" s="3484"/>
      <c r="Q119" s="7"/>
    </row>
    <row r="120" spans="1:17" ht="14.25" customHeight="1">
      <c r="A120" s="117"/>
      <c r="B120" s="3590" t="str">
        <f>Names</f>
        <v/>
      </c>
      <c r="C120" s="218"/>
      <c r="D120" s="218"/>
      <c r="E120" s="218"/>
      <c r="F120" s="28"/>
      <c r="G120" s="29"/>
      <c r="H120" s="29"/>
      <c r="I120" s="29"/>
      <c r="J120" s="29"/>
      <c r="K120" s="3591"/>
      <c r="L120" s="3592"/>
      <c r="M120" s="3593"/>
      <c r="N120" s="3594"/>
      <c r="O120" s="3595">
        <f>SS_Yours</f>
        <v>0</v>
      </c>
      <c r="P120" s="3484"/>
      <c r="Q120" s="7"/>
    </row>
    <row r="121" spans="1:17" ht="12" customHeight="1">
      <c r="A121" s="117"/>
      <c r="B121" s="3487"/>
      <c r="C121" s="196"/>
      <c r="D121" s="196"/>
      <c r="E121" s="196"/>
      <c r="F121" s="196"/>
      <c r="G121" s="196"/>
      <c r="H121" s="196"/>
      <c r="I121" s="3487"/>
      <c r="J121" s="3487"/>
      <c r="K121" s="196"/>
      <c r="L121" s="3488"/>
      <c r="M121" s="196"/>
      <c r="N121" s="196"/>
      <c r="O121" s="3489"/>
      <c r="P121" s="3478"/>
      <c r="Q121" s="7"/>
    </row>
    <row r="122" spans="1:17" ht="15" customHeight="1">
      <c r="A122" s="117"/>
      <c r="B122" s="3490" t="s">
        <v>93</v>
      </c>
      <c r="C122" s="3571" t="s">
        <v>2621</v>
      </c>
      <c r="D122" s="3571"/>
      <c r="E122" s="3571"/>
      <c r="F122" s="197"/>
      <c r="G122" s="197"/>
      <c r="H122" s="197"/>
      <c r="I122" s="197"/>
      <c r="J122" s="197"/>
      <c r="K122" s="197"/>
      <c r="L122" s="197"/>
      <c r="M122" s="197"/>
      <c r="N122" s="197"/>
      <c r="O122" s="196"/>
      <c r="P122" s="3478"/>
      <c r="Q122" s="7"/>
    </row>
    <row r="123" spans="1:17" ht="6.75" customHeight="1">
      <c r="A123" s="117"/>
      <c r="B123" s="28"/>
      <c r="C123" s="28"/>
      <c r="D123" s="28"/>
      <c r="E123" s="28"/>
      <c r="F123" s="28"/>
      <c r="G123" s="28"/>
      <c r="H123" s="28"/>
      <c r="I123" s="28"/>
      <c r="J123" s="28"/>
      <c r="K123" s="28"/>
      <c r="L123" s="28"/>
      <c r="M123" s="28"/>
      <c r="N123" s="28"/>
      <c r="O123" s="28"/>
      <c r="P123" s="3478"/>
      <c r="Q123" s="7"/>
    </row>
    <row r="124" spans="1:17">
      <c r="A124" s="117"/>
      <c r="B124" s="3492" t="s">
        <v>2560</v>
      </c>
      <c r="C124" s="208" t="s">
        <v>2561</v>
      </c>
      <c r="D124" s="208"/>
      <c r="E124" s="208"/>
      <c r="F124" s="3493"/>
      <c r="G124" s="3494"/>
      <c r="H124" s="196"/>
      <c r="I124" s="3495" t="s">
        <v>2562</v>
      </c>
      <c r="J124" s="197"/>
      <c r="K124" s="197"/>
      <c r="L124" s="3494"/>
      <c r="M124" s="3496" t="s">
        <v>2563</v>
      </c>
      <c r="N124" s="197"/>
      <c r="O124" s="3497" t="s">
        <v>2564</v>
      </c>
      <c r="P124" s="3478"/>
      <c r="Q124" s="7"/>
    </row>
    <row r="125" spans="1:17">
      <c r="A125" s="117"/>
      <c r="B125" s="3498" t="str">
        <f>"   1"</f>
        <v xml:space="preserve">   1</v>
      </c>
      <c r="C125" s="3499" t="s">
        <v>2565</v>
      </c>
      <c r="D125" s="3499"/>
      <c r="E125" s="3499"/>
      <c r="F125" s="3500"/>
      <c r="G125" s="3501" t="s">
        <v>2566</v>
      </c>
      <c r="H125" s="210"/>
      <c r="I125" s="28"/>
      <c r="J125" s="28"/>
      <c r="K125" s="28"/>
      <c r="L125" s="3502"/>
      <c r="M125" s="210" t="s">
        <v>2567</v>
      </c>
      <c r="N125" s="28"/>
      <c r="O125" s="3501" t="s">
        <v>2568</v>
      </c>
      <c r="P125" s="3478"/>
      <c r="Q125" s="7"/>
    </row>
    <row r="126" spans="1:17">
      <c r="A126" s="117"/>
      <c r="B126" s="4809"/>
      <c r="C126" s="4810"/>
      <c r="D126" s="4810"/>
      <c r="E126" s="4810"/>
      <c r="F126" s="4811"/>
      <c r="G126" s="4814"/>
      <c r="H126" s="4815"/>
      <c r="I126" s="4816"/>
      <c r="J126" s="4816"/>
      <c r="K126" s="4817"/>
      <c r="L126" s="4818"/>
      <c r="M126" s="4819"/>
      <c r="N126" s="4820"/>
      <c r="O126" s="3651"/>
      <c r="P126" s="3478"/>
      <c r="Q126" s="7"/>
    </row>
    <row r="127" spans="1:17">
      <c r="A127" s="117"/>
      <c r="B127" s="4812"/>
      <c r="C127" s="4812"/>
      <c r="D127" s="4812"/>
      <c r="E127" s="4812"/>
      <c r="F127" s="4813"/>
      <c r="G127" s="4824"/>
      <c r="H127" s="4825"/>
      <c r="I127" s="4826"/>
      <c r="J127" s="4826"/>
      <c r="K127" s="4827"/>
      <c r="L127" s="4821"/>
      <c r="M127" s="4822"/>
      <c r="N127" s="4823"/>
      <c r="O127" s="3626"/>
      <c r="P127" s="3478"/>
      <c r="Q127" s="7"/>
    </row>
    <row r="128" spans="1:17">
      <c r="A128" s="117"/>
      <c r="B128" s="4809"/>
      <c r="C128" s="4810"/>
      <c r="D128" s="4810"/>
      <c r="E128" s="4810"/>
      <c r="F128" s="4811"/>
      <c r="G128" s="4814"/>
      <c r="H128" s="4815"/>
      <c r="I128" s="4816"/>
      <c r="J128" s="4816"/>
      <c r="K128" s="4817"/>
      <c r="L128" s="4818"/>
      <c r="M128" s="4819"/>
      <c r="N128" s="4820"/>
      <c r="O128" s="3651"/>
      <c r="P128" s="3478"/>
      <c r="Q128" s="7"/>
    </row>
    <row r="129" spans="1:17">
      <c r="A129" s="117"/>
      <c r="B129" s="4812"/>
      <c r="C129" s="4812"/>
      <c r="D129" s="4812"/>
      <c r="E129" s="4812"/>
      <c r="F129" s="4813"/>
      <c r="G129" s="4824"/>
      <c r="H129" s="4825"/>
      <c r="I129" s="4826"/>
      <c r="J129" s="4826"/>
      <c r="K129" s="4827"/>
      <c r="L129" s="4821"/>
      <c r="M129" s="4822"/>
      <c r="N129" s="4823"/>
      <c r="O129" s="3626"/>
      <c r="P129" s="3478"/>
      <c r="Q129" s="7"/>
    </row>
    <row r="130" spans="1:17">
      <c r="A130" s="117"/>
      <c r="B130" s="4809"/>
      <c r="C130" s="4810"/>
      <c r="D130" s="4810"/>
      <c r="E130" s="4810"/>
      <c r="F130" s="4811"/>
      <c r="G130" s="4814"/>
      <c r="H130" s="4815"/>
      <c r="I130" s="4816"/>
      <c r="J130" s="4816"/>
      <c r="K130" s="4817"/>
      <c r="L130" s="4818"/>
      <c r="M130" s="4819"/>
      <c r="N130" s="4820"/>
      <c r="O130" s="3651"/>
      <c r="P130" s="3478"/>
      <c r="Q130" s="7"/>
    </row>
    <row r="131" spans="1:17">
      <c r="A131" s="117"/>
      <c r="B131" s="4812"/>
      <c r="C131" s="4812"/>
      <c r="D131" s="4812"/>
      <c r="E131" s="4812"/>
      <c r="F131" s="4813"/>
      <c r="G131" s="4824"/>
      <c r="H131" s="4825"/>
      <c r="I131" s="4826"/>
      <c r="J131" s="4826"/>
      <c r="K131" s="4827"/>
      <c r="L131" s="4821"/>
      <c r="M131" s="4822"/>
      <c r="N131" s="4823"/>
      <c r="O131" s="3626"/>
      <c r="P131" s="3478"/>
      <c r="Q131" s="7"/>
    </row>
    <row r="132" spans="1:17">
      <c r="A132" s="117"/>
      <c r="B132" s="4809"/>
      <c r="C132" s="4810"/>
      <c r="D132" s="4810"/>
      <c r="E132" s="4810"/>
      <c r="F132" s="4811"/>
      <c r="G132" s="4814"/>
      <c r="H132" s="4815"/>
      <c r="I132" s="4816"/>
      <c r="J132" s="4816"/>
      <c r="K132" s="4817"/>
      <c r="L132" s="4818"/>
      <c r="M132" s="4819"/>
      <c r="N132" s="4820"/>
      <c r="O132" s="3651"/>
      <c r="P132" s="3478"/>
      <c r="Q132" s="7"/>
    </row>
    <row r="133" spans="1:17">
      <c r="A133" s="117"/>
      <c r="B133" s="4812"/>
      <c r="C133" s="4812"/>
      <c r="D133" s="4812"/>
      <c r="E133" s="4812"/>
      <c r="F133" s="4813"/>
      <c r="G133" s="4824"/>
      <c r="H133" s="4825"/>
      <c r="I133" s="4826"/>
      <c r="J133" s="4826"/>
      <c r="K133" s="4827"/>
      <c r="L133" s="4821"/>
      <c r="M133" s="4822"/>
      <c r="N133" s="4823"/>
      <c r="O133" s="3626"/>
      <c r="P133" s="3478"/>
      <c r="Q133" s="7"/>
    </row>
    <row r="134" spans="1:17">
      <c r="A134" s="117"/>
      <c r="B134" s="4809"/>
      <c r="C134" s="4810"/>
      <c r="D134" s="4810"/>
      <c r="E134" s="4810"/>
      <c r="F134" s="4811"/>
      <c r="G134" s="4814"/>
      <c r="H134" s="4815"/>
      <c r="I134" s="4816"/>
      <c r="J134" s="4816"/>
      <c r="K134" s="4817"/>
      <c r="L134" s="4818"/>
      <c r="M134" s="4819"/>
      <c r="N134" s="4820"/>
      <c r="O134" s="3651"/>
      <c r="P134" s="3478"/>
      <c r="Q134" s="7"/>
    </row>
    <row r="135" spans="1:17">
      <c r="A135" s="117"/>
      <c r="B135" s="4812"/>
      <c r="C135" s="4812"/>
      <c r="D135" s="4812"/>
      <c r="E135" s="4812"/>
      <c r="F135" s="4813"/>
      <c r="G135" s="4824"/>
      <c r="H135" s="4825"/>
      <c r="I135" s="4826"/>
      <c r="J135" s="4826"/>
      <c r="K135" s="4827"/>
      <c r="L135" s="4821"/>
      <c r="M135" s="4822"/>
      <c r="N135" s="4823"/>
      <c r="O135" s="3626"/>
      <c r="P135" s="3478"/>
      <c r="Q135" s="7"/>
    </row>
    <row r="136" spans="1:17">
      <c r="A136" s="117"/>
      <c r="B136" s="4809"/>
      <c r="C136" s="4810"/>
      <c r="D136" s="4810"/>
      <c r="E136" s="4810"/>
      <c r="F136" s="4811"/>
      <c r="G136" s="4814"/>
      <c r="H136" s="4815"/>
      <c r="I136" s="4816"/>
      <c r="J136" s="4816"/>
      <c r="K136" s="4817"/>
      <c r="L136" s="4818"/>
      <c r="M136" s="4819"/>
      <c r="N136" s="4820"/>
      <c r="O136" s="3651"/>
      <c r="P136" s="3478"/>
      <c r="Q136" s="7"/>
    </row>
    <row r="137" spans="1:17">
      <c r="A137" s="117"/>
      <c r="B137" s="4812"/>
      <c r="C137" s="4812"/>
      <c r="D137" s="4812"/>
      <c r="E137" s="4812"/>
      <c r="F137" s="4813"/>
      <c r="G137" s="4824"/>
      <c r="H137" s="4825"/>
      <c r="I137" s="4826"/>
      <c r="J137" s="4826"/>
      <c r="K137" s="4827"/>
      <c r="L137" s="4821"/>
      <c r="M137" s="4822"/>
      <c r="N137" s="4823"/>
      <c r="O137" s="3626"/>
      <c r="P137" s="3478"/>
      <c r="Q137" s="7"/>
    </row>
    <row r="138" spans="1:17">
      <c r="A138" s="117"/>
      <c r="B138" s="4809"/>
      <c r="C138" s="4810"/>
      <c r="D138" s="4810"/>
      <c r="E138" s="4810"/>
      <c r="F138" s="4811"/>
      <c r="G138" s="4814"/>
      <c r="H138" s="4815"/>
      <c r="I138" s="4816"/>
      <c r="J138" s="4816"/>
      <c r="K138" s="4817"/>
      <c r="L138" s="4818"/>
      <c r="M138" s="4819"/>
      <c r="N138" s="4820"/>
      <c r="O138" s="3651"/>
      <c r="P138" s="3478"/>
      <c r="Q138" s="7"/>
    </row>
    <row r="139" spans="1:17">
      <c r="A139" s="117"/>
      <c r="B139" s="4812"/>
      <c r="C139" s="4812"/>
      <c r="D139" s="4812"/>
      <c r="E139" s="4812"/>
      <c r="F139" s="4813"/>
      <c r="G139" s="4824"/>
      <c r="H139" s="4825"/>
      <c r="I139" s="4826"/>
      <c r="J139" s="4826"/>
      <c r="K139" s="4827"/>
      <c r="L139" s="4821"/>
      <c r="M139" s="4822"/>
      <c r="N139" s="4823"/>
      <c r="O139" s="3626"/>
      <c r="P139" s="3478"/>
      <c r="Q139" s="7"/>
    </row>
    <row r="140" spans="1:17">
      <c r="A140" s="117"/>
      <c r="B140" s="4809"/>
      <c r="C140" s="4810"/>
      <c r="D140" s="4810"/>
      <c r="E140" s="4810"/>
      <c r="F140" s="4811"/>
      <c r="G140" s="4814"/>
      <c r="H140" s="4815"/>
      <c r="I140" s="4816"/>
      <c r="J140" s="4816"/>
      <c r="K140" s="4817"/>
      <c r="L140" s="4818"/>
      <c r="M140" s="4819"/>
      <c r="N140" s="4820"/>
      <c r="O140" s="3651"/>
      <c r="P140" s="3478"/>
      <c r="Q140" s="7"/>
    </row>
    <row r="141" spans="1:17">
      <c r="A141" s="117"/>
      <c r="B141" s="4812"/>
      <c r="C141" s="4812"/>
      <c r="D141" s="4812"/>
      <c r="E141" s="4812"/>
      <c r="F141" s="4813"/>
      <c r="G141" s="4824"/>
      <c r="H141" s="4825"/>
      <c r="I141" s="4826"/>
      <c r="J141" s="4826"/>
      <c r="K141" s="4827"/>
      <c r="L141" s="4821"/>
      <c r="M141" s="4822"/>
      <c r="N141" s="4823"/>
      <c r="O141" s="3626"/>
      <c r="P141" s="3478"/>
      <c r="Q141" s="7"/>
    </row>
    <row r="142" spans="1:17" ht="39" customHeight="1">
      <c r="A142" s="117"/>
      <c r="B142" s="196"/>
      <c r="C142" s="197"/>
      <c r="D142" s="197"/>
      <c r="E142" s="197"/>
      <c r="F142" s="197"/>
      <c r="G142" s="197"/>
      <c r="H142" s="197"/>
      <c r="I142" s="197"/>
      <c r="J142" s="197"/>
      <c r="K142" s="197"/>
      <c r="L142" s="197"/>
      <c r="M142" s="197"/>
      <c r="N142" s="197"/>
      <c r="O142" s="196"/>
      <c r="P142" s="3478"/>
      <c r="Q142" s="7"/>
    </row>
    <row r="143" spans="1:17" ht="15" customHeight="1">
      <c r="A143" s="117"/>
      <c r="B143" s="3510" t="s">
        <v>197</v>
      </c>
      <c r="C143" s="3511" t="s">
        <v>2622</v>
      </c>
      <c r="D143" s="3511"/>
      <c r="E143" s="3511"/>
      <c r="F143" s="3512"/>
      <c r="G143" s="3512"/>
      <c r="H143" s="3512"/>
      <c r="I143" s="3512"/>
      <c r="J143" s="3512"/>
      <c r="K143" s="3512"/>
      <c r="L143" s="3512"/>
      <c r="M143" s="3512"/>
      <c r="N143" s="3512"/>
      <c r="O143" s="3512"/>
      <c r="P143" s="3478"/>
      <c r="Q143" s="7"/>
    </row>
    <row r="144" spans="1:17">
      <c r="A144" s="117"/>
      <c r="B144" s="3498" t="str">
        <f>"   2"</f>
        <v xml:space="preserve">   2</v>
      </c>
      <c r="C144" s="28" t="s">
        <v>2575</v>
      </c>
      <c r="D144" s="28"/>
      <c r="E144" s="28"/>
      <c r="F144" s="28"/>
      <c r="G144" s="28"/>
      <c r="H144" s="28"/>
      <c r="I144" s="28"/>
      <c r="J144" s="28"/>
      <c r="K144" s="28"/>
      <c r="L144" s="28"/>
      <c r="M144" s="28"/>
      <c r="N144" s="28"/>
      <c r="O144" s="28"/>
      <c r="P144" s="3478"/>
      <c r="Q144" s="7"/>
    </row>
    <row r="145" spans="1:17" ht="12.75" customHeight="1">
      <c r="A145" s="117"/>
      <c r="B145" s="196"/>
      <c r="C145" s="197"/>
      <c r="D145" s="197"/>
      <c r="E145" s="197"/>
      <c r="F145" s="206" t="s">
        <v>2576</v>
      </c>
      <c r="G145" s="197"/>
      <c r="H145" s="197"/>
      <c r="I145" s="197"/>
      <c r="J145" s="197"/>
      <c r="K145" s="197"/>
      <c r="L145" s="3497"/>
      <c r="M145" s="197"/>
      <c r="N145" s="196"/>
      <c r="O145" s="3514" t="s">
        <v>2577</v>
      </c>
      <c r="P145" s="3478"/>
      <c r="Q145" s="7"/>
    </row>
    <row r="146" spans="1:17" ht="10.5" customHeight="1">
      <c r="A146" s="117"/>
      <c r="B146" s="196"/>
      <c r="C146" s="3515"/>
      <c r="D146" s="3515"/>
      <c r="E146" s="3515"/>
      <c r="F146" s="206"/>
      <c r="G146" s="197"/>
      <c r="H146" s="197"/>
      <c r="I146" s="208"/>
      <c r="J146" s="208"/>
      <c r="K146" s="197"/>
      <c r="L146" s="3516" t="s">
        <v>2578</v>
      </c>
      <c r="M146" s="197"/>
      <c r="N146" s="196"/>
      <c r="O146" s="3517" t="str">
        <f>"incurred and paid in "&amp;$O$3&amp;" for"</f>
        <v>incurred and paid in 2014 for</v>
      </c>
      <c r="P146" s="3478"/>
      <c r="Q146" s="7"/>
    </row>
    <row r="147" spans="1:17" ht="10.5" customHeight="1">
      <c r="A147" s="117"/>
      <c r="B147" s="28"/>
      <c r="C147" s="3499" t="s">
        <v>2579</v>
      </c>
      <c r="D147" s="3499"/>
      <c r="E147" s="3499"/>
      <c r="F147" s="28"/>
      <c r="G147" s="28"/>
      <c r="H147" s="28"/>
      <c r="I147" s="210" t="s">
        <v>2580</v>
      </c>
      <c r="J147" s="210"/>
      <c r="K147" s="28"/>
      <c r="L147" s="3502"/>
      <c r="M147" s="28"/>
      <c r="N147" s="28"/>
      <c r="O147" s="3518" t="s">
        <v>2581</v>
      </c>
      <c r="P147" s="3478"/>
      <c r="Q147" s="7"/>
    </row>
    <row r="148" spans="1:17" ht="25.5" customHeight="1">
      <c r="A148" s="117"/>
      <c r="B148" s="4828"/>
      <c r="C148" s="4829"/>
      <c r="D148" s="4829"/>
      <c r="E148" s="4829"/>
      <c r="F148" s="4830"/>
      <c r="G148" s="4831"/>
      <c r="H148" s="4828"/>
      <c r="I148" s="4829"/>
      <c r="J148" s="4829"/>
      <c r="K148" s="4830"/>
      <c r="L148" s="4832"/>
      <c r="M148" s="4833"/>
      <c r="N148" s="4834"/>
      <c r="O148" s="3626"/>
      <c r="P148" s="3478">
        <f t="shared" ref="P148:P155" si="4">IF(O148&gt;0,1,0)</f>
        <v>0</v>
      </c>
      <c r="Q148" s="7"/>
    </row>
    <row r="149" spans="1:17" ht="25.5" customHeight="1">
      <c r="A149" s="117"/>
      <c r="B149" s="4828"/>
      <c r="C149" s="4829"/>
      <c r="D149" s="4829"/>
      <c r="E149" s="4829"/>
      <c r="F149" s="4830"/>
      <c r="G149" s="4831"/>
      <c r="H149" s="4828"/>
      <c r="I149" s="4829"/>
      <c r="J149" s="4829"/>
      <c r="K149" s="4830"/>
      <c r="L149" s="4832"/>
      <c r="M149" s="4833"/>
      <c r="N149" s="4834"/>
      <c r="O149" s="3626"/>
      <c r="P149" s="3478">
        <f t="shared" si="4"/>
        <v>0</v>
      </c>
      <c r="Q149" s="7"/>
    </row>
    <row r="150" spans="1:17" ht="25.5" customHeight="1">
      <c r="A150" s="117"/>
      <c r="B150" s="4828"/>
      <c r="C150" s="4829"/>
      <c r="D150" s="4829"/>
      <c r="E150" s="4829"/>
      <c r="F150" s="4830"/>
      <c r="G150" s="4831"/>
      <c r="H150" s="4828"/>
      <c r="I150" s="4829"/>
      <c r="J150" s="4829"/>
      <c r="K150" s="4830"/>
      <c r="L150" s="4832"/>
      <c r="M150" s="4833"/>
      <c r="N150" s="4834"/>
      <c r="O150" s="3626"/>
      <c r="P150" s="3478">
        <f t="shared" si="4"/>
        <v>0</v>
      </c>
      <c r="Q150" s="7"/>
    </row>
    <row r="151" spans="1:17" ht="25.5" customHeight="1">
      <c r="A151" s="117"/>
      <c r="B151" s="4828"/>
      <c r="C151" s="4829"/>
      <c r="D151" s="4829"/>
      <c r="E151" s="4829"/>
      <c r="F151" s="4830"/>
      <c r="G151" s="4831"/>
      <c r="H151" s="4828"/>
      <c r="I151" s="4829"/>
      <c r="J151" s="4829"/>
      <c r="K151" s="4830"/>
      <c r="L151" s="4832"/>
      <c r="M151" s="4833"/>
      <c r="N151" s="4834"/>
      <c r="O151" s="3626"/>
      <c r="P151" s="3478">
        <f t="shared" si="4"/>
        <v>0</v>
      </c>
      <c r="Q151" s="7"/>
    </row>
    <row r="152" spans="1:17" ht="25.5" customHeight="1">
      <c r="A152" s="117"/>
      <c r="B152" s="4828"/>
      <c r="C152" s="4829"/>
      <c r="D152" s="4829"/>
      <c r="E152" s="4829"/>
      <c r="F152" s="4830"/>
      <c r="G152" s="4831"/>
      <c r="H152" s="4828"/>
      <c r="I152" s="4829"/>
      <c r="J152" s="4829"/>
      <c r="K152" s="4830"/>
      <c r="L152" s="4832"/>
      <c r="M152" s="4833"/>
      <c r="N152" s="4834"/>
      <c r="O152" s="3626"/>
      <c r="P152" s="3478">
        <f t="shared" si="4"/>
        <v>0</v>
      </c>
      <c r="Q152" s="7"/>
    </row>
    <row r="153" spans="1:17" ht="25.5" customHeight="1">
      <c r="A153" s="117"/>
      <c r="B153" s="4828"/>
      <c r="C153" s="4829"/>
      <c r="D153" s="4829"/>
      <c r="E153" s="4829"/>
      <c r="F153" s="4830"/>
      <c r="G153" s="4831"/>
      <c r="H153" s="4828"/>
      <c r="I153" s="4829"/>
      <c r="J153" s="4829"/>
      <c r="K153" s="4830"/>
      <c r="L153" s="4832"/>
      <c r="M153" s="4833"/>
      <c r="N153" s="4834"/>
      <c r="O153" s="3626"/>
      <c r="P153" s="3478">
        <f t="shared" si="4"/>
        <v>0</v>
      </c>
      <c r="Q153" s="7"/>
    </row>
    <row r="154" spans="1:17" ht="25.5" customHeight="1">
      <c r="A154" s="117"/>
      <c r="B154" s="4828"/>
      <c r="C154" s="4829"/>
      <c r="D154" s="4829"/>
      <c r="E154" s="4829"/>
      <c r="F154" s="4830"/>
      <c r="G154" s="4831"/>
      <c r="H154" s="4828"/>
      <c r="I154" s="4829"/>
      <c r="J154" s="4829"/>
      <c r="K154" s="4830"/>
      <c r="L154" s="4832"/>
      <c r="M154" s="4833"/>
      <c r="N154" s="4834"/>
      <c r="O154" s="3626"/>
      <c r="P154" s="3478">
        <f t="shared" si="4"/>
        <v>0</v>
      </c>
      <c r="Q154" s="7"/>
    </row>
    <row r="155" spans="1:17" ht="25.5" customHeight="1">
      <c r="A155" s="117"/>
      <c r="B155" s="4828"/>
      <c r="C155" s="4829"/>
      <c r="D155" s="4829"/>
      <c r="E155" s="4829"/>
      <c r="F155" s="4830"/>
      <c r="G155" s="4831"/>
      <c r="H155" s="4828"/>
      <c r="I155" s="4829"/>
      <c r="J155" s="4829"/>
      <c r="K155" s="4830"/>
      <c r="L155" s="4832"/>
      <c r="M155" s="4833"/>
      <c r="N155" s="4834"/>
      <c r="O155" s="3626"/>
      <c r="P155" s="3478">
        <f t="shared" si="4"/>
        <v>0</v>
      </c>
      <c r="Q155" s="7"/>
    </row>
    <row r="156" spans="1:17" ht="12.75" customHeight="1">
      <c r="A156" s="117"/>
      <c r="B156" s="2133"/>
      <c r="C156" s="1057"/>
      <c r="D156" s="1057"/>
      <c r="E156" s="1057"/>
      <c r="F156" s="1057"/>
      <c r="G156" s="1057"/>
      <c r="H156" s="1057"/>
      <c r="I156" s="1057"/>
      <c r="J156" s="1057"/>
      <c r="K156" s="1057"/>
      <c r="L156" s="1057"/>
      <c r="M156" s="1057"/>
      <c r="N156" s="1057"/>
      <c r="O156" s="2133"/>
      <c r="P156" s="3478"/>
      <c r="Q156" s="7"/>
    </row>
    <row r="157" spans="1:17">
      <c r="B157" s="3596"/>
      <c r="C157" s="3597"/>
      <c r="D157" s="3597"/>
      <c r="E157" s="3597"/>
      <c r="F157" s="3597"/>
      <c r="G157" s="3597"/>
      <c r="H157" s="3597"/>
      <c r="I157" s="3597"/>
      <c r="J157" s="3597"/>
      <c r="K157" s="3597"/>
      <c r="L157" s="3597"/>
      <c r="M157" s="3597"/>
      <c r="N157" s="3597"/>
      <c r="O157" s="3596"/>
      <c r="P157" s="7"/>
      <c r="Q157" s="7"/>
    </row>
    <row r="158" spans="1:17">
      <c r="B158" s="3596"/>
      <c r="C158" s="3597"/>
      <c r="D158" s="3597"/>
      <c r="E158" s="3597"/>
      <c r="F158" s="3597"/>
      <c r="G158" s="3597"/>
      <c r="H158" s="3597"/>
      <c r="I158" s="3597"/>
      <c r="J158" s="3597"/>
      <c r="K158" s="3597"/>
      <c r="L158" s="3597"/>
      <c r="M158" s="3597"/>
      <c r="N158" s="3597"/>
      <c r="O158" s="3596"/>
      <c r="P158" s="7"/>
      <c r="Q158" s="7"/>
    </row>
    <row r="159" spans="1:17">
      <c r="B159" s="3596"/>
      <c r="C159" s="3597"/>
      <c r="D159" s="3597"/>
      <c r="E159" s="3597"/>
      <c r="F159" s="3597"/>
      <c r="G159" s="3597"/>
      <c r="H159" s="3597"/>
      <c r="I159" s="3597"/>
      <c r="J159" s="3597"/>
      <c r="K159" s="3597"/>
      <c r="L159" s="3597"/>
      <c r="M159" s="3597"/>
      <c r="N159" s="3597"/>
      <c r="O159" s="3596"/>
      <c r="P159" s="7"/>
      <c r="Q159" s="7"/>
    </row>
    <row r="160" spans="1:17" ht="13.5" thickBot="1">
      <c r="B160" s="3596"/>
      <c r="C160" s="3597"/>
      <c r="D160" s="3597"/>
      <c r="E160" s="3597"/>
      <c r="F160" s="3597"/>
      <c r="G160" s="3597"/>
      <c r="H160" s="3597"/>
      <c r="I160" s="3597"/>
      <c r="J160" s="3597"/>
      <c r="K160" s="3597"/>
      <c r="L160" s="3597"/>
      <c r="M160" s="3597"/>
      <c r="N160" s="3597"/>
      <c r="O160" s="3596"/>
      <c r="P160" s="7"/>
      <c r="Q160" s="7"/>
    </row>
    <row r="161" spans="2:17" ht="14.25" thickTop="1" thickBot="1">
      <c r="B161" s="3596"/>
      <c r="C161" s="4841" t="s">
        <v>2623</v>
      </c>
      <c r="D161" s="4842"/>
      <c r="E161" s="4842"/>
      <c r="F161" s="4842"/>
      <c r="G161" s="4842"/>
      <c r="H161" s="4842"/>
      <c r="I161" s="4843"/>
      <c r="J161" s="3597"/>
      <c r="K161" s="3597"/>
      <c r="L161" s="3597"/>
      <c r="M161" s="3597"/>
      <c r="N161" s="3597"/>
      <c r="O161" s="3596"/>
      <c r="P161" s="7"/>
      <c r="Q161" s="7"/>
    </row>
    <row r="162" spans="2:17" ht="14.25" thickTop="1" thickBot="1">
      <c r="B162" s="3596"/>
      <c r="C162" s="3597"/>
      <c r="D162" s="3597"/>
      <c r="E162" s="3597"/>
      <c r="F162" s="3597"/>
      <c r="G162" s="3597"/>
      <c r="H162" s="3597"/>
      <c r="I162" s="3597"/>
      <c r="J162" s="3597"/>
      <c r="K162" s="3597"/>
      <c r="L162" s="3597"/>
      <c r="M162" s="3597"/>
      <c r="N162" s="3597"/>
      <c r="O162" s="3596"/>
      <c r="P162" s="7"/>
      <c r="Q162" s="7"/>
    </row>
    <row r="163" spans="2:17" ht="14.25" thickTop="1" thickBot="1">
      <c r="B163" s="3596"/>
      <c r="C163" s="4841" t="s">
        <v>2624</v>
      </c>
      <c r="D163" s="4842"/>
      <c r="E163" s="4842"/>
      <c r="F163" s="4842"/>
      <c r="G163" s="4842"/>
      <c r="H163" s="4842"/>
      <c r="I163" s="4843"/>
      <c r="J163" s="3597"/>
      <c r="K163" s="3597"/>
      <c r="L163" s="3597"/>
      <c r="M163" s="3597"/>
      <c r="N163" s="3597"/>
      <c r="O163" s="3596"/>
      <c r="P163" s="7"/>
      <c r="Q163" s="7"/>
    </row>
    <row r="164" spans="2:17" ht="13.5" thickTop="1"/>
  </sheetData>
  <mergeCells count="94">
    <mergeCell ref="S106:W110"/>
    <mergeCell ref="F2:L3"/>
    <mergeCell ref="F4:L4"/>
    <mergeCell ref="F5:L5"/>
    <mergeCell ref="F6:L6"/>
    <mergeCell ref="M2:N6"/>
    <mergeCell ref="J22:K23"/>
    <mergeCell ref="B16:F17"/>
    <mergeCell ref="G16:K16"/>
    <mergeCell ref="L16:N17"/>
    <mergeCell ref="B32:F32"/>
    <mergeCell ref="G32:K32"/>
    <mergeCell ref="L32:N32"/>
    <mergeCell ref="O16:O17"/>
    <mergeCell ref="S75:V93"/>
    <mergeCell ref="B8:M8"/>
    <mergeCell ref="C3:E4"/>
    <mergeCell ref="O3:O4"/>
    <mergeCell ref="B3:B4"/>
    <mergeCell ref="C161:I161"/>
    <mergeCell ref="C163:I163"/>
    <mergeCell ref="B154:F154"/>
    <mergeCell ref="G154:K154"/>
    <mergeCell ref="L154:N154"/>
    <mergeCell ref="B155:F155"/>
    <mergeCell ref="G155:K155"/>
    <mergeCell ref="L155:N155"/>
    <mergeCell ref="B152:F152"/>
    <mergeCell ref="G152:K152"/>
    <mergeCell ref="L152:N152"/>
    <mergeCell ref="B153:F153"/>
    <mergeCell ref="G153:K153"/>
    <mergeCell ref="L153:N153"/>
    <mergeCell ref="B150:F150"/>
    <mergeCell ref="G150:K150"/>
    <mergeCell ref="L150:N150"/>
    <mergeCell ref="B151:F151"/>
    <mergeCell ref="G151:K151"/>
    <mergeCell ref="L151:N151"/>
    <mergeCell ref="B140:F141"/>
    <mergeCell ref="G140:K140"/>
    <mergeCell ref="L140:N141"/>
    <mergeCell ref="G141:K141"/>
    <mergeCell ref="B149:F149"/>
    <mergeCell ref="G149:K149"/>
    <mergeCell ref="L149:N149"/>
    <mergeCell ref="B148:F148"/>
    <mergeCell ref="G148:K148"/>
    <mergeCell ref="L148:N148"/>
    <mergeCell ref="G137:K137"/>
    <mergeCell ref="B138:F139"/>
    <mergeCell ref="G138:K138"/>
    <mergeCell ref="L138:N139"/>
    <mergeCell ref="G139:K139"/>
    <mergeCell ref="B136:F137"/>
    <mergeCell ref="G136:K136"/>
    <mergeCell ref="L136:N137"/>
    <mergeCell ref="B134:F135"/>
    <mergeCell ref="G134:K134"/>
    <mergeCell ref="L134:N135"/>
    <mergeCell ref="G135:K135"/>
    <mergeCell ref="B132:F133"/>
    <mergeCell ref="G132:K132"/>
    <mergeCell ref="L132:N133"/>
    <mergeCell ref="G133:K133"/>
    <mergeCell ref="B130:F131"/>
    <mergeCell ref="G130:K130"/>
    <mergeCell ref="L130:N131"/>
    <mergeCell ref="G131:K131"/>
    <mergeCell ref="B128:F129"/>
    <mergeCell ref="G128:K128"/>
    <mergeCell ref="L128:N129"/>
    <mergeCell ref="G129:K129"/>
    <mergeCell ref="G116:N116"/>
    <mergeCell ref="O116:O117"/>
    <mergeCell ref="G117:N117"/>
    <mergeCell ref="C116:E117"/>
    <mergeCell ref="B126:F127"/>
    <mergeCell ref="G126:K126"/>
    <mergeCell ref="L126:N127"/>
    <mergeCell ref="G127:K127"/>
    <mergeCell ref="N8:O8"/>
    <mergeCell ref="B14:F15"/>
    <mergeCell ref="G14:K14"/>
    <mergeCell ref="L14:N15"/>
    <mergeCell ref="O14:O15"/>
    <mergeCell ref="G15:K15"/>
    <mergeCell ref="G17:K17"/>
    <mergeCell ref="F21:I21"/>
    <mergeCell ref="B31:F31"/>
    <mergeCell ref="G31:K31"/>
    <mergeCell ref="L31:N31"/>
    <mergeCell ref="F19:I20"/>
    <mergeCell ref="L28:N30"/>
  </mergeCells>
  <conditionalFormatting sqref="B8:M8">
    <cfRule type="expression" dxfId="582" priority="55">
      <formula>IF(NoColor,1,0)</formula>
    </cfRule>
  </conditionalFormatting>
  <conditionalFormatting sqref="N8:O8">
    <cfRule type="expression" dxfId="581" priority="54">
      <formula>IF(NoColor,1,0)</formula>
    </cfRule>
  </conditionalFormatting>
  <conditionalFormatting sqref="B14:O17">
    <cfRule type="expression" dxfId="580" priority="53">
      <formula>IF(NoColor,1,0)</formula>
    </cfRule>
  </conditionalFormatting>
  <conditionalFormatting sqref="L19">
    <cfRule type="expression" dxfId="579" priority="52">
      <formula>IF(NoColor,1,0)</formula>
    </cfRule>
  </conditionalFormatting>
  <conditionalFormatting sqref="B31:O32">
    <cfRule type="expression" dxfId="578" priority="51">
      <formula>IF(NoColor,1,0)</formula>
    </cfRule>
  </conditionalFormatting>
  <conditionalFormatting sqref="O35">
    <cfRule type="expression" dxfId="577" priority="50">
      <formula>IF(NoColor,1,0)</formula>
    </cfRule>
  </conditionalFormatting>
  <conditionalFormatting sqref="O36">
    <cfRule type="expression" dxfId="576" priority="49">
      <formula>IF(NoColor,1,0)</formula>
    </cfRule>
  </conditionalFormatting>
  <conditionalFormatting sqref="O39">
    <cfRule type="expression" dxfId="575" priority="48">
      <formula>IF(NoColor,1,0)</formula>
    </cfRule>
  </conditionalFormatting>
  <conditionalFormatting sqref="O49">
    <cfRule type="expression" dxfId="574" priority="47">
      <formula>IF(NoColor,1,0)</formula>
    </cfRule>
  </conditionalFormatting>
  <conditionalFormatting sqref="O38">
    <cfRule type="expression" dxfId="573" priority="46">
      <formula>IF(NoColor,1,0)</formula>
    </cfRule>
  </conditionalFormatting>
  <conditionalFormatting sqref="Q37">
    <cfRule type="expression" dxfId="572" priority="43">
      <formula>IF(File_Marr_Joint&lt;&gt;"",1,0)</formula>
    </cfRule>
  </conditionalFormatting>
  <conditionalFormatting sqref="M40">
    <cfRule type="expression" dxfId="571" priority="42">
      <formula>IF(NoColor,1,0)</formula>
    </cfRule>
  </conditionalFormatting>
  <conditionalFormatting sqref="O55">
    <cfRule type="expression" dxfId="570" priority="41">
      <formula>IF(NoColor,1,0)</formula>
    </cfRule>
  </conditionalFormatting>
  <conditionalFormatting sqref="M57">
    <cfRule type="expression" dxfId="569" priority="40">
      <formula>IF(NoColor,1,0)</formula>
    </cfRule>
  </conditionalFormatting>
  <conditionalFormatting sqref="O59">
    <cfRule type="expression" dxfId="568" priority="39">
      <formula>IF(NoColor,1,0)</formula>
    </cfRule>
  </conditionalFormatting>
  <conditionalFormatting sqref="L21">
    <cfRule type="expression" dxfId="567" priority="38">
      <formula>IF(NoColor,1,0)</formula>
    </cfRule>
  </conditionalFormatting>
  <conditionalFormatting sqref="O67">
    <cfRule type="expression" dxfId="566" priority="37">
      <formula>IF(NoColor,1,0)</formula>
    </cfRule>
  </conditionalFormatting>
  <conditionalFormatting sqref="O71">
    <cfRule type="expression" dxfId="565" priority="34">
      <formula>IF(NoColor,1,0)</formula>
    </cfRule>
  </conditionalFormatting>
  <conditionalFormatting sqref="O126:O141">
    <cfRule type="expression" dxfId="564" priority="32">
      <formula>IF(NoColor,1,0)</formula>
    </cfRule>
  </conditionalFormatting>
  <conditionalFormatting sqref="O148:O155">
    <cfRule type="expression" dxfId="563" priority="31">
      <formula>IF(NoColor,1,0)</formula>
    </cfRule>
  </conditionalFormatting>
  <conditionalFormatting sqref="M74">
    <cfRule type="expression" dxfId="562" priority="30">
      <formula>IF(NoColor,1,0)</formula>
    </cfRule>
  </conditionalFormatting>
  <conditionalFormatting sqref="M75">
    <cfRule type="expression" dxfId="561" priority="29">
      <formula>IF(NoColor,1,0)</formula>
    </cfRule>
  </conditionalFormatting>
  <conditionalFormatting sqref="M81">
    <cfRule type="expression" dxfId="560" priority="28">
      <formula>IF(NoColor,1,0)</formula>
    </cfRule>
  </conditionalFormatting>
  <conditionalFormatting sqref="S75:V93">
    <cfRule type="expression" dxfId="559" priority="27">
      <formula>IF(AND($L$19="",$L$21&lt;&gt;"",$S$72="",$S$73="",File_Marr_Sep&lt;&gt;""),1,0)</formula>
    </cfRule>
  </conditionalFormatting>
  <conditionalFormatting sqref="S72:S73">
    <cfRule type="expression" dxfId="558" priority="26">
      <formula>IF(AND($L$19="",$L$21&lt;&gt;"",$S$72="",$S$73="",File_Marr_Sep&lt;&gt;""),1,0)</formula>
    </cfRule>
  </conditionalFormatting>
  <conditionalFormatting sqref="T72:T73">
    <cfRule type="expression" dxfId="557" priority="25">
      <formula>IF(AND($L$19="",$L$21&lt;&gt;"",$S$72="",$S$73="",File_Marr_Sep&lt;&gt;""),1,0)</formula>
    </cfRule>
  </conditionalFormatting>
  <conditionalFormatting sqref="M85">
    <cfRule type="expression" dxfId="556" priority="24">
      <formula>IF(NoColor,1,0)</formula>
    </cfRule>
  </conditionalFormatting>
  <conditionalFormatting sqref="M87">
    <cfRule type="expression" dxfId="555" priority="23">
      <formula>IF(NoColor,1,0)</formula>
    </cfRule>
  </conditionalFormatting>
  <conditionalFormatting sqref="C89">
    <cfRule type="expression" dxfId="554" priority="22">
      <formula>IF(NoColor,1,0)</formula>
    </cfRule>
  </conditionalFormatting>
  <conditionalFormatting sqref="C90">
    <cfRule type="expression" dxfId="553" priority="21">
      <formula>IF(NoColor,1,0)</formula>
    </cfRule>
  </conditionalFormatting>
  <conditionalFormatting sqref="O90">
    <cfRule type="expression" dxfId="552" priority="20">
      <formula>IF(NoColor,1,0)</formula>
    </cfRule>
  </conditionalFormatting>
  <conditionalFormatting sqref="Q90">
    <cfRule type="expression" dxfId="551" priority="19">
      <formula>IF(C90&lt;&gt;"",1,0)</formula>
    </cfRule>
  </conditionalFormatting>
  <conditionalFormatting sqref="Q88">
    <cfRule type="expression" dxfId="550" priority="18">
      <formula>IF(C90&lt;&gt;"",1,0)</formula>
    </cfRule>
  </conditionalFormatting>
  <conditionalFormatting sqref="Q89">
    <cfRule type="expression" dxfId="549" priority="17">
      <formula>IF(C90&lt;&gt;"",1,0)</formula>
    </cfRule>
  </conditionalFormatting>
  <conditionalFormatting sqref="M91">
    <cfRule type="expression" dxfId="548" priority="16">
      <formula>IF(NoColor,1,0)</formula>
    </cfRule>
  </conditionalFormatting>
  <conditionalFormatting sqref="O93">
    <cfRule type="expression" dxfId="547" priority="15">
      <formula>IF(NoColor,1,0)</formula>
    </cfRule>
  </conditionalFormatting>
  <conditionalFormatting sqref="O96">
    <cfRule type="expression" dxfId="546" priority="14">
      <formula>IF(NoColor,1,0)</formula>
    </cfRule>
  </conditionalFormatting>
  <conditionalFormatting sqref="O101">
    <cfRule type="expression" dxfId="545" priority="13">
      <formula>IF(NoColor,1,0)</formula>
    </cfRule>
  </conditionalFormatting>
  <conditionalFormatting sqref="O69">
    <cfRule type="expression" dxfId="544" priority="12">
      <formula>IF(NoColor,1,0)</formula>
    </cfRule>
  </conditionalFormatting>
  <conditionalFormatting sqref="O70">
    <cfRule type="expression" dxfId="543" priority="11">
      <formula>IF(NoColor,1,0)</formula>
    </cfRule>
  </conditionalFormatting>
  <conditionalFormatting sqref="O106">
    <cfRule type="expression" dxfId="542" priority="10">
      <formula>IF(NoColor,1,0)</formula>
    </cfRule>
  </conditionalFormatting>
  <conditionalFormatting sqref="O107">
    <cfRule type="expression" dxfId="541" priority="9">
      <formula>IF(NoColor,1,0)</formula>
    </cfRule>
  </conditionalFormatting>
  <conditionalFormatting sqref="O109">
    <cfRule type="expression" dxfId="540" priority="8">
      <formula>IF(NoColor,1,0)</formula>
    </cfRule>
  </conditionalFormatting>
  <conditionalFormatting sqref="O75:O83">
    <cfRule type="expression" dxfId="539" priority="6">
      <formula>IF(AND($L$19="",$L$21&lt;&gt;"",$S$72="",$S$73="",File_Marr_Sep&lt;&gt;""),1,0)</formula>
    </cfRule>
  </conditionalFormatting>
  <conditionalFormatting sqref="O111">
    <cfRule type="expression" dxfId="538" priority="5">
      <formula>IF(NoColor,1,0)</formula>
    </cfRule>
  </conditionalFormatting>
  <conditionalFormatting sqref="O113">
    <cfRule type="expression" dxfId="537" priority="4">
      <formula>IF(NoColor,1,0)</formula>
    </cfRule>
  </conditionalFormatting>
  <conditionalFormatting sqref="M73">
    <cfRule type="expression" dxfId="536" priority="1">
      <formula>IF(NoColor,1,0)</formula>
    </cfRule>
  </conditionalFormatting>
  <hyperlinks>
    <hyperlink ref="C161:I161" r:id="rId1" display="Download Form 2441"/>
    <hyperlink ref="C163:I163" r:id="rId2" display="Download Form 2441 Instructions"/>
  </hyperlinks>
  <pageMargins left="0.5" right="0.25" top="0.36" bottom="0.28999999999999998" header="0.36" footer="0.21"/>
  <pageSetup scale="86" fitToHeight="0" orientation="portrait" horizontalDpi="4294967293" verticalDpi="4294967293" r:id="rId3"/>
  <headerFooter alignWithMargins="0"/>
  <rowBreaks count="2" manualBreakCount="2">
    <brk id="59" min="1" max="12" man="1"/>
    <brk id="114" min="1" max="12" man="1"/>
  </rowBreaks>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I165"/>
  <sheetViews>
    <sheetView zoomScaleNormal="100" zoomScaleSheetLayoutView="100" workbookViewId="0">
      <selection activeCell="M17" sqref="M17"/>
    </sheetView>
  </sheetViews>
  <sheetFormatPr defaultRowHeight="12.75"/>
  <cols>
    <col min="1" max="1" width="2.42578125" style="68" customWidth="1"/>
    <col min="2" max="2" width="7.85546875" customWidth="1"/>
    <col min="3" max="3" width="3.140625" customWidth="1"/>
    <col min="4" max="4" width="9.7109375" customWidth="1"/>
    <col min="5" max="5" width="9.42578125" customWidth="1"/>
    <col min="6" max="6" width="20.7109375" customWidth="1"/>
    <col min="7" max="7" width="12" customWidth="1"/>
    <col min="8" max="8" width="6.85546875" customWidth="1"/>
    <col min="9" max="9" width="12.140625" customWidth="1"/>
    <col min="10" max="10" width="4" customWidth="1"/>
    <col min="11" max="11" width="13" customWidth="1"/>
    <col min="12" max="12" width="3.7109375" customWidth="1"/>
    <col min="13" max="13" width="14.140625" customWidth="1"/>
    <col min="14" max="14" width="2.5703125" customWidth="1"/>
    <col min="15" max="15" width="3.85546875" customWidth="1"/>
    <col min="16" max="16" width="29.42578125" customWidth="1"/>
    <col min="17" max="17" width="3.5703125" customWidth="1"/>
    <col min="18" max="18" width="11.42578125" style="978" customWidth="1"/>
    <col min="19" max="19" width="2.85546875" style="978" customWidth="1"/>
    <col min="20" max="20" width="2.7109375" style="978" customWidth="1"/>
    <col min="21" max="21" width="2.7109375" style="358" customWidth="1"/>
    <col min="22" max="22" width="6" customWidth="1"/>
    <col min="23" max="23" width="17.42578125" customWidth="1"/>
    <col min="24" max="24" width="31.140625" customWidth="1"/>
    <col min="25" max="25" width="6.28515625" customWidth="1"/>
    <col min="26" max="26" width="3.42578125" customWidth="1"/>
    <col min="27" max="27" width="11" customWidth="1"/>
    <col min="28" max="28" width="4.42578125" customWidth="1"/>
    <col min="29" max="29" width="12.28515625" customWidth="1"/>
    <col min="30" max="31" width="4" customWidth="1"/>
    <col min="32" max="32" width="9.140625" style="978"/>
    <col min="33" max="33" width="9.140625" style="3298" customWidth="1"/>
    <col min="34" max="34" width="2.5703125" customWidth="1"/>
    <col min="35" max="36" width="9.140625" customWidth="1"/>
  </cols>
  <sheetData>
    <row r="1" spans="1:33" ht="17.25" customHeight="1" thickBot="1">
      <c r="A1" s="1542"/>
      <c r="B1" s="1540"/>
      <c r="C1" s="1540"/>
      <c r="D1" s="1540"/>
      <c r="E1" s="1540"/>
      <c r="F1" s="1540"/>
      <c r="G1" s="1540"/>
      <c r="H1" s="1540"/>
      <c r="I1" s="1540"/>
      <c r="J1" s="1540"/>
      <c r="K1" s="1540"/>
      <c r="L1" s="1541"/>
      <c r="M1" s="942"/>
      <c r="N1" s="942"/>
      <c r="U1" s="3246"/>
    </row>
    <row r="2" spans="1:33" ht="16.5" customHeight="1" thickBot="1">
      <c r="A2" s="1542"/>
      <c r="B2" s="1541"/>
      <c r="C2" s="1540"/>
      <c r="D2" s="1540"/>
      <c r="E2" s="1540"/>
      <c r="F2" s="1540"/>
      <c r="G2" s="1541"/>
      <c r="H2" s="1540"/>
      <c r="I2" s="1540"/>
      <c r="J2" s="1540"/>
      <c r="K2" s="1541"/>
      <c r="L2" s="3327" t="s">
        <v>2336</v>
      </c>
      <c r="M2" s="3328" t="str">
        <f>IF(P2,"Yes","No")</f>
        <v>No</v>
      </c>
      <c r="N2" s="1023"/>
      <c r="P2" s="2797" t="b">
        <f>IF(AND(U40="X",OR(U59="X",U69="X")),TRUE,FALSE)</f>
        <v>0</v>
      </c>
      <c r="U2" s="3246"/>
    </row>
    <row r="3" spans="1:33" ht="6" customHeight="1">
      <c r="A3" s="1543"/>
      <c r="B3" s="1465"/>
      <c r="C3" s="942"/>
      <c r="D3" s="942"/>
      <c r="E3" s="942"/>
      <c r="F3" s="942"/>
      <c r="G3" s="1404"/>
      <c r="H3" s="942"/>
      <c r="I3" s="942"/>
      <c r="J3" s="942"/>
      <c r="K3" s="1023"/>
      <c r="L3" s="1023"/>
      <c r="M3" s="1023"/>
      <c r="N3" s="1023"/>
      <c r="O3" s="401"/>
      <c r="U3" s="3246"/>
    </row>
    <row r="4" spans="1:33" ht="13.5" thickBot="1">
      <c r="A4" s="117"/>
      <c r="B4" s="37"/>
      <c r="C4" s="37"/>
      <c r="D4" s="140"/>
      <c r="E4" s="46"/>
      <c r="F4" s="37"/>
      <c r="G4" s="37"/>
      <c r="H4" s="37"/>
      <c r="I4" s="37"/>
      <c r="J4" s="37"/>
      <c r="K4" s="37"/>
      <c r="L4" s="4293" t="s">
        <v>146</v>
      </c>
      <c r="M4" s="4887"/>
      <c r="N4" s="1023"/>
      <c r="O4" s="1504"/>
    </row>
    <row r="5" spans="1:33" ht="20.25" customHeight="1">
      <c r="A5" s="117"/>
      <c r="B5" s="4840" t="s">
        <v>499</v>
      </c>
      <c r="C5" s="4875">
        <v>6251</v>
      </c>
      <c r="D5" s="4876"/>
      <c r="E5" s="4906" t="s">
        <v>464</v>
      </c>
      <c r="F5" s="4907"/>
      <c r="G5" s="4907"/>
      <c r="H5" s="4907"/>
      <c r="I5" s="4907"/>
      <c r="J5" s="4907"/>
      <c r="K5" s="4908"/>
      <c r="L5" s="4182">
        <f>TaxYear</f>
        <v>2014</v>
      </c>
      <c r="M5" s="4888"/>
      <c r="N5" s="1059"/>
      <c r="O5" s="338"/>
      <c r="P5" s="38" t="s">
        <v>152</v>
      </c>
      <c r="Q5" s="423"/>
      <c r="R5" s="1402"/>
      <c r="S5" s="3300" t="s">
        <v>2307</v>
      </c>
      <c r="T5" s="3329"/>
      <c r="U5" s="3330"/>
      <c r="V5" s="3301"/>
      <c r="W5" s="3301"/>
      <c r="X5" s="3302"/>
      <c r="Y5" s="3302"/>
      <c r="Z5" s="3302"/>
      <c r="AA5" s="3302"/>
      <c r="AB5" s="3302"/>
      <c r="AC5" s="3302"/>
      <c r="AD5" s="3302"/>
      <c r="AE5" s="3302"/>
      <c r="AF5" s="3303"/>
    </row>
    <row r="6" spans="1:33" ht="14.25" customHeight="1">
      <c r="A6" s="117"/>
      <c r="B6" s="4273"/>
      <c r="C6" s="4877"/>
      <c r="D6" s="4878"/>
      <c r="E6" s="4897"/>
      <c r="F6" s="4898"/>
      <c r="G6" s="4898"/>
      <c r="H6" s="4898"/>
      <c r="I6" s="4898"/>
      <c r="J6" s="4898"/>
      <c r="K6" s="4899"/>
      <c r="L6" s="4889"/>
      <c r="M6" s="4890"/>
      <c r="N6" s="1060"/>
      <c r="O6" s="339"/>
      <c r="P6" s="38" t="s">
        <v>706</v>
      </c>
      <c r="Q6" s="371"/>
      <c r="R6" s="346"/>
      <c r="S6" s="3331"/>
      <c r="T6" s="3332"/>
      <c r="U6" s="3333"/>
      <c r="V6" s="3046"/>
      <c r="W6" s="3046"/>
      <c r="X6" s="3046"/>
      <c r="Y6" s="3046"/>
      <c r="Z6" s="3046"/>
      <c r="AA6" s="3046"/>
      <c r="AB6" s="3046"/>
      <c r="AC6" s="3046"/>
      <c r="AD6" s="3046"/>
      <c r="AE6" s="3046"/>
      <c r="AF6" s="3334"/>
    </row>
    <row r="7" spans="1:33" ht="12.75" customHeight="1">
      <c r="A7" s="117"/>
      <c r="B7" s="4913" t="s">
        <v>303</v>
      </c>
      <c r="C7" s="4914"/>
      <c r="D7" s="4915"/>
      <c r="E7" s="4897" t="s">
        <v>1568</v>
      </c>
      <c r="F7" s="4898"/>
      <c r="G7" s="4898"/>
      <c r="H7" s="4898"/>
      <c r="I7" s="4898"/>
      <c r="J7" s="4898"/>
      <c r="K7" s="4899"/>
      <c r="L7" s="4893" t="s">
        <v>517</v>
      </c>
      <c r="M7" s="4387"/>
      <c r="N7" s="1059"/>
      <c r="O7" s="338"/>
      <c r="P7" s="909"/>
      <c r="Q7" s="371"/>
      <c r="R7" s="1305"/>
      <c r="S7" s="3335"/>
      <c r="T7" s="3332"/>
      <c r="U7" s="3336" t="s">
        <v>362</v>
      </c>
      <c r="V7" s="3046"/>
      <c r="W7" s="3336"/>
      <c r="X7" s="3337" t="s">
        <v>2331</v>
      </c>
      <c r="Y7" s="3046"/>
      <c r="Z7" s="3046"/>
      <c r="AA7" s="3046"/>
      <c r="AB7" s="3046"/>
      <c r="AC7" s="3046"/>
      <c r="AD7" s="3046"/>
      <c r="AE7" s="3046"/>
      <c r="AF7" s="3334"/>
    </row>
    <row r="8" spans="1:33" ht="12.75" customHeight="1" thickBot="1">
      <c r="A8" s="117"/>
      <c r="B8" s="4916" t="s">
        <v>378</v>
      </c>
      <c r="C8" s="4917"/>
      <c r="D8" s="4918"/>
      <c r="E8" s="4894" t="s">
        <v>735</v>
      </c>
      <c r="F8" s="4895"/>
      <c r="G8" s="4895"/>
      <c r="H8" s="4895"/>
      <c r="I8" s="4895"/>
      <c r="J8" s="4895"/>
      <c r="K8" s="4896"/>
      <c r="L8" s="4885" t="s">
        <v>465</v>
      </c>
      <c r="M8" s="4886"/>
      <c r="N8" s="1060"/>
      <c r="O8" s="339"/>
      <c r="P8" s="1677" t="s">
        <v>1056</v>
      </c>
      <c r="Q8" s="423"/>
      <c r="R8" s="1305"/>
      <c r="S8" s="3331"/>
      <c r="T8" s="3332"/>
      <c r="U8" s="3333"/>
      <c r="V8" s="3046"/>
      <c r="W8" s="3338"/>
      <c r="X8" s="3339" t="s">
        <v>2332</v>
      </c>
      <c r="Y8" s="3046"/>
      <c r="Z8" s="3046"/>
      <c r="AA8" s="3046"/>
      <c r="AB8" s="3046"/>
      <c r="AC8" s="3046"/>
      <c r="AD8" s="3046"/>
      <c r="AE8" s="3046"/>
      <c r="AF8" s="3334"/>
    </row>
    <row r="9" spans="1:33" ht="11.25" customHeight="1">
      <c r="A9" s="117"/>
      <c r="B9" s="34" t="s">
        <v>736</v>
      </c>
      <c r="C9" s="231"/>
      <c r="D9" s="231"/>
      <c r="E9" s="196"/>
      <c r="F9" s="198"/>
      <c r="G9" s="212"/>
      <c r="H9" s="198"/>
      <c r="I9" s="198"/>
      <c r="J9" s="198"/>
      <c r="K9" s="4912" t="s">
        <v>151</v>
      </c>
      <c r="L9" s="4413"/>
      <c r="M9" s="4413"/>
      <c r="N9" s="1059"/>
      <c r="O9" s="338"/>
      <c r="P9" s="1677" t="s">
        <v>1055</v>
      </c>
      <c r="Q9" s="423"/>
      <c r="R9" s="345"/>
      <c r="S9" s="3304"/>
      <c r="T9" s="3305"/>
      <c r="U9" s="3306" t="s">
        <v>506</v>
      </c>
      <c r="V9" s="3307" t="s">
        <v>2308</v>
      </c>
      <c r="W9" s="3305"/>
      <c r="X9" s="3305"/>
      <c r="Y9" s="3305"/>
      <c r="Z9" s="3305"/>
      <c r="AA9" s="3305"/>
      <c r="AB9" s="3305"/>
      <c r="AC9" s="3305"/>
      <c r="AD9" s="3305"/>
      <c r="AE9" s="3046"/>
      <c r="AF9" s="3334"/>
    </row>
    <row r="10" spans="1:33" ht="14.25" customHeight="1" thickBot="1">
      <c r="A10" s="117"/>
      <c r="B10" s="4879" t="str">
        <f>Names</f>
        <v/>
      </c>
      <c r="C10" s="4880"/>
      <c r="D10" s="4880"/>
      <c r="E10" s="4880"/>
      <c r="F10" s="4880"/>
      <c r="G10" s="4880"/>
      <c r="H10" s="4880"/>
      <c r="I10" s="4880"/>
      <c r="J10" s="4881"/>
      <c r="K10" s="4290">
        <f>SS_Yours</f>
        <v>0</v>
      </c>
      <c r="L10" s="4909"/>
      <c r="M10" s="4909"/>
      <c r="N10" s="1060"/>
      <c r="O10" s="339"/>
      <c r="P10" s="610" t="str">
        <f>Deduction</f>
        <v>Filing status?</v>
      </c>
      <c r="Q10" s="423"/>
      <c r="R10" s="345"/>
      <c r="S10" s="3304"/>
      <c r="T10" s="3305"/>
      <c r="U10" s="3305"/>
      <c r="V10" s="3307"/>
      <c r="W10" s="3305"/>
      <c r="X10" s="3305"/>
      <c r="Y10" s="3305"/>
      <c r="Z10" s="3305"/>
      <c r="AA10" s="3305"/>
      <c r="AB10" s="3305"/>
      <c r="AC10" s="3305"/>
      <c r="AD10" s="3305"/>
      <c r="AE10" s="3308"/>
      <c r="AF10" s="3334"/>
    </row>
    <row r="11" spans="1:33" ht="16.5" thickBot="1">
      <c r="A11" s="117"/>
      <c r="B11" s="1095" t="s">
        <v>558</v>
      </c>
      <c r="C11" s="4891" t="s">
        <v>329</v>
      </c>
      <c r="D11" s="4891"/>
      <c r="E11" s="4892"/>
      <c r="F11" s="4892"/>
      <c r="G11" s="4892"/>
      <c r="H11" s="4892"/>
      <c r="I11" s="4892"/>
      <c r="J11" s="4892"/>
      <c r="K11" s="4892"/>
      <c r="L11" s="4892"/>
      <c r="M11" s="4892"/>
      <c r="N11" s="1061"/>
      <c r="O11" s="912"/>
      <c r="P11" s="1080"/>
      <c r="Q11" s="423"/>
      <c r="R11" s="11"/>
      <c r="S11" s="3304"/>
      <c r="T11" s="3305"/>
      <c r="U11" s="3341" t="str">
        <f>IF(SchA_Filed,"","X")</f>
        <v>X</v>
      </c>
      <c r="V11" s="3307" t="s">
        <v>711</v>
      </c>
      <c r="W11" s="3307" t="s">
        <v>2309</v>
      </c>
      <c r="X11" s="3305"/>
      <c r="Y11" s="3305"/>
      <c r="Z11" s="3305"/>
      <c r="AA11" s="3305"/>
      <c r="AB11" s="3305"/>
      <c r="AC11" s="3323" t="str">
        <f>IF(U11="X","Go to Line 5.","")</f>
        <v>Go to Line 5.</v>
      </c>
      <c r="AD11" s="3305"/>
      <c r="AE11" s="3308"/>
      <c r="AF11" s="3334"/>
    </row>
    <row r="12" spans="1:33" ht="12" customHeight="1" thickBot="1">
      <c r="A12" s="117"/>
      <c r="B12" s="246">
        <v>1</v>
      </c>
      <c r="C12" s="535" t="s">
        <v>1569</v>
      </c>
      <c r="D12" s="535"/>
      <c r="E12" s="307"/>
      <c r="F12" s="307"/>
      <c r="G12" s="308"/>
      <c r="H12" s="308"/>
      <c r="I12" s="308"/>
      <c r="J12" s="308"/>
      <c r="K12" s="311"/>
      <c r="L12" s="301"/>
      <c r="M12" s="817"/>
      <c r="N12" s="1062"/>
      <c r="O12" s="2951" t="b">
        <f>IF(SchA_Filed,TRUE,FALSE)</f>
        <v>0</v>
      </c>
      <c r="P12" s="931" t="str">
        <f>IF(O12,"","Go to Line 7.")</f>
        <v>Go to Line 7.</v>
      </c>
      <c r="Q12" s="651"/>
      <c r="R12" s="349"/>
      <c r="S12" s="3304"/>
      <c r="T12" s="3305"/>
      <c r="U12" s="3305"/>
      <c r="V12" s="3307"/>
      <c r="W12" s="3305"/>
      <c r="X12" s="3305"/>
      <c r="Y12" s="3305"/>
      <c r="Z12" s="3305"/>
      <c r="AA12" s="3305"/>
      <c r="AB12" s="3305"/>
      <c r="AC12" s="3305"/>
      <c r="AD12" s="3305"/>
      <c r="AE12" s="3046"/>
      <c r="AF12" s="3334"/>
    </row>
    <row r="13" spans="1:33" ht="12" customHeight="1" thickBot="1">
      <c r="A13" s="117"/>
      <c r="B13" s="246"/>
      <c r="C13" s="535" t="s">
        <v>1570</v>
      </c>
      <c r="D13" s="535"/>
      <c r="E13" s="307"/>
      <c r="F13" s="307"/>
      <c r="G13" s="308"/>
      <c r="H13" s="308"/>
      <c r="I13" s="308"/>
      <c r="J13" s="308"/>
      <c r="K13" s="311"/>
      <c r="L13" s="333">
        <f>B12</f>
        <v>1</v>
      </c>
      <c r="M13" s="3018">
        <f>IF(P13&lt;&gt;"",P13,IF(ItemizedDeduct,F1040_Line41,Adj_Gross_Inc))</f>
        <v>0</v>
      </c>
      <c r="N13" s="1062"/>
      <c r="O13" s="342"/>
      <c r="P13" s="676"/>
      <c r="Q13" s="651"/>
      <c r="R13" s="349"/>
      <c r="S13" s="3304"/>
      <c r="T13" s="3305"/>
      <c r="U13" s="3341" t="str">
        <f>IF(SchA_Filed,"X","")</f>
        <v/>
      </c>
      <c r="V13" s="3307" t="s">
        <v>713</v>
      </c>
      <c r="W13" s="3307" t="s">
        <v>2310</v>
      </c>
      <c r="X13" s="3305"/>
      <c r="Y13" s="3305"/>
      <c r="Z13" s="3305"/>
      <c r="AA13" s="3305"/>
      <c r="AB13" s="3305"/>
      <c r="AC13" s="3248" t="str">
        <f>IF(U13="X",F1040_Line41,"")</f>
        <v/>
      </c>
      <c r="AD13" s="3305"/>
      <c r="AE13" s="3046"/>
      <c r="AF13" s="3334"/>
    </row>
    <row r="14" spans="1:33" ht="12" customHeight="1">
      <c r="A14" s="117"/>
      <c r="B14" s="246">
        <f>B12+1</f>
        <v>2</v>
      </c>
      <c r="C14" s="535" t="s">
        <v>1730</v>
      </c>
      <c r="D14" s="535"/>
      <c r="E14" s="307"/>
      <c r="F14" s="535"/>
      <c r="G14" s="308"/>
      <c r="H14" s="535"/>
      <c r="I14" s="308"/>
      <c r="J14" s="308"/>
      <c r="K14" s="311"/>
      <c r="L14" s="1321"/>
      <c r="M14" s="1503">
        <v>2.5000000000000001E-2</v>
      </c>
      <c r="N14" s="1062"/>
      <c r="O14" s="342"/>
      <c r="P14" s="2927"/>
      <c r="Q14" s="651"/>
      <c r="R14" s="2290" t="s">
        <v>1731</v>
      </c>
      <c r="S14" s="3304"/>
      <c r="T14" s="3305"/>
      <c r="U14" s="3305"/>
      <c r="V14" s="3307"/>
      <c r="W14" s="3305"/>
      <c r="X14" s="3305"/>
      <c r="Y14" s="3305"/>
      <c r="Z14" s="3305"/>
      <c r="AA14" s="3305"/>
      <c r="AB14" s="3305"/>
      <c r="AC14" s="3305"/>
      <c r="AD14" s="3305"/>
      <c r="AE14" s="3046"/>
      <c r="AF14" s="3309"/>
    </row>
    <row r="15" spans="1:33" ht="12" customHeight="1">
      <c r="A15" s="117"/>
      <c r="B15" s="246"/>
      <c r="C15" s="535" t="str">
        <f>"line 4, or "&amp;TEXT(M14,"0.0%")&amp;" ("&amp;TEXT(M14,".000")&amp;") of Form 1040, line 38. If zero or less, enter -0-"</f>
        <v>line 4, or 2.5% (.025) of Form 1040, line 38. If zero or less, enter -0-</v>
      </c>
      <c r="D15" s="233"/>
      <c r="E15" s="307"/>
      <c r="F15" s="307"/>
      <c r="G15" s="308"/>
      <c r="H15" s="308"/>
      <c r="I15" s="308"/>
      <c r="J15" s="308"/>
      <c r="K15" s="2659" t="str">
        <f>IF(AND(P15&lt;&gt;"",S18="",you_over_64="",sp_over_64=""),"Check box on Form 1040 Line 39a.",".   .   .   .   .   .   .   .   .   .   .   .   .   .   .   .   . ")</f>
        <v xml:space="preserve">.   .   .   .   .   .   .   .   .   .   .   .   .   .   .   .   . </v>
      </c>
      <c r="L15" s="333">
        <f>B14</f>
        <v>2</v>
      </c>
      <c r="M15" s="3018" t="str">
        <f>IF(P15&lt;&gt;"",P15,IF(NOT(O12),"",IF(AND(ItemizedDeduct,OR(you_over_64&lt;&gt;"",sp_over_64&lt;&gt;"")),MIN('Sch. A'!N13,M14*(Adj_Gross_Inc)),"")))</f>
        <v/>
      </c>
      <c r="N15" s="1063"/>
      <c r="O15" s="343"/>
      <c r="P15" s="3357"/>
      <c r="Q15" s="651"/>
      <c r="R15" s="2926" t="s">
        <v>1732</v>
      </c>
      <c r="S15" s="3304"/>
      <c r="T15" s="3305"/>
      <c r="U15" s="3306" t="s">
        <v>0</v>
      </c>
      <c r="V15" s="3307" t="s">
        <v>2333</v>
      </c>
      <c r="W15" s="3305"/>
      <c r="X15" s="3305"/>
      <c r="Y15" s="3305"/>
      <c r="Z15" s="3305"/>
      <c r="AA15" s="3305"/>
      <c r="AB15" s="3305"/>
      <c r="AC15" s="3305"/>
      <c r="AD15" s="3305"/>
      <c r="AE15" s="3046"/>
      <c r="AF15" s="3309"/>
    </row>
    <row r="16" spans="1:33" ht="15" customHeight="1">
      <c r="A16" s="117"/>
      <c r="B16" s="246">
        <f>B14+1</f>
        <v>3</v>
      </c>
      <c r="C16" s="535" t="s">
        <v>1220</v>
      </c>
      <c r="D16" s="253"/>
      <c r="E16" s="307"/>
      <c r="F16" s="307"/>
      <c r="G16" s="308"/>
      <c r="H16" s="308"/>
      <c r="I16" s="308"/>
      <c r="J16" s="308"/>
      <c r="K16" s="880" t="s">
        <v>1057</v>
      </c>
      <c r="L16" s="333">
        <f>B16</f>
        <v>3</v>
      </c>
      <c r="M16" s="3018" t="str">
        <f>IF(P16&lt;&gt;"",P16,IF(NOT(O12),"",IF(ItemizedDeduct,'Sch. A'!N22,"")))</f>
        <v/>
      </c>
      <c r="N16" s="1063"/>
      <c r="O16" s="343"/>
      <c r="P16" s="3358"/>
      <c r="Q16" s="651"/>
      <c r="R16" s="349"/>
      <c r="S16" s="3304"/>
      <c r="T16" s="3305"/>
      <c r="U16" s="3305"/>
      <c r="V16" s="3307" t="str">
        <f>TEXT(AG16,"0.0%")&amp;" ("&amp;TEXT(AG16,".000")&amp;") of the amount on Form 1040, line 38. If zero or less, enter -0-"</f>
        <v>2.5% (.025) of the amount on Form 1040, line 38. If zero or less, enter -0-</v>
      </c>
      <c r="W16" s="3305"/>
      <c r="X16" s="3305"/>
      <c r="Y16" s="3305"/>
      <c r="Z16" s="3305"/>
      <c r="AA16" s="3305"/>
      <c r="AB16" s="3305"/>
      <c r="AC16" s="3248" t="str">
        <f>IF(AND(U13="X",OR(you_over_64="X",sp_over_64="X")),MIN('Sch. A'!N13,ROUND(AG16*Adj_Gross_Inc,0)),"")</f>
        <v/>
      </c>
      <c r="AD16" s="3305"/>
      <c r="AE16" s="3305"/>
      <c r="AF16" s="3309"/>
      <c r="AG16" s="3298">
        <v>2.5000000000000001E-2</v>
      </c>
    </row>
    <row r="17" spans="1:33" ht="15" customHeight="1">
      <c r="A17" s="117"/>
      <c r="B17" s="246">
        <f>B16+1</f>
        <v>4</v>
      </c>
      <c r="C17" s="535" t="s">
        <v>2292</v>
      </c>
      <c r="D17" s="535"/>
      <c r="E17" s="307"/>
      <c r="F17" s="307"/>
      <c r="G17" s="308"/>
      <c r="H17" s="308"/>
      <c r="I17" s="308"/>
      <c r="J17" s="308"/>
      <c r="K17" s="880"/>
      <c r="L17" s="333">
        <f>B17</f>
        <v>4</v>
      </c>
      <c r="M17" s="3019"/>
      <c r="N17" s="1063"/>
      <c r="O17" s="343"/>
      <c r="P17" s="898"/>
      <c r="Q17" s="651"/>
      <c r="R17" s="349"/>
      <c r="S17" s="3304"/>
      <c r="T17" s="3305"/>
      <c r="U17" s="3305"/>
      <c r="V17" s="3307"/>
      <c r="W17" s="3305"/>
      <c r="X17" s="3305"/>
      <c r="Y17" s="3305"/>
      <c r="Z17" s="3305"/>
      <c r="AA17" s="3305"/>
      <c r="AB17" s="3305"/>
      <c r="AC17" s="3305"/>
      <c r="AD17" s="3305"/>
      <c r="AE17" s="3305"/>
      <c r="AF17" s="3309"/>
    </row>
    <row r="18" spans="1:33" ht="15" customHeight="1">
      <c r="A18" s="117"/>
      <c r="B18" s="246">
        <f>B17+1</f>
        <v>5</v>
      </c>
      <c r="C18" s="535" t="s">
        <v>848</v>
      </c>
      <c r="D18" s="253"/>
      <c r="E18" s="307"/>
      <c r="F18" s="307"/>
      <c r="G18" s="308"/>
      <c r="H18" s="308"/>
      <c r="I18" s="308"/>
      <c r="J18" s="308"/>
      <c r="K18" s="880" t="s">
        <v>1058</v>
      </c>
      <c r="L18" s="333">
        <f>B18</f>
        <v>5</v>
      </c>
      <c r="M18" s="3018" t="str">
        <f>IF(P18&lt;&gt;"",P18,IF(NOT(O12),"",IF(ItemizedDeduct,'Sch. A'!N52,"")))</f>
        <v/>
      </c>
      <c r="N18" s="1063"/>
      <c r="O18" s="343"/>
      <c r="P18" s="676"/>
      <c r="Q18" s="651"/>
      <c r="R18" s="929"/>
      <c r="S18" s="3340"/>
      <c r="T18" s="3305"/>
      <c r="U18" s="3306" t="s">
        <v>1</v>
      </c>
      <c r="V18" s="3307" t="s">
        <v>2311</v>
      </c>
      <c r="W18" s="3305"/>
      <c r="X18" s="3305"/>
      <c r="Y18" s="3305"/>
      <c r="Z18" s="3305"/>
      <c r="AA18" s="3305"/>
      <c r="AB18" s="3305"/>
      <c r="AC18" s="3248" t="str">
        <f>IF(U13="X",SUM('Sch. A'!N22,'Sch. A'!N52),"")</f>
        <v/>
      </c>
      <c r="AD18" s="3305"/>
      <c r="AE18" s="3305"/>
      <c r="AF18" s="3309"/>
    </row>
    <row r="19" spans="1:33" ht="15" customHeight="1">
      <c r="A19" s="117"/>
      <c r="B19" s="246">
        <f>B18+1</f>
        <v>6</v>
      </c>
      <c r="C19" s="535" t="str">
        <f>"If Form 1040, line 38, is "&amp;TEXT('1040'!AK78,"$0,000")&amp;" or less, enter -0-. Otherwise, see instructions"</f>
        <v>If Form 1040, line 38, is $152,525 or less, enter -0-. Otherwise, see instructions</v>
      </c>
      <c r="D19" s="535"/>
      <c r="E19" s="307"/>
      <c r="F19" s="307"/>
      <c r="G19" s="308"/>
      <c r="H19" s="308"/>
      <c r="I19" s="535"/>
      <c r="J19" s="308"/>
      <c r="K19" s="2659" t="s">
        <v>269</v>
      </c>
      <c r="L19" s="333">
        <f t="shared" ref="L19:L40" si="0">B19</f>
        <v>6</v>
      </c>
      <c r="M19" s="3018" t="str">
        <f>IF(P19&lt;&gt;"",P19,IF(NOT(O12),"",IF(Adj_Gross_Inc&lt;'1040'!AK78,0,IF(ISERROR(-Item_Deduct_Wks_L9),"",-Item_Deduct_Wks_L9))))</f>
        <v/>
      </c>
      <c r="N19" s="1062"/>
      <c r="O19" s="342"/>
      <c r="P19" s="676"/>
      <c r="Q19" s="651"/>
      <c r="R19" s="929"/>
      <c r="S19" s="3304"/>
      <c r="T19" s="3305"/>
      <c r="U19" s="3305"/>
      <c r="V19" s="3307"/>
      <c r="W19" s="3305"/>
      <c r="X19" s="3305"/>
      <c r="Y19" s="3305"/>
      <c r="Z19" s="3305"/>
      <c r="AA19" s="3305"/>
      <c r="AB19" s="3305"/>
      <c r="AC19" s="3305"/>
      <c r="AD19" s="3305"/>
      <c r="AE19" s="3305"/>
      <c r="AF19" s="3309"/>
    </row>
    <row r="20" spans="1:33" ht="15" customHeight="1">
      <c r="A20" s="117"/>
      <c r="B20" s="246">
        <f t="shared" ref="B20:B40" si="1">B19+1</f>
        <v>7</v>
      </c>
      <c r="C20" s="535" t="s">
        <v>978</v>
      </c>
      <c r="D20" s="253"/>
      <c r="E20" s="307"/>
      <c r="F20" s="307"/>
      <c r="G20" s="308"/>
      <c r="H20" s="308"/>
      <c r="I20" s="973" t="str">
        <f>IF(AND(M19&lt;&gt;"",M19&gt;0),"(Line 6 must be a negative amount.)",IF(AND(M20&lt;&gt;"",M20&gt;0),"(Line 7 must be a negative amount.)",IF(M24&gt;0,"(Enter Line 11 as a negative amount.)",".   .   .   .   .   .   .   .   .   .   .   .   .   .   .")))</f>
        <v>.   .   .   .   .   .   .   .   .   .   .   .   .   .   .</v>
      </c>
      <c r="J20" s="308"/>
      <c r="K20" s="880" t="s">
        <v>1059</v>
      </c>
      <c r="L20" s="333">
        <f t="shared" si="0"/>
        <v>7</v>
      </c>
      <c r="M20" s="3018" t="str">
        <f>IF(P20&lt;&gt;"",P20,IF(F1040_Line10="","",-F1040_Line10))</f>
        <v/>
      </c>
      <c r="N20" s="1063"/>
      <c r="O20" s="343"/>
      <c r="P20" s="676"/>
      <c r="Q20" s="1358" t="str">
        <f>IF(ISERROR(FIND("tax",'1040'!T54,1)),"",'1040'!AB54)</f>
        <v/>
      </c>
      <c r="R20" s="929"/>
      <c r="S20" s="3304"/>
      <c r="T20" s="3305"/>
      <c r="U20" s="3306" t="s">
        <v>686</v>
      </c>
      <c r="V20" s="3307" t="s">
        <v>1884</v>
      </c>
      <c r="W20" s="3305"/>
      <c r="X20" s="3305"/>
      <c r="Y20" s="3305"/>
      <c r="Z20" s="3305"/>
      <c r="AA20" s="3305"/>
      <c r="AB20" s="3305"/>
      <c r="AC20" s="3248">
        <f>IF(U13="X",SUM(AC13,AC16,AC18),Adj_Gross_Inc)</f>
        <v>0</v>
      </c>
      <c r="AD20" s="3305"/>
      <c r="AE20" s="3305"/>
      <c r="AF20" s="3309"/>
    </row>
    <row r="21" spans="1:33" ht="15" customHeight="1">
      <c r="A21" s="117"/>
      <c r="B21" s="246">
        <f t="shared" si="1"/>
        <v>8</v>
      </c>
      <c r="C21" s="535" t="s">
        <v>318</v>
      </c>
      <c r="D21" s="253"/>
      <c r="E21" s="307"/>
      <c r="F21" s="307"/>
      <c r="G21" s="308"/>
      <c r="H21" s="308"/>
      <c r="I21" s="308"/>
      <c r="J21" s="308"/>
      <c r="K21" s="880" t="s">
        <v>979</v>
      </c>
      <c r="L21" s="333">
        <f t="shared" si="0"/>
        <v>8</v>
      </c>
      <c r="M21" s="3019"/>
      <c r="N21" s="1063"/>
      <c r="O21" s="343"/>
      <c r="P21" s="898"/>
      <c r="Q21" s="651"/>
      <c r="R21" s="929"/>
      <c r="S21" s="3304"/>
      <c r="T21" s="3305"/>
      <c r="U21" s="3305"/>
      <c r="V21" s="3307"/>
      <c r="W21" s="3305"/>
      <c r="X21" s="3305"/>
      <c r="Y21" s="3305"/>
      <c r="Z21" s="3305"/>
      <c r="AA21" s="3305"/>
      <c r="AB21" s="3305"/>
      <c r="AC21" s="3305"/>
      <c r="AD21" s="3305"/>
      <c r="AE21" s="3305"/>
      <c r="AF21" s="3309"/>
    </row>
    <row r="22" spans="1:33" ht="15" customHeight="1">
      <c r="A22" s="117"/>
      <c r="B22" s="246">
        <f t="shared" si="1"/>
        <v>9</v>
      </c>
      <c r="C22" s="535" t="s">
        <v>319</v>
      </c>
      <c r="D22" s="253"/>
      <c r="E22" s="307"/>
      <c r="F22" s="307"/>
      <c r="G22" s="308"/>
      <c r="H22" s="308"/>
      <c r="I22" s="308"/>
      <c r="J22" s="308"/>
      <c r="K22" s="880" t="s">
        <v>1060</v>
      </c>
      <c r="L22" s="333">
        <f t="shared" si="0"/>
        <v>9</v>
      </c>
      <c r="M22" s="3019"/>
      <c r="N22" s="1063"/>
      <c r="O22" s="343"/>
      <c r="P22" s="2956" t="s">
        <v>1769</v>
      </c>
      <c r="Q22" s="651"/>
      <c r="R22" s="349"/>
      <c r="S22" s="3304"/>
      <c r="T22" s="3305"/>
      <c r="U22" s="3306" t="s">
        <v>54</v>
      </c>
      <c r="V22" s="3307" t="s">
        <v>2312</v>
      </c>
      <c r="W22" s="3305"/>
      <c r="X22" s="3305"/>
      <c r="Y22" s="3305"/>
      <c r="Z22" s="3324"/>
      <c r="AA22" s="3110"/>
      <c r="AB22" s="3305"/>
      <c r="AC22" s="3248">
        <f>SUM(F1040_Line10,AA22)</f>
        <v>0</v>
      </c>
      <c r="AD22" s="3305"/>
      <c r="AE22" s="3305"/>
      <c r="AF22" s="3309"/>
      <c r="AG22" s="3298">
        <v>2.5000000000000001E-2</v>
      </c>
    </row>
    <row r="23" spans="1:33" ht="15" customHeight="1">
      <c r="A23" s="117"/>
      <c r="B23" s="246">
        <f t="shared" si="1"/>
        <v>10</v>
      </c>
      <c r="C23" s="535" t="s">
        <v>172</v>
      </c>
      <c r="D23" s="253"/>
      <c r="E23" s="307"/>
      <c r="F23" s="307"/>
      <c r="G23" s="911" t="s">
        <v>173</v>
      </c>
      <c r="H23" s="308"/>
      <c r="I23" s="31"/>
      <c r="J23" s="308"/>
      <c r="K23" s="880" t="s">
        <v>980</v>
      </c>
      <c r="L23" s="333">
        <f t="shared" si="0"/>
        <v>10</v>
      </c>
      <c r="M23" s="3019"/>
      <c r="N23" s="1063"/>
      <c r="O23" s="343"/>
      <c r="P23" s="2957" t="s">
        <v>1755</v>
      </c>
      <c r="Q23" s="651"/>
      <c r="R23" s="349"/>
      <c r="S23" s="3304"/>
      <c r="T23" s="3305"/>
      <c r="U23" s="3305"/>
      <c r="V23" s="3307"/>
      <c r="W23" s="3305"/>
      <c r="X23" s="3305"/>
      <c r="Y23" s="3305"/>
      <c r="Z23" s="3305"/>
      <c r="AA23" s="3324" t="s">
        <v>2334</v>
      </c>
      <c r="AB23" s="3305"/>
      <c r="AC23" s="3305"/>
      <c r="AD23" s="3305"/>
      <c r="AE23" s="3305"/>
      <c r="AF23" s="3309"/>
      <c r="AG23" s="3298">
        <f>AG22*Adj_Gross_Inc</f>
        <v>0</v>
      </c>
    </row>
    <row r="24" spans="1:33" ht="15" customHeight="1">
      <c r="A24" s="117"/>
      <c r="B24" s="246">
        <f t="shared" si="1"/>
        <v>11</v>
      </c>
      <c r="C24" s="535" t="s">
        <v>235</v>
      </c>
      <c r="D24" s="253"/>
      <c r="E24" s="307"/>
      <c r="F24" s="307"/>
      <c r="G24" s="308"/>
      <c r="H24" s="308"/>
      <c r="I24" s="308"/>
      <c r="J24" s="308"/>
      <c r="K24" s="880" t="s">
        <v>733</v>
      </c>
      <c r="L24" s="333">
        <f t="shared" si="0"/>
        <v>11</v>
      </c>
      <c r="M24" s="3019"/>
      <c r="N24" s="1063"/>
      <c r="O24" s="343"/>
      <c r="P24" s="2957" t="s">
        <v>1756</v>
      </c>
      <c r="Q24" s="651"/>
      <c r="R24" s="349"/>
      <c r="S24" s="3304"/>
      <c r="T24" s="3305"/>
      <c r="U24" s="3306" t="s">
        <v>125</v>
      </c>
      <c r="V24" s="3307" t="s">
        <v>2313</v>
      </c>
      <c r="W24" s="3305"/>
      <c r="X24" s="3305"/>
      <c r="Y24" s="3305"/>
      <c r="Z24" s="3305"/>
      <c r="AA24" s="3305"/>
      <c r="AB24" s="3305"/>
      <c r="AC24" s="3305"/>
      <c r="AD24" s="3305"/>
      <c r="AE24" s="3305"/>
      <c r="AF24" s="3309"/>
    </row>
    <row r="25" spans="1:33" ht="15" customHeight="1">
      <c r="A25" s="117"/>
      <c r="B25" s="246">
        <f t="shared" si="1"/>
        <v>12</v>
      </c>
      <c r="C25" s="535" t="s">
        <v>233</v>
      </c>
      <c r="D25" s="253"/>
      <c r="E25" s="307"/>
      <c r="F25" s="307"/>
      <c r="G25" s="308"/>
      <c r="H25" s="308"/>
      <c r="I25" s="308"/>
      <c r="J25" s="308"/>
      <c r="K25" s="880" t="s">
        <v>1061</v>
      </c>
      <c r="L25" s="333">
        <f t="shared" si="0"/>
        <v>12</v>
      </c>
      <c r="M25" s="3019"/>
      <c r="N25" s="1063"/>
      <c r="O25" s="343"/>
      <c r="P25" s="2957" t="s">
        <v>1757</v>
      </c>
      <c r="Q25" s="651"/>
      <c r="R25" s="349"/>
      <c r="S25" s="3304"/>
      <c r="T25" s="3305"/>
      <c r="U25" s="3305"/>
      <c r="V25" s="3307" t="s">
        <v>2314</v>
      </c>
      <c r="W25" s="3305"/>
      <c r="X25" s="3305"/>
      <c r="Y25" s="3305"/>
      <c r="Z25" s="3305"/>
      <c r="AA25" s="3305"/>
      <c r="AB25" s="3305"/>
      <c r="AC25" s="3248" t="str">
        <f>Item_Deduct_Wks_L9</f>
        <v/>
      </c>
      <c r="AD25" s="3305"/>
      <c r="AE25" s="3305"/>
      <c r="AF25" s="3309"/>
    </row>
    <row r="26" spans="1:33" ht="15" customHeight="1">
      <c r="A26" s="117"/>
      <c r="B26" s="246">
        <f t="shared" si="1"/>
        <v>13</v>
      </c>
      <c r="C26" s="535" t="s">
        <v>255</v>
      </c>
      <c r="D26" s="253"/>
      <c r="E26" s="307"/>
      <c r="F26" s="307"/>
      <c r="G26" s="308"/>
      <c r="H26" s="308"/>
      <c r="I26" s="308"/>
      <c r="J26" s="308"/>
      <c r="K26" s="880" t="s">
        <v>269</v>
      </c>
      <c r="L26" s="333">
        <f t="shared" si="0"/>
        <v>13</v>
      </c>
      <c r="M26" s="3019"/>
      <c r="N26" s="1063"/>
      <c r="O26" s="343"/>
      <c r="P26" s="2957" t="s">
        <v>1758</v>
      </c>
      <c r="Q26" s="651"/>
      <c r="R26" s="349"/>
      <c r="S26" s="3304"/>
      <c r="T26" s="3305"/>
      <c r="U26" s="3305"/>
      <c r="V26" s="3307"/>
      <c r="W26" s="3305"/>
      <c r="X26" s="3305"/>
      <c r="Y26" s="3305"/>
      <c r="Z26" s="3305"/>
      <c r="AA26" s="3305"/>
      <c r="AB26" s="3305"/>
      <c r="AC26" s="3305"/>
      <c r="AD26" s="3305"/>
      <c r="AE26" s="3305"/>
      <c r="AF26" s="3309"/>
      <c r="AG26" s="3299">
        <f>SUM('Sch. A'!$L$15:$L$16,'Sch. A'!$L$18,'Sch. A'!$L$21,'Sch. A'!$N$52)</f>
        <v>0</v>
      </c>
    </row>
    <row r="27" spans="1:33" ht="15" customHeight="1">
      <c r="A27" s="117"/>
      <c r="B27" s="246">
        <f t="shared" si="1"/>
        <v>14</v>
      </c>
      <c r="C27" s="535" t="s">
        <v>181</v>
      </c>
      <c r="D27" s="253"/>
      <c r="E27" s="307"/>
      <c r="F27" s="307"/>
      <c r="G27" s="308"/>
      <c r="H27" s="308"/>
      <c r="I27" s="308"/>
      <c r="J27" s="308"/>
      <c r="K27" s="880" t="s">
        <v>1059</v>
      </c>
      <c r="L27" s="333">
        <f t="shared" si="0"/>
        <v>14</v>
      </c>
      <c r="M27" s="3019"/>
      <c r="N27" s="1063"/>
      <c r="O27" s="343"/>
      <c r="P27" s="2957" t="str">
        <f>TEXT(P36,"$0,000")&amp;", you must include an"</f>
        <v>$242,450, you must include an</v>
      </c>
      <c r="Q27" s="651"/>
      <c r="R27" s="349"/>
      <c r="S27" s="3304"/>
      <c r="T27" s="3305"/>
      <c r="U27" s="3306" t="s">
        <v>126</v>
      </c>
      <c r="V27" s="3307" t="s">
        <v>2315</v>
      </c>
      <c r="W27" s="3305"/>
      <c r="X27" s="3305"/>
      <c r="Y27" s="3305"/>
      <c r="Z27" s="3305"/>
      <c r="AA27" s="3305"/>
      <c r="AB27" s="3305"/>
      <c r="AC27" s="3248">
        <f>SUM(AC22,AC25)</f>
        <v>0</v>
      </c>
      <c r="AD27" s="3305"/>
      <c r="AE27" s="3305"/>
      <c r="AF27" s="3309"/>
    </row>
    <row r="28" spans="1:33" ht="15" customHeight="1">
      <c r="A28" s="117"/>
      <c r="B28" s="246">
        <f t="shared" si="1"/>
        <v>15</v>
      </c>
      <c r="C28" s="535" t="s">
        <v>312</v>
      </c>
      <c r="D28" s="253"/>
      <c r="E28" s="307"/>
      <c r="F28" s="307"/>
      <c r="G28" s="308"/>
      <c r="H28" s="308"/>
      <c r="I28" s="308"/>
      <c r="J28" s="308"/>
      <c r="K28" s="880" t="s">
        <v>1062</v>
      </c>
      <c r="L28" s="333">
        <f t="shared" si="0"/>
        <v>15</v>
      </c>
      <c r="M28" s="3019"/>
      <c r="N28" s="1063"/>
      <c r="O28" s="343"/>
      <c r="P28" s="2957" t="s">
        <v>1759</v>
      </c>
      <c r="Q28" s="651"/>
      <c r="R28" s="349"/>
      <c r="S28" s="3304"/>
      <c r="T28" s="3305"/>
      <c r="U28" s="3305"/>
      <c r="V28" s="3307"/>
      <c r="W28" s="3305"/>
      <c r="X28" s="3305"/>
      <c r="Y28" s="3305"/>
      <c r="Z28" s="3305"/>
      <c r="AA28" s="3305"/>
      <c r="AB28" s="3305"/>
      <c r="AC28" s="3305"/>
      <c r="AD28" s="3305"/>
      <c r="AE28" s="3305"/>
      <c r="AF28" s="3309"/>
    </row>
    <row r="29" spans="1:33" ht="15" customHeight="1">
      <c r="A29" s="117"/>
      <c r="B29" s="246">
        <f t="shared" si="1"/>
        <v>16</v>
      </c>
      <c r="C29" s="535" t="s">
        <v>981</v>
      </c>
      <c r="D29" s="253"/>
      <c r="E29" s="307"/>
      <c r="F29" s="307"/>
      <c r="G29" s="308"/>
      <c r="H29" s="308"/>
      <c r="I29" s="308"/>
      <c r="J29" s="308"/>
      <c r="K29" s="880" t="s">
        <v>1063</v>
      </c>
      <c r="L29" s="333">
        <f t="shared" si="0"/>
        <v>16</v>
      </c>
      <c r="M29" s="3019"/>
      <c r="N29" s="1063"/>
      <c r="O29" s="343"/>
      <c r="P29" s="2957" t="str">
        <f>TEXT(P37,"$0,000")&amp;" or more, include an additional"</f>
        <v>$406,650 or more, include an additional</v>
      </c>
      <c r="Q29" s="651"/>
      <c r="R29" s="349"/>
      <c r="S29" s="3304"/>
      <c r="T29" s="3305"/>
      <c r="U29" s="3306" t="s">
        <v>352</v>
      </c>
      <c r="V29" s="3307" t="s">
        <v>2316</v>
      </c>
      <c r="W29" s="3305"/>
      <c r="X29" s="3305"/>
      <c r="Y29" s="3305"/>
      <c r="Z29" s="3305"/>
      <c r="AA29" s="3305"/>
      <c r="AB29" s="3305"/>
      <c r="AC29" s="3248">
        <f>SUM(AC20,-AC27)</f>
        <v>0</v>
      </c>
      <c r="AD29" s="3305"/>
      <c r="AE29" s="3305"/>
      <c r="AF29" s="3309"/>
    </row>
    <row r="30" spans="1:33" ht="15" customHeight="1">
      <c r="A30" s="117"/>
      <c r="B30" s="246">
        <f t="shared" si="1"/>
        <v>17</v>
      </c>
      <c r="C30" s="535" t="s">
        <v>361</v>
      </c>
      <c r="D30" s="253"/>
      <c r="E30" s="307"/>
      <c r="F30" s="307"/>
      <c r="G30" s="308"/>
      <c r="H30" s="308"/>
      <c r="I30" s="308"/>
      <c r="J30" s="308"/>
      <c r="K30" s="880" t="s">
        <v>1063</v>
      </c>
      <c r="L30" s="333">
        <f t="shared" si="0"/>
        <v>17</v>
      </c>
      <c r="M30" s="3019"/>
      <c r="N30" s="1063"/>
      <c r="O30" s="343"/>
      <c r="P30" s="2957" t="str">
        <f>TEXT(P38,"$0,000")&amp;". Otherwise, include "&amp;TEXT(P39,"0%")&amp;" of the"</f>
        <v>$41,050. Otherwise, include 25% of the</v>
      </c>
      <c r="Q30" s="651"/>
      <c r="R30" s="349"/>
      <c r="S30" s="3304"/>
      <c r="T30" s="3305"/>
      <c r="U30" s="3305"/>
      <c r="V30" s="3307"/>
      <c r="W30" s="3305"/>
      <c r="X30" s="3305"/>
      <c r="Y30" s="3305"/>
      <c r="Z30" s="3305"/>
      <c r="AA30" s="3305"/>
      <c r="AB30" s="3305"/>
      <c r="AC30" s="3305"/>
      <c r="AD30" s="3305"/>
      <c r="AE30" s="3305"/>
      <c r="AF30" s="3309"/>
    </row>
    <row r="31" spans="1:33" ht="15" customHeight="1">
      <c r="A31" s="117"/>
      <c r="B31" s="246">
        <f t="shared" si="1"/>
        <v>18</v>
      </c>
      <c r="C31" s="535" t="s">
        <v>633</v>
      </c>
      <c r="D31" s="253"/>
      <c r="E31" s="307"/>
      <c r="F31" s="307"/>
      <c r="G31" s="308"/>
      <c r="H31" s="308"/>
      <c r="I31" s="308"/>
      <c r="J31" s="308"/>
      <c r="K31" s="880" t="s">
        <v>1064</v>
      </c>
      <c r="L31" s="333">
        <f t="shared" si="0"/>
        <v>18</v>
      </c>
      <c r="M31" s="3019"/>
      <c r="N31" s="1063"/>
      <c r="O31" s="343"/>
      <c r="P31" s="2957" t="s">
        <v>1760</v>
      </c>
      <c r="Q31" s="651"/>
      <c r="R31" s="349"/>
      <c r="S31" s="3304"/>
      <c r="T31" s="3305"/>
      <c r="U31" s="3306" t="s">
        <v>353</v>
      </c>
      <c r="V31" s="3307" t="s">
        <v>2317</v>
      </c>
      <c r="W31" s="3305"/>
      <c r="X31" s="3305"/>
      <c r="Y31" s="3305"/>
      <c r="Z31" s="3305"/>
      <c r="AA31" s="3305"/>
      <c r="AB31" s="3305"/>
      <c r="AC31" s="3305"/>
      <c r="AD31" s="3305"/>
      <c r="AE31" s="3305"/>
      <c r="AF31" s="3309"/>
    </row>
    <row r="32" spans="1:33" ht="15" customHeight="1">
      <c r="A32" s="117"/>
      <c r="B32" s="246">
        <f t="shared" si="1"/>
        <v>19</v>
      </c>
      <c r="C32" s="535" t="s">
        <v>982</v>
      </c>
      <c r="D32" s="253"/>
      <c r="E32" s="307"/>
      <c r="F32" s="307"/>
      <c r="G32" s="308"/>
      <c r="H32" s="308"/>
      <c r="I32" s="308"/>
      <c r="J32" s="308"/>
      <c r="K32" s="880" t="s">
        <v>269</v>
      </c>
      <c r="L32" s="333">
        <f t="shared" si="0"/>
        <v>19</v>
      </c>
      <c r="M32" s="3019"/>
      <c r="N32" s="1063"/>
      <c r="O32" s="343"/>
      <c r="P32" s="2957" t="str">
        <f>TEXT(P36,"$0,000")&amp;". For example, if the amount"</f>
        <v>$242,450. For example, if the amount</v>
      </c>
      <c r="Q32" s="651"/>
      <c r="R32" s="349"/>
      <c r="S32" s="3304"/>
      <c r="T32" s="3305"/>
      <c r="U32" s="3307" t="s">
        <v>238</v>
      </c>
      <c r="V32" s="3307" t="str">
        <f>"Single or head of household -- "&amp;TEXT(I46,"$0,000")</f>
        <v>Single or head of household -- $52,800</v>
      </c>
      <c r="W32" s="3305"/>
      <c r="X32" s="3305"/>
      <c r="Y32" s="3305"/>
      <c r="Z32" s="3305"/>
      <c r="AA32" s="3325"/>
      <c r="AB32" s="3305"/>
      <c r="AC32" s="3248" t="str">
        <f>IF(OR(File_Single&lt;&gt;"",File_Head&lt;&gt;""),I46,IF(OR(File_Marr_Joint&lt;&gt;"",File_Qual_Widow&lt;&gt;""),I47,IF(File_Marr_Sep&lt;&gt;"",I48,"Filing status?")))</f>
        <v>Filing status?</v>
      </c>
      <c r="AD32" s="3305"/>
      <c r="AE32" s="3305"/>
      <c r="AF32" s="3309"/>
    </row>
    <row r="33" spans="1:33" ht="15" customHeight="1">
      <c r="A33" s="117"/>
      <c r="B33" s="246">
        <f t="shared" si="1"/>
        <v>20</v>
      </c>
      <c r="C33" s="535" t="s">
        <v>727</v>
      </c>
      <c r="D33" s="253"/>
      <c r="E33" s="307"/>
      <c r="F33" s="307"/>
      <c r="G33" s="308"/>
      <c r="H33" s="308"/>
      <c r="I33" s="308"/>
      <c r="J33" s="308"/>
      <c r="K33" s="880" t="s">
        <v>1065</v>
      </c>
      <c r="L33" s="333">
        <f t="shared" si="0"/>
        <v>20</v>
      </c>
      <c r="M33" s="3019"/>
      <c r="N33" s="1063"/>
      <c r="O33" s="343"/>
      <c r="P33" s="2957" t="s">
        <v>2782</v>
      </c>
      <c r="Q33" s="651"/>
      <c r="R33" s="349"/>
      <c r="S33" s="3304"/>
      <c r="T33" s="3305"/>
      <c r="U33" s="3307" t="s">
        <v>238</v>
      </c>
      <c r="V33" s="3307" t="str">
        <f>"Married filing jointly or qualifying widow(er) -- "&amp;TEXT(I47,"$0,000")</f>
        <v>Married filing jointly or qualifying widow(er) -- $82,100</v>
      </c>
      <c r="W33" s="3305"/>
      <c r="X33" s="3305"/>
      <c r="Y33" s="3305"/>
      <c r="Z33" s="3305"/>
      <c r="AA33" s="3325"/>
      <c r="AB33" s="3305"/>
      <c r="AC33" s="3305"/>
      <c r="AD33" s="3305"/>
      <c r="AE33" s="3305"/>
      <c r="AF33" s="3309"/>
    </row>
    <row r="34" spans="1:33" ht="15" customHeight="1">
      <c r="A34" s="117"/>
      <c r="B34" s="246">
        <f t="shared" si="1"/>
        <v>21</v>
      </c>
      <c r="C34" s="535" t="s">
        <v>726</v>
      </c>
      <c r="D34" s="253"/>
      <c r="E34" s="307"/>
      <c r="F34" s="307"/>
      <c r="G34" s="308"/>
      <c r="H34" s="308"/>
      <c r="I34" s="308"/>
      <c r="J34" s="308"/>
      <c r="K34" s="880" t="s">
        <v>1038</v>
      </c>
      <c r="L34" s="333">
        <f t="shared" si="0"/>
        <v>21</v>
      </c>
      <c r="M34" s="3019"/>
      <c r="N34" s="1063"/>
      <c r="O34" s="343"/>
      <c r="P34" s="2957" t="s">
        <v>1761</v>
      </c>
      <c r="Q34" s="651"/>
      <c r="R34" s="349"/>
      <c r="S34" s="3304"/>
      <c r="T34" s="3305"/>
      <c r="U34" s="3307" t="s">
        <v>238</v>
      </c>
      <c r="V34" s="3307" t="str">
        <f>"Married filing separately -- "&amp;TEXT(I48,"$0,000")</f>
        <v>Married filing separately -- $41,050</v>
      </c>
      <c r="W34" s="3305"/>
      <c r="X34" s="3305"/>
      <c r="Y34" s="3305"/>
      <c r="Z34" s="3305"/>
      <c r="AA34" s="3325"/>
      <c r="AB34" s="3305"/>
      <c r="AC34" s="3305"/>
      <c r="AD34" s="3305"/>
      <c r="AE34" s="3305"/>
      <c r="AF34" s="3309"/>
    </row>
    <row r="35" spans="1:33" ht="15" customHeight="1">
      <c r="A35" s="117"/>
      <c r="B35" s="246">
        <f t="shared" si="1"/>
        <v>22</v>
      </c>
      <c r="C35" s="535" t="s">
        <v>725</v>
      </c>
      <c r="D35" s="253"/>
      <c r="E35" s="307"/>
      <c r="F35" s="307"/>
      <c r="G35" s="308"/>
      <c r="H35" s="308"/>
      <c r="I35" s="308"/>
      <c r="J35" s="308"/>
      <c r="K35" s="880" t="s">
        <v>979</v>
      </c>
      <c r="L35" s="333">
        <f t="shared" si="0"/>
        <v>22</v>
      </c>
      <c r="M35" s="3019"/>
      <c r="N35" s="1063"/>
      <c r="O35" s="343"/>
      <c r="P35" s="2957" t="s">
        <v>2783</v>
      </c>
      <c r="Q35" s="651"/>
      <c r="R35" s="349"/>
      <c r="S35" s="3304"/>
      <c r="T35" s="3305"/>
      <c r="U35" s="3305"/>
      <c r="V35" s="3307"/>
      <c r="W35" s="3305"/>
      <c r="X35" s="3305"/>
      <c r="Y35" s="3305"/>
      <c r="Z35" s="3305"/>
      <c r="AA35" s="3305"/>
      <c r="AB35" s="3305"/>
      <c r="AC35" s="3305"/>
      <c r="AD35" s="3305"/>
      <c r="AE35" s="3305"/>
      <c r="AF35" s="3309"/>
    </row>
    <row r="36" spans="1:33" ht="15" customHeight="1">
      <c r="A36" s="117"/>
      <c r="B36" s="246">
        <f t="shared" si="1"/>
        <v>23</v>
      </c>
      <c r="C36" s="535" t="s">
        <v>523</v>
      </c>
      <c r="D36" s="253"/>
      <c r="E36" s="307"/>
      <c r="F36" s="307"/>
      <c r="G36" s="308"/>
      <c r="H36" s="308"/>
      <c r="I36" s="308"/>
      <c r="J36" s="308"/>
      <c r="K36" s="880" t="s">
        <v>1057</v>
      </c>
      <c r="L36" s="333">
        <f t="shared" si="0"/>
        <v>23</v>
      </c>
      <c r="M36" s="3019"/>
      <c r="N36" s="1063"/>
      <c r="O36" s="343"/>
      <c r="P36" s="2932">
        <v>242450</v>
      </c>
      <c r="Q36" s="651"/>
      <c r="R36" s="2931"/>
      <c r="S36" s="3304"/>
      <c r="T36" s="3305"/>
      <c r="U36" s="3306" t="s">
        <v>507</v>
      </c>
      <c r="V36" s="3307" t="s">
        <v>2318</v>
      </c>
      <c r="W36" s="3305"/>
      <c r="X36" s="3305"/>
      <c r="Y36" s="3305"/>
      <c r="Z36" s="3305"/>
      <c r="AA36" s="3305"/>
      <c r="AB36" s="3305"/>
      <c r="AC36" s="3305"/>
      <c r="AD36" s="3305"/>
      <c r="AE36" s="3305"/>
      <c r="AF36" s="3309"/>
    </row>
    <row r="37" spans="1:33" ht="15" customHeight="1" thickBot="1">
      <c r="A37" s="117"/>
      <c r="B37" s="246">
        <f t="shared" si="1"/>
        <v>24</v>
      </c>
      <c r="C37" s="535" t="s">
        <v>745</v>
      </c>
      <c r="D37" s="253"/>
      <c r="E37" s="307"/>
      <c r="F37" s="307"/>
      <c r="G37" s="308"/>
      <c r="H37" s="308"/>
      <c r="I37" s="308"/>
      <c r="J37" s="308"/>
      <c r="K37" s="880" t="s">
        <v>1066</v>
      </c>
      <c r="L37" s="333">
        <f t="shared" si="0"/>
        <v>24</v>
      </c>
      <c r="M37" s="3019"/>
      <c r="N37" s="1063"/>
      <c r="O37" s="343"/>
      <c r="P37" s="2932">
        <v>406650</v>
      </c>
      <c r="Q37" s="651"/>
      <c r="R37" s="2931"/>
      <c r="S37" s="3304"/>
      <c r="T37" s="3305"/>
      <c r="U37" s="3305"/>
      <c r="V37" s="3307"/>
      <c r="W37" s="3305"/>
      <c r="X37" s="3305"/>
      <c r="Y37" s="3305"/>
      <c r="Z37" s="3305"/>
      <c r="AA37" s="3305"/>
      <c r="AB37" s="3305"/>
      <c r="AC37" s="3305"/>
      <c r="AD37" s="3305"/>
      <c r="AE37" s="3305"/>
      <c r="AF37" s="3309"/>
    </row>
    <row r="38" spans="1:33" ht="15" customHeight="1" thickBot="1">
      <c r="A38" s="117"/>
      <c r="B38" s="246">
        <f t="shared" si="1"/>
        <v>25</v>
      </c>
      <c r="C38" s="535" t="s">
        <v>801</v>
      </c>
      <c r="D38" s="253"/>
      <c r="E38" s="307"/>
      <c r="F38" s="307"/>
      <c r="G38" s="308"/>
      <c r="H38" s="308"/>
      <c r="I38" s="973"/>
      <c r="J38" s="308"/>
      <c r="K38" s="973" t="str">
        <f>IF($M$38&gt;0,"(Enter as negative amount)",".   .   .   .   .   .   .   .   .   .   .   .   .   .   .   .   .   . ")</f>
        <v xml:space="preserve">.   .   .   .   .   .   .   .   .   .   .   .   .   .   .   .   .   . </v>
      </c>
      <c r="L38" s="333">
        <f t="shared" si="0"/>
        <v>25</v>
      </c>
      <c r="M38" s="3019"/>
      <c r="N38" s="1063"/>
      <c r="O38" s="343"/>
      <c r="P38" s="2932">
        <v>41050</v>
      </c>
      <c r="Q38" s="651"/>
      <c r="R38" s="2931"/>
      <c r="S38" s="3304"/>
      <c r="T38" s="3305"/>
      <c r="U38" s="3341" t="str">
        <f>IF(AC29&gt;AC32,"","X")</f>
        <v>X</v>
      </c>
      <c r="V38" s="3307" t="s">
        <v>711</v>
      </c>
      <c r="W38" s="3307" t="s">
        <v>2319</v>
      </c>
      <c r="X38" s="3305"/>
      <c r="Y38" s="3305"/>
      <c r="Z38" s="3305"/>
      <c r="AA38" s="3305"/>
      <c r="AB38" s="3305"/>
      <c r="AC38" s="3305"/>
      <c r="AD38" s="3305"/>
      <c r="AE38" s="3305"/>
      <c r="AF38" s="3309"/>
    </row>
    <row r="39" spans="1:33" ht="15" customHeight="1" thickBot="1">
      <c r="A39" s="117"/>
      <c r="B39" s="246">
        <f t="shared" si="1"/>
        <v>26</v>
      </c>
      <c r="C39" s="535" t="s">
        <v>800</v>
      </c>
      <c r="D39" s="253"/>
      <c r="E39" s="307"/>
      <c r="F39" s="307"/>
      <c r="G39" s="308"/>
      <c r="H39" s="308"/>
      <c r="I39" s="308"/>
      <c r="J39" s="308"/>
      <c r="K39" s="2659" t="s">
        <v>988</v>
      </c>
      <c r="L39" s="333">
        <f t="shared" si="0"/>
        <v>26</v>
      </c>
      <c r="M39" s="3019"/>
      <c r="N39" s="1063"/>
      <c r="O39" s="343"/>
      <c r="P39" s="2933">
        <v>0.25</v>
      </c>
      <c r="Q39" s="651"/>
      <c r="R39" s="2931"/>
      <c r="S39" s="3304"/>
      <c r="T39" s="3305"/>
      <c r="U39" s="3305"/>
      <c r="V39" s="3307"/>
      <c r="W39" s="3305"/>
      <c r="X39" s="3305"/>
      <c r="Y39" s="3305"/>
      <c r="Z39" s="3305"/>
      <c r="AA39" s="3305"/>
      <c r="AB39" s="3305"/>
      <c r="AC39" s="3305"/>
      <c r="AD39" s="3305"/>
      <c r="AE39" s="3305"/>
      <c r="AF39" s="3309"/>
    </row>
    <row r="40" spans="1:33" ht="15" customHeight="1" thickBot="1">
      <c r="A40" s="117"/>
      <c r="B40" s="246">
        <f t="shared" si="1"/>
        <v>27</v>
      </c>
      <c r="C40" s="535" t="s">
        <v>799</v>
      </c>
      <c r="D40" s="253"/>
      <c r="E40" s="307"/>
      <c r="F40" s="307"/>
      <c r="G40" s="308"/>
      <c r="H40" s="308"/>
      <c r="I40" s="308"/>
      <c r="J40" s="308"/>
      <c r="K40" s="880" t="s">
        <v>977</v>
      </c>
      <c r="L40" s="333">
        <f t="shared" si="0"/>
        <v>27</v>
      </c>
      <c r="M40" s="3019"/>
      <c r="N40" s="1063"/>
      <c r="O40" s="343"/>
      <c r="P40" s="2935">
        <f>SUM(M13,M15,M16,M18,M19,M20,SUM(M21:M40))</f>
        <v>0</v>
      </c>
      <c r="Q40" s="651"/>
      <c r="R40" s="2936" t="s">
        <v>1762</v>
      </c>
      <c r="S40" s="3304"/>
      <c r="T40" s="3305"/>
      <c r="U40" s="3341" t="str">
        <f>IF(AC29&gt;AC32,"X","")</f>
        <v/>
      </c>
      <c r="V40" s="3307" t="s">
        <v>713</v>
      </c>
      <c r="W40" s="3305" t="s">
        <v>2320</v>
      </c>
      <c r="X40" s="3305"/>
      <c r="Y40" s="3305"/>
      <c r="Z40" s="3305"/>
      <c r="AA40" s="3305"/>
      <c r="AB40" s="3305"/>
      <c r="AC40" s="3248" t="str">
        <f>IF(U38="X","",SUM(AC29,-AC32))</f>
        <v/>
      </c>
      <c r="AD40" s="3305"/>
      <c r="AE40" s="3305"/>
      <c r="AF40" s="3309"/>
    </row>
    <row r="41" spans="1:33" ht="15" customHeight="1">
      <c r="A41" s="117"/>
      <c r="B41" s="246">
        <f>B40+1</f>
        <v>28</v>
      </c>
      <c r="C41" s="233" t="s">
        <v>1754</v>
      </c>
      <c r="D41" s="233"/>
      <c r="E41" s="307"/>
      <c r="F41" s="307"/>
      <c r="G41" s="308"/>
      <c r="H41" s="308"/>
      <c r="I41" s="308"/>
      <c r="J41" s="308"/>
      <c r="K41" s="910"/>
      <c r="L41" s="301"/>
      <c r="M41" s="2934">
        <f>SUM(P40,P41)</f>
        <v>0</v>
      </c>
      <c r="N41" s="1062"/>
      <c r="O41" s="342"/>
      <c r="P41" s="2935">
        <f>IF(P40&gt;P37,P38,IF(P40&gt;P36,ROUND(P39*(SUM(P40,-P36)),0),0))</f>
        <v>0</v>
      </c>
      <c r="Q41" s="651"/>
      <c r="R41" s="2936" t="s">
        <v>1763</v>
      </c>
      <c r="S41" s="3304"/>
      <c r="T41" s="3305"/>
      <c r="U41" s="3305"/>
      <c r="V41" s="3307"/>
      <c r="W41" s="3305"/>
      <c r="X41" s="3305"/>
      <c r="Y41" s="3305"/>
      <c r="Z41" s="3305"/>
      <c r="AA41" s="3305"/>
      <c r="AB41" s="3305"/>
      <c r="AC41" s="3305"/>
      <c r="AD41" s="3305"/>
      <c r="AE41" s="3305"/>
      <c r="AF41" s="3309"/>
    </row>
    <row r="42" spans="1:33" ht="15" customHeight="1">
      <c r="A42" s="117"/>
      <c r="B42" s="246"/>
      <c r="C42" s="535" t="str">
        <f>"28 is more than "&amp;TEXT(P36,"$0,000")&amp;", see instructions.)"</f>
        <v>28 is more than $242,450, see instructions.)</v>
      </c>
      <c r="D42" s="253"/>
      <c r="E42" s="307"/>
      <c r="F42" s="307"/>
      <c r="G42" s="308"/>
      <c r="H42" s="308"/>
      <c r="I42" s="308"/>
      <c r="J42" s="308"/>
      <c r="K42" s="2659" t="s">
        <v>514</v>
      </c>
      <c r="L42" s="301">
        <f>B41</f>
        <v>28</v>
      </c>
      <c r="M42" s="3018">
        <f>IF(P42&lt;&gt;"",P42,IF(AND(File_Marr_Sep&lt;&gt;"",P40&gt;P36),M41,SUM(M13,M15,M16,M18,M19,M20,SUM(M21:M40))))</f>
        <v>0</v>
      </c>
      <c r="N42" s="1062"/>
      <c r="O42" s="342"/>
      <c r="P42" s="676"/>
      <c r="Q42" s="651"/>
      <c r="R42" s="2701"/>
      <c r="S42" s="3304"/>
      <c r="T42" s="3305"/>
      <c r="U42" s="3306" t="s">
        <v>508</v>
      </c>
      <c r="V42" s="3307" t="s">
        <v>324</v>
      </c>
      <c r="W42" s="3305"/>
      <c r="X42" s="3305"/>
      <c r="Y42" s="3305"/>
      <c r="Z42" s="3305"/>
      <c r="AA42" s="3305"/>
      <c r="AB42" s="3305"/>
      <c r="AC42" s="3305"/>
      <c r="AD42" s="3305"/>
      <c r="AE42" s="3305"/>
      <c r="AF42" s="3309"/>
    </row>
    <row r="43" spans="1:33" ht="12" customHeight="1">
      <c r="A43" s="117"/>
      <c r="B43" s="914" t="s">
        <v>197</v>
      </c>
      <c r="C43" s="4910" t="s">
        <v>14</v>
      </c>
      <c r="D43" s="4910"/>
      <c r="E43" s="4911"/>
      <c r="F43" s="4911"/>
      <c r="G43" s="4911"/>
      <c r="H43" s="4911"/>
      <c r="I43" s="4911"/>
      <c r="J43" s="4911"/>
      <c r="K43" s="4911"/>
      <c r="L43" s="4911"/>
      <c r="M43" s="4911"/>
      <c r="N43" s="1064"/>
      <c r="O43" s="915"/>
      <c r="P43" s="916"/>
      <c r="Q43" s="609"/>
      <c r="R43" s="928"/>
      <c r="S43" s="3304"/>
      <c r="T43" s="3305"/>
      <c r="U43" s="3307" t="s">
        <v>238</v>
      </c>
      <c r="V43" s="3307" t="str">
        <f>"Single or head of household -- "&amp;TEXT(G46,"$0,000")</f>
        <v>Single or head of household -- $117,300</v>
      </c>
      <c r="W43" s="3305"/>
      <c r="X43" s="3305"/>
      <c r="Y43" s="3305"/>
      <c r="Z43" s="3305"/>
      <c r="AA43" s="3325"/>
      <c r="AB43" s="3305"/>
      <c r="AC43" s="3305"/>
      <c r="AD43" s="3305"/>
      <c r="AE43" s="3305"/>
      <c r="AF43" s="3309"/>
    </row>
    <row r="44" spans="1:33" ht="13.5" customHeight="1" thickBot="1">
      <c r="A44" s="117"/>
      <c r="B44" s="311">
        <f>B41+1</f>
        <v>29</v>
      </c>
      <c r="C44" s="535" t="str">
        <f>"Exemption. (If you were under age 24 at the end of "&amp;TaxYear&amp;", see instructions.)"</f>
        <v>Exemption. (If you were under age 24 at the end of 2014, see instructions.)</v>
      </c>
      <c r="D44" s="2655"/>
      <c r="E44" s="2656"/>
      <c r="F44" s="2656"/>
      <c r="G44" s="308"/>
      <c r="H44" s="308"/>
      <c r="I44" s="308"/>
      <c r="J44" s="308"/>
      <c r="K44" s="2659" t="s">
        <v>1228</v>
      </c>
      <c r="L44" s="301">
        <f>B44</f>
        <v>29</v>
      </c>
      <c r="M44" s="3018" t="str">
        <f>IF(P44&lt;&gt;"",P44,IF('1040'!AI22=0,"",IF(ChildUnder24&lt;&gt;"",AC106,IF(AND(OR(File_Single&lt;&gt;"",File_Head&lt;&gt;""),AltMinTaxInc&lt;=G46),I46,IF(AND(OR(File_Marr_Joint&lt;&gt;"",File_Qual_Widow&lt;&gt;""),AltMinTaxInc&lt;=G47),I47,IF(AND(File_Marr_Sep&lt;&gt;"",AltMinTaxInc&lt;=G48),I48,AC100))))))</f>
        <v/>
      </c>
      <c r="N44" s="1065"/>
      <c r="O44" s="342"/>
      <c r="P44" s="676"/>
      <c r="Q44" s="60"/>
      <c r="R44" s="928"/>
      <c r="S44" s="3304"/>
      <c r="T44" s="3305"/>
      <c r="U44" s="3307" t="s">
        <v>238</v>
      </c>
      <c r="V44" s="3307" t="str">
        <f>"Married filing jointly or qualifying widow(er) -- "&amp;TEXT(G47,"$0,000")</f>
        <v>Married filing jointly or qualifying widow(er) -- $156,500</v>
      </c>
      <c r="W44" s="3305"/>
      <c r="X44" s="3305"/>
      <c r="Y44" s="3305"/>
      <c r="Z44" s="3305"/>
      <c r="AA44" s="3325"/>
      <c r="AB44" s="3305"/>
      <c r="AC44" s="3248" t="str">
        <f>IF(U38="X","",IF(OR(File_Single&lt;&gt;"",File_Head&lt;&gt;""),G46,IF(OR(File_Marr_Joint&lt;&gt;"",File_Qual_Widow&lt;&gt;""),G47,IF(File_Marr_Sep&lt;&gt;"",G48,"Filing status?"))))</f>
        <v/>
      </c>
      <c r="AD44" s="3305"/>
      <c r="AE44" s="3305"/>
      <c r="AF44" s="3309"/>
    </row>
    <row r="45" spans="1:33" ht="18.75" customHeight="1" thickBot="1">
      <c r="A45" s="117"/>
      <c r="B45" s="311"/>
      <c r="C45" s="233" t="s">
        <v>1764</v>
      </c>
      <c r="D45" s="2922"/>
      <c r="E45" s="2923"/>
      <c r="F45" s="2923"/>
      <c r="G45" s="312" t="s">
        <v>1767</v>
      </c>
      <c r="H45" s="308"/>
      <c r="I45" s="312" t="s">
        <v>1768</v>
      </c>
      <c r="J45" s="308"/>
      <c r="K45" s="2659"/>
      <c r="L45" s="246"/>
      <c r="M45" s="3135"/>
      <c r="N45" s="1065"/>
      <c r="O45" s="2670"/>
      <c r="P45" s="3343" t="str">
        <f>IF(O45="","Check if this form is for a 'child' under age 24 (See instructions.)",IF(AA123=0,"Question must be answered. (See Cell Z113.)","Line 29 Worksheet completed for person under 24."))</f>
        <v>Check if this form is for a 'child' under age 24 (See instructions.)</v>
      </c>
      <c r="Q45" s="3342" t="b">
        <f>IF(AND(O45&lt;&gt;"",AA123=0),TRUE,FALSE)</f>
        <v>0</v>
      </c>
      <c r="R45" s="928"/>
      <c r="S45" s="3304"/>
      <c r="T45" s="3305"/>
      <c r="U45" s="3307" t="s">
        <v>238</v>
      </c>
      <c r="V45" s="3307" t="str">
        <f>"Married filing separately -- "&amp;TEXT(G48,"$0,000")</f>
        <v>Married filing separately -- $78,250</v>
      </c>
      <c r="W45" s="3305"/>
      <c r="X45" s="3305"/>
      <c r="Y45" s="3305"/>
      <c r="Z45" s="3305"/>
      <c r="AA45" s="3325"/>
      <c r="AB45" s="3305"/>
      <c r="AC45" s="3305"/>
      <c r="AD45" s="3305"/>
      <c r="AE45" s="3305"/>
      <c r="AF45" s="3309"/>
    </row>
    <row r="46" spans="1:33" ht="13.5" customHeight="1">
      <c r="A46" s="117"/>
      <c r="B46" s="311"/>
      <c r="C46" s="535" t="s">
        <v>1765</v>
      </c>
      <c r="D46" s="2922"/>
      <c r="E46" s="2923"/>
      <c r="F46" s="2923"/>
      <c r="G46" s="2937">
        <v>117300</v>
      </c>
      <c r="H46" s="2966" t="str">
        <f>".   .   .   .   ."</f>
        <v>.   .   .   .   .</v>
      </c>
      <c r="I46" s="2937">
        <v>52800</v>
      </c>
      <c r="J46" s="308"/>
      <c r="K46" s="2659"/>
      <c r="L46" s="246"/>
      <c r="M46" s="3135"/>
      <c r="N46" s="1065"/>
      <c r="O46" s="343"/>
      <c r="P46" s="1657"/>
      <c r="Q46" s="60"/>
      <c r="R46" s="928"/>
      <c r="S46" s="3304"/>
      <c r="T46" s="3305"/>
      <c r="U46" s="3305"/>
      <c r="V46" s="3307"/>
      <c r="W46" s="3305"/>
      <c r="X46" s="3305"/>
      <c r="Y46" s="3305"/>
      <c r="Z46" s="3305"/>
      <c r="AA46" s="3325"/>
      <c r="AB46" s="3305"/>
      <c r="AC46" s="3305"/>
      <c r="AD46" s="3305"/>
      <c r="AE46" s="3305"/>
      <c r="AF46" s="3309"/>
      <c r="AG46" s="2938">
        <v>328500</v>
      </c>
    </row>
    <row r="47" spans="1:33" ht="13.5" customHeight="1">
      <c r="A47" s="117"/>
      <c r="B47" s="311"/>
      <c r="C47" s="535" t="s">
        <v>1100</v>
      </c>
      <c r="D47" s="2922"/>
      <c r="E47" s="2923"/>
      <c r="F47" s="2923"/>
      <c r="G47" s="1014">
        <v>156500</v>
      </c>
      <c r="H47" s="2966" t="str">
        <f>".   .   .   .   ."</f>
        <v>.   .   .   .   .</v>
      </c>
      <c r="I47" s="1014">
        <v>82100</v>
      </c>
      <c r="J47" s="308"/>
      <c r="K47" s="2659"/>
      <c r="L47" s="246"/>
      <c r="M47" s="3135"/>
      <c r="N47" s="1065"/>
      <c r="O47" s="343"/>
      <c r="P47" s="1657"/>
      <c r="Q47" s="60"/>
      <c r="R47" s="928"/>
      <c r="S47" s="3304"/>
      <c r="T47" s="3305"/>
      <c r="U47" s="3306" t="s">
        <v>509</v>
      </c>
      <c r="V47" s="3307" t="s">
        <v>2321</v>
      </c>
      <c r="W47" s="3305"/>
      <c r="X47" s="3305"/>
      <c r="Y47" s="3305"/>
      <c r="Z47" s="3305"/>
      <c r="AA47" s="3305"/>
      <c r="AB47" s="3305"/>
      <c r="AC47" s="3305"/>
      <c r="AD47" s="3305"/>
      <c r="AE47" s="3305"/>
      <c r="AF47" s="3309"/>
      <c r="AG47" s="2938">
        <v>484900</v>
      </c>
    </row>
    <row r="48" spans="1:33" ht="13.5" customHeight="1" thickBot="1">
      <c r="A48" s="117"/>
      <c r="B48" s="311"/>
      <c r="C48" s="535" t="s">
        <v>462</v>
      </c>
      <c r="D48" s="2922"/>
      <c r="E48" s="2923"/>
      <c r="F48" s="294" t="s">
        <v>1775</v>
      </c>
      <c r="G48" s="1014">
        <v>78250</v>
      </c>
      <c r="H48" s="2966" t="str">
        <f>".   .   .   .   ."</f>
        <v>.   .   .   .   .</v>
      </c>
      <c r="I48" s="1014">
        <v>41050</v>
      </c>
      <c r="J48" s="308"/>
      <c r="K48" s="2659"/>
      <c r="L48" s="246"/>
      <c r="M48" s="3135"/>
      <c r="N48" s="1065"/>
      <c r="O48" s="344"/>
      <c r="P48" s="1657"/>
      <c r="Q48" s="60"/>
      <c r="R48" s="928"/>
      <c r="S48" s="3304"/>
      <c r="T48" s="3305"/>
      <c r="U48" s="3305"/>
      <c r="V48" s="3307"/>
      <c r="W48" s="3305"/>
      <c r="X48" s="3305"/>
      <c r="Y48" s="3305"/>
      <c r="Z48" s="3305"/>
      <c r="AA48" s="3305"/>
      <c r="AB48" s="3305"/>
      <c r="AC48" s="3305"/>
      <c r="AD48" s="3305"/>
      <c r="AE48" s="3305"/>
      <c r="AF48" s="3309"/>
      <c r="AG48" s="2938">
        <v>242450</v>
      </c>
    </row>
    <row r="49" spans="1:35" ht="13.5" customHeight="1" thickBot="1">
      <c r="A49" s="117"/>
      <c r="B49" s="311"/>
      <c r="C49" s="535" t="s">
        <v>1766</v>
      </c>
      <c r="D49" s="2922"/>
      <c r="E49" s="2923"/>
      <c r="F49" s="2923"/>
      <c r="G49" s="308"/>
      <c r="H49" s="308"/>
      <c r="I49" s="308"/>
      <c r="J49" s="308"/>
      <c r="K49" s="2659"/>
      <c r="L49" s="246"/>
      <c r="M49" s="3135"/>
      <c r="N49" s="1065"/>
      <c r="O49" s="342"/>
      <c r="P49" s="898"/>
      <c r="Q49" s="60"/>
      <c r="R49" s="930"/>
      <c r="S49" s="3304"/>
      <c r="T49" s="3305"/>
      <c r="U49" s="3341" t="str">
        <f>IF(U38="X","",IF(AC29&gt;AC44,"","X"))</f>
        <v/>
      </c>
      <c r="V49" s="3307" t="s">
        <v>711</v>
      </c>
      <c r="W49" s="3307" t="s">
        <v>2322</v>
      </c>
      <c r="X49" s="3305"/>
      <c r="Y49" s="3305"/>
      <c r="Z49" s="3305"/>
      <c r="AA49" s="3305"/>
      <c r="AB49" s="3305"/>
      <c r="AC49" s="3326" t="str">
        <f>IF(U49="X","Go to Line 15.","")</f>
        <v/>
      </c>
      <c r="AD49" s="3305"/>
      <c r="AE49" s="3305"/>
      <c r="AF49" s="3309"/>
      <c r="AG49" s="2290" t="str">
        <f>IF(OR(AND(OR(File_Single&lt;&gt;"",File_Head&lt;&gt;""),AltMinTaxInc&gt;=$AG$46),AND(OR(File_Marr_Joint&lt;&gt;"",File_Qual_Widow&lt;&gt;""),AltMinTaxInc&gt;=$AG$47),AND(File_Marr_Sep&lt;&gt;"",AltMinTaxInc&gt;=$AG$48)),"No","Yes")</f>
        <v>Yes</v>
      </c>
    </row>
    <row r="50" spans="1:35" ht="15" customHeight="1" thickBot="1">
      <c r="A50" s="117"/>
      <c r="B50" s="246">
        <f>B44+1</f>
        <v>30</v>
      </c>
      <c r="C50" s="535" t="s">
        <v>2196</v>
      </c>
      <c r="D50" s="253"/>
      <c r="E50" s="307"/>
      <c r="F50" s="307"/>
      <c r="G50" s="308"/>
      <c r="H50" s="308"/>
      <c r="I50" s="308"/>
      <c r="J50" s="308"/>
      <c r="K50" s="918"/>
      <c r="L50" s="581"/>
      <c r="M50" s="3135"/>
      <c r="N50" s="1063"/>
      <c r="O50" s="342"/>
      <c r="P50" s="898"/>
      <c r="Q50" s="651"/>
      <c r="R50" s="941"/>
      <c r="S50" s="3304"/>
      <c r="T50" s="3305"/>
      <c r="U50" s="3305"/>
      <c r="V50" s="3307"/>
      <c r="W50" s="3305"/>
      <c r="X50" s="3305"/>
      <c r="Y50" s="3305"/>
      <c r="Z50" s="3305"/>
      <c r="AA50" s="3305"/>
      <c r="AB50" s="3305"/>
      <c r="AC50" s="3305"/>
      <c r="AD50" s="3305"/>
      <c r="AE50" s="3305"/>
      <c r="AF50" s="3309"/>
    </row>
    <row r="51" spans="1:35" ht="13.5" customHeight="1" thickBot="1">
      <c r="A51" s="117"/>
      <c r="B51" s="246"/>
      <c r="C51" s="535" t="s">
        <v>2197</v>
      </c>
      <c r="D51" s="253"/>
      <c r="E51" s="307"/>
      <c r="F51" s="307"/>
      <c r="G51" s="308"/>
      <c r="H51" s="308"/>
      <c r="I51" s="308"/>
      <c r="J51" s="308"/>
      <c r="K51" s="2659" t="s">
        <v>1772</v>
      </c>
      <c r="L51" s="301">
        <f>B50</f>
        <v>30</v>
      </c>
      <c r="M51" s="3018" t="str">
        <f>IF(P51&lt;&gt;"",P51,IF(OR(Q45,'1040'!AI22=0),"",IF(AMTExemptionFlag="No",MAX(AltMinTaxInc,0),IF(SUM(AltMinTaxInc,-M44)&lt;0,0,SUM(AltMinTaxInc,-M44)))))</f>
        <v/>
      </c>
      <c r="N51" s="1063"/>
      <c r="O51" s="344"/>
      <c r="P51" s="676"/>
      <c r="Q51" s="651"/>
      <c r="R51" s="941"/>
      <c r="S51" s="3304"/>
      <c r="T51" s="3305"/>
      <c r="U51" s="3341" t="str">
        <f>IF(U38="X","",IF(AC29&gt;AC44,"X",""))</f>
        <v/>
      </c>
      <c r="V51" s="3307" t="s">
        <v>713</v>
      </c>
      <c r="W51" s="3307" t="s">
        <v>2323</v>
      </c>
      <c r="X51" s="3305"/>
      <c r="Y51" s="3305"/>
      <c r="Z51" s="3305"/>
      <c r="AA51" s="3305"/>
      <c r="AB51" s="3305"/>
      <c r="AC51" s="3248" t="str">
        <f>IF(U38="X","",IF(U49="X",0,SUM(AC29,-AC44)))</f>
        <v/>
      </c>
      <c r="AD51" s="3305"/>
      <c r="AE51" s="3305"/>
      <c r="AF51" s="3309"/>
    </row>
    <row r="52" spans="1:35" ht="13.5" customHeight="1">
      <c r="A52" s="117"/>
      <c r="B52" s="311">
        <f>B50+1</f>
        <v>31</v>
      </c>
      <c r="C52" s="307" t="s">
        <v>1221</v>
      </c>
      <c r="D52" s="1078"/>
      <c r="E52" s="307"/>
      <c r="F52" s="307"/>
      <c r="G52" s="308"/>
      <c r="H52" s="308"/>
      <c r="I52" s="308"/>
      <c r="J52" s="308"/>
      <c r="K52" s="815"/>
      <c r="L52" s="322"/>
      <c r="M52" s="2941" t="b">
        <f>IF(SchD_NotReqd&lt;&gt;"",TRUE,FALSE)</f>
        <v>0</v>
      </c>
      <c r="N52" s="1065"/>
      <c r="O52" s="342"/>
      <c r="P52" s="898"/>
      <c r="Q52" s="60"/>
      <c r="R52" s="919"/>
      <c r="S52" s="3304"/>
      <c r="T52" s="3305"/>
      <c r="U52" s="3305"/>
      <c r="V52" s="3307"/>
      <c r="W52" s="3305"/>
      <c r="X52" s="3305"/>
      <c r="Y52" s="3305"/>
      <c r="Z52" s="3305"/>
      <c r="AA52" s="3305"/>
      <c r="AB52" s="3305"/>
      <c r="AC52" s="3305"/>
      <c r="AD52" s="3305"/>
      <c r="AE52" s="3305"/>
      <c r="AF52" s="3309"/>
    </row>
    <row r="53" spans="1:35">
      <c r="A53" s="117"/>
      <c r="B53" s="311"/>
      <c r="C53" s="307" t="s">
        <v>1583</v>
      </c>
      <c r="D53" s="1078"/>
      <c r="E53" s="307"/>
      <c r="F53" s="307"/>
      <c r="G53" s="308"/>
      <c r="H53" s="308"/>
      <c r="I53" s="308"/>
      <c r="J53" s="308"/>
      <c r="K53" s="815"/>
      <c r="L53" s="323"/>
      <c r="M53" s="2942" t="b">
        <f>IF(Qualified_Dividends&lt;&gt;0,TRUE,FALSE)</f>
        <v>0</v>
      </c>
      <c r="N53" s="1065"/>
      <c r="O53" s="343"/>
      <c r="P53" s="898"/>
      <c r="Q53" s="60"/>
      <c r="R53" s="919"/>
      <c r="S53" s="3304"/>
      <c r="T53" s="3305"/>
      <c r="U53" s="3306" t="s">
        <v>740</v>
      </c>
      <c r="V53" s="3307" t="str">
        <f>"Multiply line 12 by "&amp;TEXT(AG53,"0%")&amp;" ("&amp;TEXT(AG53,".00")&amp;") and enter the smaller of the result or line 9"</f>
        <v>Multiply line 12 by 25% (.25) and enter the smaller of the result or line 9</v>
      </c>
      <c r="W53" s="3305"/>
      <c r="X53" s="3305"/>
      <c r="Y53" s="3305"/>
      <c r="Z53" s="3305"/>
      <c r="AA53" s="3305"/>
      <c r="AB53" s="3305"/>
      <c r="AC53" s="3248" t="str">
        <f>IF(U38="X","",MIN(ROUND(AG53*AC51,0),AC32))</f>
        <v/>
      </c>
      <c r="AD53" s="3305"/>
      <c r="AE53" s="3305"/>
      <c r="AF53" s="3309"/>
      <c r="AG53" s="3298">
        <v>0.25</v>
      </c>
    </row>
    <row r="54" spans="1:35" ht="12" customHeight="1">
      <c r="A54" s="117"/>
      <c r="B54" s="311"/>
      <c r="C54" s="535" t="s">
        <v>1582</v>
      </c>
      <c r="D54" s="535"/>
      <c r="E54" s="307"/>
      <c r="F54" s="307"/>
      <c r="G54" s="308"/>
      <c r="H54" s="308"/>
      <c r="I54" s="312"/>
      <c r="J54" s="312"/>
      <c r="K54" s="816"/>
      <c r="L54" s="581"/>
      <c r="M54" s="2942" t="b">
        <f>IF(AND(SchDLine15&gt;0,SchDLine16&gt;0),TRUE,FALSE)</f>
        <v>0</v>
      </c>
      <c r="N54" s="1062"/>
      <c r="O54" s="343"/>
      <c r="P54" s="898"/>
      <c r="Q54" s="60"/>
      <c r="R54" s="919"/>
      <c r="S54" s="3304"/>
      <c r="T54" s="3305"/>
      <c r="U54" s="3305"/>
      <c r="V54" s="3307"/>
      <c r="W54" s="3305"/>
      <c r="X54" s="3305"/>
      <c r="Y54" s="3305"/>
      <c r="Z54" s="3305"/>
      <c r="AA54" s="3305"/>
      <c r="AB54" s="3305"/>
      <c r="AC54" s="3305"/>
      <c r="AD54" s="3305"/>
      <c r="AE54" s="3310"/>
      <c r="AF54" s="3309"/>
    </row>
    <row r="55" spans="1:35" ht="12.75" customHeight="1">
      <c r="A55" s="117"/>
      <c r="B55" s="311"/>
      <c r="C55" s="535" t="s">
        <v>2718</v>
      </c>
      <c r="D55" s="535"/>
      <c r="E55" s="307"/>
      <c r="F55" s="307"/>
      <c r="G55" s="308"/>
      <c r="H55" s="308"/>
      <c r="I55" s="312"/>
      <c r="J55" s="312"/>
      <c r="K55" s="2659" t="s">
        <v>1210</v>
      </c>
      <c r="L55" s="333">
        <f>B52</f>
        <v>31</v>
      </c>
      <c r="M55" s="3018" t="str">
        <f>IF(P55&lt;&gt;"",P55,IF(OR(R57="Stop",'1040'!AI22=0),"",IF(F6251_PIII,M126,IF(M51&lt;=R63,M51*R67,SUM((M51*R69),-R66)))))</f>
        <v/>
      </c>
      <c r="N55" s="1062"/>
      <c r="O55" s="343"/>
      <c r="P55" s="676"/>
      <c r="Q55" s="60"/>
      <c r="R55" s="919"/>
      <c r="S55" s="3304"/>
      <c r="T55" s="3305"/>
      <c r="U55" s="3306" t="s">
        <v>741</v>
      </c>
      <c r="V55" s="3307" t="s">
        <v>2324</v>
      </c>
      <c r="W55" s="3305"/>
      <c r="X55" s="3305"/>
      <c r="Y55" s="3305"/>
      <c r="Z55" s="3305"/>
      <c r="AA55" s="3305"/>
      <c r="AB55" s="3305"/>
      <c r="AC55" s="3248" t="str">
        <f>IF(U38="X","",SUM(AC40,AC53))</f>
        <v/>
      </c>
      <c r="AD55" s="3305"/>
      <c r="AE55" s="3035"/>
      <c r="AF55" s="3309"/>
    </row>
    <row r="56" spans="1:35">
      <c r="A56" s="117"/>
      <c r="B56" s="311"/>
      <c r="C56" s="307" t="s">
        <v>238</v>
      </c>
      <c r="D56" s="1077" t="s">
        <v>135</v>
      </c>
      <c r="E56" s="307" t="str">
        <f>"If line "&amp;L51&amp;" is "&amp;TEXT(R61,"$0,000")&amp;" or less ("&amp;TEXT(R62,"$0,000")&amp;" if married filing separately), multiply line "&amp;L51&amp;" by "&amp;TEXT(R67,"0%")&amp;" ("&amp;TEXT(R67,".00")&amp;")."</f>
        <v>If line 30 is $182,500 or less ($91,250 if married filing separately), multiply line 30 by 26% (.26).</v>
      </c>
      <c r="F56" s="307"/>
      <c r="G56" s="308"/>
      <c r="H56" s="308"/>
      <c r="I56" s="308"/>
      <c r="J56" s="308"/>
      <c r="K56" s="815"/>
      <c r="L56" s="581"/>
      <c r="M56" s="899"/>
      <c r="N56" s="1065"/>
      <c r="O56" s="343"/>
      <c r="P56" s="898"/>
      <c r="Q56" s="60"/>
      <c r="R56" s="349"/>
      <c r="S56" s="3304"/>
      <c r="T56" s="3305"/>
      <c r="U56" s="3305"/>
      <c r="V56" s="3307"/>
      <c r="W56" s="3305"/>
      <c r="X56" s="3305"/>
      <c r="Y56" s="3305"/>
      <c r="Z56" s="3305"/>
      <c r="AA56" s="3305"/>
      <c r="AB56" s="3305"/>
      <c r="AC56" s="3305"/>
      <c r="AD56" s="3305"/>
      <c r="AE56" s="3308"/>
      <c r="AF56" s="3309"/>
      <c r="AI56" s="4"/>
    </row>
    <row r="57" spans="1:35">
      <c r="A57" s="117"/>
      <c r="B57" s="311"/>
      <c r="C57" s="1053"/>
      <c r="D57" s="1053" t="str">
        <f>"Otherwise, multiply line "&amp;L51&amp;" by "&amp;TEXT(R69,"0%")&amp;" ("&amp;TEXT(R69,".00")&amp;") and subtract "&amp;TEXT(R64,"$0,000")&amp;" ("&amp;TEXT(R65,"$0,000") &amp;" if married filing separately) from the result."</f>
        <v>Otherwise, multiply line 30 by 28% (.28) and subtract $3,650 ($1,825 if married filing separately) from the result.</v>
      </c>
      <c r="E57" s="307"/>
      <c r="F57" s="307"/>
      <c r="G57" s="308"/>
      <c r="H57" s="308"/>
      <c r="I57" s="312"/>
      <c r="J57" s="312"/>
      <c r="K57" s="816"/>
      <c r="L57" s="581"/>
      <c r="M57" s="819"/>
      <c r="N57" s="1062"/>
      <c r="O57" s="343"/>
      <c r="P57" s="2835" t="b">
        <f>IF(OR(Q69&lt;&gt;"",P58),TRUE,FALSE)</f>
        <v>0</v>
      </c>
      <c r="Q57" s="60"/>
      <c r="R57" s="2290" t="str">
        <f>IF('1040'!AI22=0,"Stop",IF(ISERROR(AltMinTaxInc-M44),"Stop",IF(AltMinTaxInc-M44&lt;=0,"Stop","Continue")))</f>
        <v>Stop</v>
      </c>
      <c r="S57" s="3304"/>
      <c r="T57" s="3305"/>
      <c r="U57" s="3306" t="s">
        <v>742</v>
      </c>
      <c r="V57" s="3307" t="str">
        <f>"Is the amount on line 14 more than "&amp;TEXT(R61,"$0,000")&amp;" ("&amp;TEXT(R62,"$0,000")&amp;" if married filing separately)?"</f>
        <v>Is the amount on line 14 more than $182,500 ($91,250 if married filing separately)?</v>
      </c>
      <c r="W57" s="3305"/>
      <c r="X57" s="3305"/>
      <c r="Y57" s="3305"/>
      <c r="Z57" s="3305"/>
      <c r="AA57" s="3305"/>
      <c r="AB57" s="3305"/>
      <c r="AC57" s="3305"/>
      <c r="AD57" s="3305"/>
      <c r="AE57" s="3308"/>
      <c r="AF57" s="3309"/>
      <c r="AG57" s="3299"/>
    </row>
    <row r="58" spans="1:35" ht="15" customHeight="1" thickBot="1">
      <c r="A58" s="117"/>
      <c r="B58" s="246">
        <f>B52+1</f>
        <v>32</v>
      </c>
      <c r="C58" s="535" t="s">
        <v>1584</v>
      </c>
      <c r="D58" s="253"/>
      <c r="E58" s="307"/>
      <c r="F58" s="307"/>
      <c r="G58" s="308"/>
      <c r="H58" s="308"/>
      <c r="I58" s="308"/>
      <c r="J58" s="308"/>
      <c r="K58" s="2659" t="s">
        <v>775</v>
      </c>
      <c r="L58" s="333">
        <f>B58</f>
        <v>32</v>
      </c>
      <c r="M58" s="3019"/>
      <c r="N58" s="1063"/>
      <c r="O58" s="342"/>
      <c r="P58" s="1058" t="b">
        <f>IF(OR(R58,R60,R59),TRUE,FALSE)</f>
        <v>0</v>
      </c>
      <c r="Q58" s="651"/>
      <c r="R58" s="2290" t="b">
        <f>IF(AND(SchD_NotReqd&lt;&gt;"",'1040'!AB46&lt;&gt;0),TRUE,FALSE)</f>
        <v>0</v>
      </c>
      <c r="S58" s="3304"/>
      <c r="T58" s="3305"/>
      <c r="U58" s="3305"/>
      <c r="V58" s="3307"/>
      <c r="W58" s="3305"/>
      <c r="X58" s="3305"/>
      <c r="Y58" s="3305"/>
      <c r="Z58" s="3305"/>
      <c r="AA58" s="3305"/>
      <c r="AB58" s="3305"/>
      <c r="AC58" s="3305"/>
      <c r="AD58" s="3305"/>
      <c r="AE58" s="3035"/>
      <c r="AF58" s="3309"/>
      <c r="AI58" s="4"/>
    </row>
    <row r="59" spans="1:35" ht="15" customHeight="1" thickBot="1">
      <c r="A59" s="117"/>
      <c r="B59" s="246">
        <f>B58+1</f>
        <v>33</v>
      </c>
      <c r="C59" s="535" t="str">
        <f>"Tentative minimum tax. Subtract line "&amp;L58&amp;" from line "&amp;L55</f>
        <v>Tentative minimum tax. Subtract line 32 from line 31</v>
      </c>
      <c r="D59" s="253"/>
      <c r="E59" s="307"/>
      <c r="F59" s="307"/>
      <c r="G59" s="308"/>
      <c r="H59" s="308"/>
      <c r="I59" s="308"/>
      <c r="J59" s="308"/>
      <c r="K59" s="2659" t="s">
        <v>1999</v>
      </c>
      <c r="L59" s="904">
        <f>B59</f>
        <v>33</v>
      </c>
      <c r="M59" s="3018" t="str">
        <f>IF(OR(Q45,'1040'!AI22=0),"",IF(R57="Stop",0,SUM(M55,-M58)))</f>
        <v/>
      </c>
      <c r="N59" s="1063"/>
      <c r="O59" s="340"/>
      <c r="P59" s="3129" t="s">
        <v>389</v>
      </c>
      <c r="Q59" s="651"/>
      <c r="R59" s="2290" t="b">
        <f>IF(Qualified_Dividends&lt;&gt;"",TRUE,IF(Qualified_Dividends&gt;0,TRUE,FALSE))</f>
        <v>0</v>
      </c>
      <c r="S59" s="3304"/>
      <c r="T59" s="3305"/>
      <c r="U59" s="3341" t="str">
        <f>IF(U38="X","",IF(AC55&gt;AG59,"X",""))</f>
        <v/>
      </c>
      <c r="V59" s="3307" t="s">
        <v>713</v>
      </c>
      <c r="W59" s="3307" t="s">
        <v>2325</v>
      </c>
      <c r="X59" s="3305"/>
      <c r="Y59" s="3305"/>
      <c r="Z59" s="3305"/>
      <c r="AA59" s="3305"/>
      <c r="AB59" s="3305"/>
      <c r="AC59" s="3305"/>
      <c r="AD59" s="3305"/>
      <c r="AE59" s="3035"/>
      <c r="AF59" s="3309"/>
      <c r="AG59" s="3298">
        <f>IF(File_Marr_Sep&lt;&gt;"",R62,R61)</f>
        <v>182500</v>
      </c>
    </row>
    <row r="60" spans="1:35" ht="15" customHeight="1" thickBot="1">
      <c r="A60" s="117"/>
      <c r="B60" s="246">
        <f>B59+1</f>
        <v>34</v>
      </c>
      <c r="C60" s="535" t="s">
        <v>2199</v>
      </c>
      <c r="D60" s="535"/>
      <c r="E60" s="307"/>
      <c r="F60" s="307"/>
      <c r="G60" s="308"/>
      <c r="H60" s="308"/>
      <c r="I60" s="308"/>
      <c r="J60" s="308"/>
      <c r="K60" s="309"/>
      <c r="L60" s="1108"/>
      <c r="M60" s="817"/>
      <c r="N60" s="1063"/>
      <c r="O60" s="31"/>
      <c r="P60" s="3130" t="s">
        <v>666</v>
      </c>
      <c r="Q60" s="651"/>
      <c r="R60" s="2291" t="b">
        <f>IF('Line 44'!AC9,TRUE,FALSE)</f>
        <v>0</v>
      </c>
      <c r="S60" s="3304"/>
      <c r="T60" s="3305"/>
      <c r="U60" s="3305"/>
      <c r="V60" s="3307"/>
      <c r="W60" s="3305"/>
      <c r="X60" s="3305"/>
      <c r="Y60" s="3305"/>
      <c r="Z60" s="3305"/>
      <c r="AA60" s="3305"/>
      <c r="AB60" s="3305"/>
      <c r="AC60" s="3305"/>
      <c r="AD60" s="3305"/>
      <c r="AE60" s="3035"/>
      <c r="AF60" s="3309"/>
    </row>
    <row r="61" spans="1:35" ht="15" customHeight="1" thickBot="1">
      <c r="A61" s="117"/>
      <c r="B61" s="246"/>
      <c r="C61" s="535" t="s">
        <v>2200</v>
      </c>
      <c r="D61" s="535"/>
      <c r="E61" s="307"/>
      <c r="F61" s="307"/>
      <c r="G61" s="308"/>
      <c r="H61" s="308"/>
      <c r="I61" s="308"/>
      <c r="J61" s="308"/>
      <c r="K61" s="1074"/>
      <c r="L61" s="301"/>
      <c r="M61" s="899"/>
      <c r="N61" s="1063"/>
      <c r="O61" s="31"/>
      <c r="P61" s="3131"/>
      <c r="Q61" s="651"/>
      <c r="R61" s="2938">
        <v>182500</v>
      </c>
      <c r="S61" s="3304"/>
      <c r="T61" s="3305"/>
      <c r="U61" s="3341" t="str">
        <f>IF(U38="X","",IF(AC55&gt;AG59,"","X"))</f>
        <v/>
      </c>
      <c r="V61" s="3307" t="s">
        <v>711</v>
      </c>
      <c r="W61" s="3307" t="str">
        <f>"Multiply line 14 by "&amp;TEXT(AG61,"0%")&amp;" ("&amp;TEXT(AG61,".00")&amp;")"</f>
        <v>Multiply line 14 by 26% (.26)</v>
      </c>
      <c r="X61" s="3305"/>
      <c r="Y61" s="3305"/>
      <c r="Z61" s="3305"/>
      <c r="AA61" s="3305"/>
      <c r="AB61" s="3305"/>
      <c r="AC61" s="3248" t="str">
        <f>IF(U38="X","",ROUND(AC55*AG61,0))</f>
        <v/>
      </c>
      <c r="AD61" s="3305"/>
      <c r="AE61" s="3035"/>
      <c r="AF61" s="3309"/>
      <c r="AG61" s="3298">
        <v>0.26</v>
      </c>
    </row>
    <row r="62" spans="1:35" ht="15" customHeight="1">
      <c r="A62" s="117"/>
      <c r="B62" s="246"/>
      <c r="C62" s="535" t="s">
        <v>2198</v>
      </c>
      <c r="D62" s="535"/>
      <c r="E62" s="307"/>
      <c r="F62" s="307"/>
      <c r="G62" s="308"/>
      <c r="H62" s="308"/>
      <c r="I62" s="308"/>
      <c r="J62" s="308"/>
      <c r="K62" s="2659" t="s">
        <v>1463</v>
      </c>
      <c r="L62" s="333">
        <f>B60</f>
        <v>34</v>
      </c>
      <c r="M62" s="3020" t="str">
        <f>IF(P62&lt;&gt;"",P62,   IF('1040'!AI22=0,"",   IF(R57="Stop","", SUM(Tax,-P61,-Foreign_Tax_Credit))))</f>
        <v/>
      </c>
      <c r="N62" s="1063"/>
      <c r="O62" s="341"/>
      <c r="P62" s="676"/>
      <c r="Q62" s="651"/>
      <c r="R62" s="2938">
        <v>91250</v>
      </c>
      <c r="S62" s="3304"/>
      <c r="T62" s="3305"/>
      <c r="U62" s="3305"/>
      <c r="V62" s="3307"/>
      <c r="W62" s="3305"/>
      <c r="X62" s="3305"/>
      <c r="Y62" s="3305"/>
      <c r="Z62" s="3305"/>
      <c r="AA62" s="3305"/>
      <c r="AB62" s="3305"/>
      <c r="AC62" s="3305"/>
      <c r="AD62" s="3305"/>
      <c r="AE62" s="3305"/>
      <c r="AF62" s="3309"/>
    </row>
    <row r="63" spans="1:35" ht="15" customHeight="1" thickBot="1">
      <c r="A63" s="117"/>
      <c r="B63" s="246">
        <f>B60+1</f>
        <v>35</v>
      </c>
      <c r="C63" s="233" t="s">
        <v>2201</v>
      </c>
      <c r="D63" s="535"/>
      <c r="E63" s="271"/>
      <c r="F63" s="271"/>
      <c r="G63" s="271"/>
      <c r="H63" s="271"/>
      <c r="I63" s="271"/>
      <c r="J63" s="271"/>
      <c r="K63" s="2659" t="s">
        <v>1064</v>
      </c>
      <c r="L63" s="301">
        <f>B63</f>
        <v>35</v>
      </c>
      <c r="M63" s="3021" t="str">
        <f>IF(P63&lt;&gt;"",P63,IF(OR(Q45,'1040'!AI22=0),"",IF(M51=0,0,IF(SUM(M59,-M62)&lt;=0,0,SUM(M59,-M62)))))</f>
        <v/>
      </c>
      <c r="N63" s="1062"/>
      <c r="O63" s="341"/>
      <c r="P63" s="676"/>
      <c r="Q63" s="83"/>
      <c r="R63" s="2939">
        <f>IF(File_Marr_Sep&lt;&gt;"",R62,R61)</f>
        <v>182500</v>
      </c>
      <c r="S63" s="3304"/>
      <c r="T63" s="3305"/>
      <c r="U63" s="3306" t="s">
        <v>325</v>
      </c>
      <c r="V63" s="3307" t="s">
        <v>2326</v>
      </c>
      <c r="W63" s="3305"/>
      <c r="X63" s="3305"/>
      <c r="Y63" s="3305"/>
      <c r="Z63" s="3305"/>
      <c r="AA63" s="3305"/>
      <c r="AB63" s="3305"/>
      <c r="AC63" s="3305"/>
      <c r="AD63" s="3305"/>
      <c r="AE63" s="3305"/>
      <c r="AF63" s="3309"/>
    </row>
    <row r="64" spans="1:35">
      <c r="A64" s="117"/>
      <c r="B64" s="229" t="s">
        <v>825</v>
      </c>
      <c r="C64" s="352"/>
      <c r="D64" s="352"/>
      <c r="E64" s="352"/>
      <c r="F64" s="352"/>
      <c r="G64" s="900"/>
      <c r="H64" s="901"/>
      <c r="I64" s="901" t="s">
        <v>340</v>
      </c>
      <c r="J64" s="900"/>
      <c r="K64" s="900"/>
      <c r="L64" s="902" t="s">
        <v>212</v>
      </c>
      <c r="M64" s="903" t="str">
        <f>"("&amp;TaxYear&amp;")"</f>
        <v>(2014)</v>
      </c>
      <c r="N64" s="1066"/>
      <c r="O64" s="342"/>
      <c r="P64" s="898"/>
      <c r="Q64" s="60"/>
      <c r="R64" s="2938">
        <v>3650</v>
      </c>
      <c r="S64" s="3304"/>
      <c r="T64" s="3305"/>
      <c r="U64" s="3305"/>
      <c r="V64" s="3307" t="s">
        <v>2327</v>
      </c>
      <c r="W64" s="3305"/>
      <c r="X64" s="3305"/>
      <c r="Y64" s="3305"/>
      <c r="Z64" s="3305"/>
      <c r="AA64" s="3305"/>
      <c r="AB64" s="3305"/>
      <c r="AC64" s="3305"/>
      <c r="AD64" s="3305"/>
      <c r="AE64" s="3035"/>
      <c r="AF64" s="3309"/>
    </row>
    <row r="65" spans="1:33" ht="14.25" customHeight="1">
      <c r="A65" s="117"/>
      <c r="B65" s="231"/>
      <c r="C65" s="303"/>
      <c r="D65" s="303"/>
      <c r="E65" s="303"/>
      <c r="F65" s="303"/>
      <c r="G65" s="304"/>
      <c r="H65" s="305"/>
      <c r="I65" s="304"/>
      <c r="J65" s="304"/>
      <c r="K65" s="304"/>
      <c r="L65" s="31"/>
      <c r="M65" s="1071"/>
      <c r="N65" s="1066"/>
      <c r="O65" s="3296"/>
      <c r="P65" s="898"/>
      <c r="Q65" s="60"/>
      <c r="R65" s="2938">
        <v>1825</v>
      </c>
      <c r="S65" s="3304"/>
      <c r="T65" s="3305"/>
      <c r="U65" s="3305"/>
      <c r="V65" s="3307" t="s">
        <v>2328</v>
      </c>
      <c r="W65" s="3305"/>
      <c r="X65" s="3305"/>
      <c r="Y65" s="3305"/>
      <c r="Z65" s="3305"/>
      <c r="AA65" s="3110"/>
      <c r="AB65" s="3305"/>
      <c r="AC65" s="3248" t="str">
        <f>IF(U38="X","",SUM(Tax,'1040'!AB83,-AA65))</f>
        <v/>
      </c>
      <c r="AD65" s="3305"/>
      <c r="AE65" s="3035"/>
      <c r="AF65" s="3309"/>
    </row>
    <row r="66" spans="1:33" ht="13.5" thickBot="1">
      <c r="A66" s="117"/>
      <c r="B66" s="228" t="str">
        <f>"Form 6251  ("&amp;TaxYear&amp;")"</f>
        <v>Form 6251  (2014)</v>
      </c>
      <c r="C66" s="331"/>
      <c r="D66" s="331"/>
      <c r="E66" s="331"/>
      <c r="F66" s="331"/>
      <c r="G66" s="1087"/>
      <c r="H66" s="1087"/>
      <c r="I66" s="1087"/>
      <c r="J66" s="1087"/>
      <c r="K66" s="1088"/>
      <c r="L66" s="1089"/>
      <c r="M66" s="812" t="s">
        <v>530</v>
      </c>
      <c r="N66" s="1067"/>
      <c r="O66" s="3297"/>
      <c r="P66" s="898"/>
      <c r="Q66" s="60"/>
      <c r="R66" s="2938">
        <f>IF(File_Marr_Sep&lt;&gt;"",R65,R64)</f>
        <v>3650</v>
      </c>
      <c r="S66" s="3304"/>
      <c r="T66" s="3305"/>
      <c r="U66" s="3305"/>
      <c r="V66" s="3307"/>
      <c r="W66" s="3305"/>
      <c r="X66" s="3305"/>
      <c r="Y66" s="3305"/>
      <c r="Z66" s="3305"/>
      <c r="AA66" s="3324" t="s">
        <v>2335</v>
      </c>
      <c r="AB66" s="3305"/>
      <c r="AC66" s="3305"/>
      <c r="AD66" s="3305"/>
      <c r="AE66" s="3035"/>
      <c r="AF66" s="3309"/>
    </row>
    <row r="67" spans="1:33">
      <c r="A67" s="117"/>
      <c r="B67" s="440"/>
      <c r="C67" s="352"/>
      <c r="D67" s="352"/>
      <c r="E67" s="352"/>
      <c r="F67" s="352"/>
      <c r="G67" s="900"/>
      <c r="H67" s="900"/>
      <c r="I67" s="900"/>
      <c r="J67" s="900"/>
      <c r="K67" s="1092"/>
      <c r="L67" s="1093"/>
      <c r="M67" s="902"/>
      <c r="N67" s="1067"/>
      <c r="O67" s="343"/>
      <c r="P67" s="898"/>
      <c r="Q67" s="60"/>
      <c r="R67" s="2940">
        <v>0.26</v>
      </c>
      <c r="S67" s="3311"/>
      <c r="T67" s="3305"/>
      <c r="U67" s="3307" t="s">
        <v>2329</v>
      </c>
      <c r="V67" s="3307"/>
      <c r="W67" s="3305"/>
      <c r="X67" s="3305"/>
      <c r="Y67" s="3305"/>
      <c r="Z67" s="3305"/>
      <c r="AA67" s="3305"/>
      <c r="AB67" s="3305"/>
      <c r="AC67" s="3305"/>
      <c r="AD67" s="3305"/>
      <c r="AE67" s="3035"/>
      <c r="AF67" s="3309"/>
    </row>
    <row r="68" spans="1:33" ht="12.75" customHeight="1" thickBot="1">
      <c r="A68" s="117"/>
      <c r="B68" s="548" t="s">
        <v>546</v>
      </c>
      <c r="C68" s="1094" t="s">
        <v>80</v>
      </c>
      <c r="D68" s="366"/>
      <c r="E68" s="441"/>
      <c r="F68" s="441"/>
      <c r="G68" s="1086"/>
      <c r="H68" s="1086"/>
      <c r="I68" s="1086"/>
      <c r="J68" s="1086"/>
      <c r="K68" s="1086"/>
      <c r="L68" s="1086"/>
      <c r="M68" s="341"/>
      <c r="N68" s="1068"/>
      <c r="O68" s="343"/>
      <c r="P68" s="2955" t="str">
        <f>IF(F6251_PIII,"Part III is used","Part III is NOT used.")</f>
        <v>Part III is NOT used.</v>
      </c>
      <c r="Q68" s="83"/>
      <c r="R68" s="2940"/>
      <c r="S68" s="3311"/>
      <c r="T68" s="3305"/>
      <c r="U68" s="3305"/>
      <c r="V68" s="3307"/>
      <c r="W68" s="3305"/>
      <c r="X68" s="3305"/>
      <c r="Y68" s="3305"/>
      <c r="Z68" s="3305"/>
      <c r="AA68" s="3305"/>
      <c r="AB68" s="3305"/>
      <c r="AC68" s="3305"/>
      <c r="AD68" s="3305"/>
      <c r="AE68" s="3035"/>
      <c r="AF68" s="3309"/>
    </row>
    <row r="69" spans="1:33" ht="12.75" customHeight="1" thickBot="1">
      <c r="A69" s="117"/>
      <c r="B69" s="833"/>
      <c r="C69" s="1047"/>
      <c r="D69" s="334" t="s">
        <v>1224</v>
      </c>
      <c r="E69" s="442"/>
      <c r="F69" s="442"/>
      <c r="G69" s="1090"/>
      <c r="H69" s="1090"/>
      <c r="I69" s="1090"/>
      <c r="J69" s="1090"/>
      <c r="K69" s="1090"/>
      <c r="L69" s="1090"/>
      <c r="M69" s="1091"/>
      <c r="N69" s="1068"/>
      <c r="O69" s="343"/>
      <c r="P69" s="3295" t="str">
        <f>IF(F6251_PIII,"OVERRIDE","Place 'X' to override --&gt;")</f>
        <v>Place 'X' to override --&gt;</v>
      </c>
      <c r="Q69" s="2943"/>
      <c r="R69" s="2940">
        <v>0.28000000000000003</v>
      </c>
      <c r="S69" s="3311"/>
      <c r="T69" s="3305"/>
      <c r="U69" s="3341" t="str">
        <f>IF(U38="X","",IF(AC61&gt;AC65,"X",""))</f>
        <v/>
      </c>
      <c r="V69" s="3307" t="s">
        <v>713</v>
      </c>
      <c r="W69" s="3307" t="s">
        <v>2325</v>
      </c>
      <c r="X69" s="3305"/>
      <c r="Y69" s="3305"/>
      <c r="Z69" s="3305"/>
      <c r="AA69" s="3305"/>
      <c r="AB69" s="3305"/>
      <c r="AC69" s="3305"/>
      <c r="AD69" s="3305"/>
      <c r="AE69" s="3312"/>
      <c r="AF69" s="3309"/>
    </row>
    <row r="70" spans="1:33" ht="12.75" customHeight="1" thickBot="1">
      <c r="A70" s="117"/>
      <c r="B70" s="246">
        <f>B63+1</f>
        <v>36</v>
      </c>
      <c r="C70" s="535" t="str">
        <f>"Enter the amount from Form 6251, line "&amp;L51&amp;". If you are filing Form 2555 or 2555-EZ, enter the amount from"</f>
        <v>Enter the amount from Form 6251, line 30. If you are filing Form 2555 or 2555-EZ, enter the amount from</v>
      </c>
      <c r="D70" s="913"/>
      <c r="E70" s="307"/>
      <c r="F70" s="307"/>
      <c r="G70" s="308"/>
      <c r="H70" s="308"/>
      <c r="I70" s="312"/>
      <c r="J70" s="312"/>
      <c r="K70" s="816"/>
      <c r="L70" s="1075"/>
      <c r="M70" s="819"/>
      <c r="N70" s="1062"/>
      <c r="O70" s="343"/>
      <c r="P70" s="1552"/>
      <c r="Q70" s="60"/>
      <c r="R70" s="928"/>
      <c r="S70" s="3311"/>
      <c r="T70" s="3305"/>
      <c r="U70" s="3305"/>
      <c r="V70" s="3307"/>
      <c r="W70" s="3305"/>
      <c r="X70" s="3305"/>
      <c r="Y70" s="3305"/>
      <c r="Z70" s="3305"/>
      <c r="AA70" s="3305"/>
      <c r="AB70" s="3305"/>
      <c r="AC70" s="3305"/>
      <c r="AD70" s="3305"/>
      <c r="AE70" s="3312"/>
      <c r="AF70" s="3309"/>
    </row>
    <row r="71" spans="1:33" ht="15" customHeight="1" thickBot="1">
      <c r="A71" s="117"/>
      <c r="B71" s="246"/>
      <c r="C71" s="1658" t="s">
        <v>2202</v>
      </c>
      <c r="D71" s="253"/>
      <c r="E71" s="307"/>
      <c r="F71" s="307"/>
      <c r="G71" s="308"/>
      <c r="H71" s="308"/>
      <c r="I71" s="308"/>
      <c r="J71" s="308"/>
      <c r="K71" s="2659" t="s">
        <v>1999</v>
      </c>
      <c r="L71" s="333">
        <f>B70</f>
        <v>36</v>
      </c>
      <c r="M71" s="3018" t="str">
        <f>IF(P71&lt;&gt;"",P71,IF(AND(F6251_PIII,M51=""),0,IF(F6251_PIII,M51,"")))</f>
        <v/>
      </c>
      <c r="N71" s="1063"/>
      <c r="O71" s="343"/>
      <c r="P71" s="676"/>
      <c r="Q71" s="60"/>
      <c r="R71" s="928"/>
      <c r="S71" s="3311"/>
      <c r="T71" s="3313"/>
      <c r="U71" s="3341" t="str">
        <f>IF(U38="X","",IF(AC61&gt;AC65,"","X"))</f>
        <v/>
      </c>
      <c r="V71" s="3307" t="s">
        <v>711</v>
      </c>
      <c r="W71" s="3307" t="s">
        <v>2330</v>
      </c>
      <c r="X71" s="3305"/>
      <c r="Y71" s="3305"/>
      <c r="Z71" s="3305"/>
      <c r="AA71" s="3305"/>
      <c r="AB71" s="3305"/>
      <c r="AC71" s="3305"/>
      <c r="AD71" s="3305"/>
      <c r="AE71" s="3312"/>
      <c r="AF71" s="3309"/>
      <c r="AG71" s="2797"/>
    </row>
    <row r="72" spans="1:33" ht="15" customHeight="1">
      <c r="A72" s="117"/>
      <c r="B72" s="311">
        <f>B70+1</f>
        <v>37</v>
      </c>
      <c r="C72" s="3242" t="s">
        <v>2204</v>
      </c>
      <c r="D72" s="253"/>
      <c r="E72" s="307"/>
      <c r="F72" s="307"/>
      <c r="G72" s="308"/>
      <c r="H72" s="311"/>
      <c r="I72" s="311"/>
      <c r="J72" s="308"/>
      <c r="K72" s="2659"/>
      <c r="L72" s="1083"/>
      <c r="M72" s="818"/>
      <c r="N72" s="1063"/>
      <c r="O72" s="343"/>
      <c r="P72" s="898"/>
      <c r="Q72" s="60"/>
      <c r="R72" s="928"/>
      <c r="S72" s="3314"/>
      <c r="T72" s="3313"/>
      <c r="U72" s="3315"/>
      <c r="V72" s="3307"/>
      <c r="W72" s="3305"/>
      <c r="X72" s="3305"/>
      <c r="Y72" s="3305"/>
      <c r="Z72" s="3305"/>
      <c r="AA72" s="3305"/>
      <c r="AB72" s="3305"/>
      <c r="AC72" s="3305"/>
      <c r="AD72" s="3305"/>
      <c r="AE72" s="3312"/>
      <c r="AF72" s="3309"/>
      <c r="AG72" s="2797"/>
    </row>
    <row r="73" spans="1:33" ht="15" customHeight="1" thickBot="1">
      <c r="A73" s="117"/>
      <c r="B73" s="311"/>
      <c r="C73" s="3243" t="s">
        <v>2205</v>
      </c>
      <c r="D73" s="253"/>
      <c r="E73" s="307"/>
      <c r="F73" s="307"/>
      <c r="G73" s="308"/>
      <c r="H73" s="311"/>
      <c r="I73" s="311"/>
      <c r="J73" s="308"/>
      <c r="K73" s="2659"/>
      <c r="L73" s="1084"/>
      <c r="M73" s="818"/>
      <c r="N73" s="1063"/>
      <c r="O73" s="343"/>
      <c r="P73" s="898"/>
      <c r="Q73" s="60"/>
      <c r="R73" s="928"/>
      <c r="S73" s="3316"/>
      <c r="T73" s="3317"/>
      <c r="U73" s="3318"/>
      <c r="V73" s="3319"/>
      <c r="W73" s="3320"/>
      <c r="X73" s="3320"/>
      <c r="Y73" s="3320"/>
      <c r="Z73" s="3320"/>
      <c r="AA73" s="3320"/>
      <c r="AB73" s="3320"/>
      <c r="AC73" s="3320"/>
      <c r="AD73" s="3320"/>
      <c r="AE73" s="3321"/>
      <c r="AF73" s="3322"/>
      <c r="AG73" s="2797"/>
    </row>
    <row r="74" spans="1:33" ht="15" customHeight="1">
      <c r="A74" s="117"/>
      <c r="B74" s="311"/>
      <c r="C74" s="3242" t="s">
        <v>2206</v>
      </c>
      <c r="D74" s="253"/>
      <c r="E74" s="307"/>
      <c r="F74" s="307"/>
      <c r="G74" s="308"/>
      <c r="H74" s="311"/>
      <c r="I74" s="311"/>
      <c r="J74" s="308"/>
      <c r="K74" s="2659"/>
      <c r="L74" s="1084"/>
      <c r="M74" s="818"/>
      <c r="N74" s="1063"/>
      <c r="O74" s="343"/>
      <c r="P74" s="898"/>
      <c r="Q74" s="60"/>
      <c r="R74" s="928"/>
      <c r="S74" s="1401"/>
      <c r="T74" s="928"/>
      <c r="U74" s="1590"/>
      <c r="V74" s="1082"/>
      <c r="W74" s="349"/>
      <c r="X74" s="349"/>
      <c r="Y74" s="349"/>
      <c r="Z74" s="349"/>
      <c r="AA74" s="349"/>
      <c r="AB74" s="349"/>
      <c r="AC74" s="349"/>
      <c r="AD74" s="349"/>
      <c r="AE74" s="925"/>
      <c r="AF74" s="925"/>
      <c r="AG74" s="2797"/>
    </row>
    <row r="75" spans="1:33" ht="15" customHeight="1" thickBot="1">
      <c r="A75" s="117"/>
      <c r="B75" s="311"/>
      <c r="C75" s="3242" t="s">
        <v>2207</v>
      </c>
      <c r="D75" s="253"/>
      <c r="E75" s="307"/>
      <c r="F75" s="307"/>
      <c r="G75" s="308"/>
      <c r="H75" s="311"/>
      <c r="I75" s="2952"/>
      <c r="J75" s="308"/>
      <c r="K75" s="2659" t="s">
        <v>1774</v>
      </c>
      <c r="L75" s="905">
        <f>B72</f>
        <v>37</v>
      </c>
      <c r="M75" s="3018" t="str">
        <f>IF(P75&lt;&gt;"",P75,IF(NOT(F6251_PIII),"",IF(AND(SchDTW_Used,'Line 44'!S12=""),'Sch. D WS'!P55,IF(CGTW,'Line 44'!L22,""))))</f>
        <v/>
      </c>
      <c r="N75" s="1063"/>
      <c r="O75" s="343"/>
      <c r="P75" s="676"/>
      <c r="Q75" s="60"/>
      <c r="R75" s="349"/>
      <c r="S75" s="348"/>
      <c r="T75" s="928"/>
      <c r="U75" s="1591"/>
      <c r="V75" s="1082"/>
      <c r="W75" s="349"/>
      <c r="X75" s="349"/>
      <c r="Y75" s="349"/>
      <c r="Z75" s="349"/>
      <c r="AA75" s="349"/>
      <c r="AB75" s="349"/>
      <c r="AC75" s="349"/>
      <c r="AD75" s="349"/>
      <c r="AE75" s="925"/>
      <c r="AF75" s="925"/>
      <c r="AG75" s="2797"/>
    </row>
    <row r="76" spans="1:33" ht="15" customHeight="1">
      <c r="A76" s="117"/>
      <c r="B76" s="311">
        <f>B72+1</f>
        <v>38</v>
      </c>
      <c r="C76" s="3241" t="s">
        <v>2208</v>
      </c>
      <c r="D76" s="253"/>
      <c r="E76" s="307"/>
      <c r="F76" s="307"/>
      <c r="G76" s="308"/>
      <c r="H76" s="311"/>
      <c r="I76" s="311"/>
      <c r="J76" s="308"/>
      <c r="K76" s="2659"/>
      <c r="L76" s="1084"/>
      <c r="M76" s="818"/>
      <c r="N76" s="1063"/>
      <c r="O76" s="343"/>
      <c r="P76" s="898"/>
      <c r="Q76" s="60"/>
      <c r="R76" s="314"/>
      <c r="S76" s="348"/>
      <c r="T76" s="928"/>
      <c r="U76" s="349"/>
      <c r="V76" s="4900" t="s">
        <v>1571</v>
      </c>
      <c r="W76" s="4901"/>
      <c r="X76" s="4901"/>
      <c r="Y76" s="2660"/>
      <c r="Z76" s="2660"/>
      <c r="AA76" s="2660"/>
      <c r="AB76" s="2660"/>
      <c r="AC76" s="2660"/>
      <c r="AD76" s="2661"/>
      <c r="AE76" s="925"/>
      <c r="AF76" s="925"/>
      <c r="AG76" s="2797"/>
    </row>
    <row r="77" spans="1:33" ht="15" customHeight="1">
      <c r="A77" s="117"/>
      <c r="B77" s="311"/>
      <c r="C77" s="3241" t="s">
        <v>2203</v>
      </c>
      <c r="D77" s="253"/>
      <c r="E77" s="307"/>
      <c r="F77" s="307"/>
      <c r="G77" s="308"/>
      <c r="H77" s="311"/>
      <c r="I77" s="246" t="s">
        <v>1063</v>
      </c>
      <c r="J77" s="308"/>
      <c r="K77" s="2659" t="s">
        <v>1999</v>
      </c>
      <c r="L77" s="905">
        <f>B76</f>
        <v>38</v>
      </c>
      <c r="M77" s="3018" t="str">
        <f>IF(P77&lt;&gt;"",P77,IF(AND(F6251_PIII,CGTW),SchDLine19,""))</f>
        <v/>
      </c>
      <c r="N77" s="1063"/>
      <c r="O77" s="343"/>
      <c r="P77" s="676"/>
      <c r="Q77" s="60"/>
      <c r="R77" s="314"/>
      <c r="S77" s="314"/>
      <c r="T77" s="929"/>
      <c r="U77" s="349"/>
      <c r="V77" s="4902"/>
      <c r="W77" s="4903"/>
      <c r="X77" s="4903"/>
      <c r="Y77" s="2662"/>
      <c r="Z77" s="2662"/>
      <c r="AA77" s="2662"/>
      <c r="AB77" s="2662"/>
      <c r="AC77" s="2662"/>
      <c r="AD77" s="2663"/>
      <c r="AE77" s="925"/>
      <c r="AG77" s="2797"/>
    </row>
    <row r="78" spans="1:33" ht="15" customHeight="1" thickBot="1">
      <c r="A78" s="117"/>
      <c r="B78" s="311">
        <f>B76+1</f>
        <v>39</v>
      </c>
      <c r="C78" s="3241" t="s">
        <v>2209</v>
      </c>
      <c r="D78" s="253"/>
      <c r="E78" s="307"/>
      <c r="F78" s="307"/>
      <c r="G78" s="308"/>
      <c r="H78" s="311"/>
      <c r="I78" s="311"/>
      <c r="J78" s="308"/>
      <c r="K78" s="2659"/>
      <c r="L78" s="1084"/>
      <c r="M78" s="818"/>
      <c r="N78" s="1063"/>
      <c r="O78" s="343"/>
      <c r="P78" s="898"/>
      <c r="Q78" s="60"/>
      <c r="R78" s="314"/>
      <c r="S78" s="314"/>
      <c r="T78" s="1401"/>
      <c r="U78" s="1592"/>
      <c r="V78" s="4904"/>
      <c r="W78" s="4905"/>
      <c r="X78" s="4905"/>
      <c r="Y78" s="2664"/>
      <c r="Z78" s="2664"/>
      <c r="AA78" s="2664" t="s">
        <v>1572</v>
      </c>
      <c r="AB78" s="2664"/>
      <c r="AC78" s="2664"/>
      <c r="AD78" s="2663"/>
      <c r="AE78" s="925"/>
      <c r="AG78" s="2797"/>
    </row>
    <row r="79" spans="1:33" ht="15" customHeight="1">
      <c r="A79" s="117"/>
      <c r="B79" s="311"/>
      <c r="C79" s="3241" t="s">
        <v>2210</v>
      </c>
      <c r="D79" s="253"/>
      <c r="E79" s="307"/>
      <c r="F79" s="307"/>
      <c r="G79" s="308"/>
      <c r="H79" s="311"/>
      <c r="I79" s="311"/>
      <c r="J79" s="308"/>
      <c r="K79" s="2659"/>
      <c r="L79" s="1084"/>
      <c r="M79" s="818"/>
      <c r="N79" s="1063"/>
      <c r="O79" s="343"/>
      <c r="P79" s="898"/>
      <c r="Q79" s="60"/>
      <c r="R79" s="314"/>
      <c r="S79" s="349"/>
      <c r="T79" s="348"/>
      <c r="U79" s="1593"/>
      <c r="V79" s="4869" t="str">
        <f>" Note: If Form 6251, line 28, is equal to or more than: "&amp;TEXT(AG46,"$0,000")&amp;" if single or head of household; "</f>
        <v xml:space="preserve"> Note: If Form 6251, line 28, is equal to or more than: $328,500 if single or head of household; </v>
      </c>
      <c r="W79" s="4870"/>
      <c r="X79" s="4870"/>
      <c r="Y79" s="4870"/>
      <c r="Z79" s="4870"/>
      <c r="AA79" s="4870"/>
      <c r="AB79" s="4870"/>
      <c r="AC79" s="4870"/>
      <c r="AD79" s="4871"/>
      <c r="AE79" s="925"/>
      <c r="AG79" s="2797"/>
    </row>
    <row r="80" spans="1:33" ht="15" customHeight="1">
      <c r="A80" s="117"/>
      <c r="B80" s="311"/>
      <c r="C80" s="3241" t="s">
        <v>2211</v>
      </c>
      <c r="D80" s="253"/>
      <c r="E80" s="307"/>
      <c r="F80" s="307"/>
      <c r="G80" s="308"/>
      <c r="H80" s="311"/>
      <c r="I80" s="311"/>
      <c r="J80" s="308"/>
      <c r="K80" s="2659"/>
      <c r="L80" s="1084"/>
      <c r="M80" s="818"/>
      <c r="N80" s="1063"/>
      <c r="O80" s="342"/>
      <c r="P80" s="898"/>
      <c r="Q80" s="60"/>
      <c r="R80" s="314"/>
      <c r="S80" s="349"/>
      <c r="T80" s="348"/>
      <c r="U80" s="1593"/>
      <c r="V80" s="4872" t="str">
        <f>"  "&amp;TEXT(AG47,"$0,000")&amp;" if married filing jointly or qualifying widow(er); or "&amp;TEXT(AG48,"$0,000")&amp;" if married filing separately; your "</f>
        <v xml:space="preserve">  $484,900 if married filing jointly or qualifying widow(er); or $242,450 if married filing separately; your </v>
      </c>
      <c r="W80" s="4873"/>
      <c r="X80" s="4873"/>
      <c r="Y80" s="4873"/>
      <c r="Z80" s="4873"/>
      <c r="AA80" s="4873"/>
      <c r="AB80" s="4873"/>
      <c r="AC80" s="4873"/>
      <c r="AD80" s="4874"/>
      <c r="AE80" s="925"/>
      <c r="AG80" s="2797"/>
    </row>
    <row r="81" spans="1:33" ht="15" customHeight="1">
      <c r="A81" s="117"/>
      <c r="B81" s="311"/>
      <c r="C81" s="3241" t="s">
        <v>1585</v>
      </c>
      <c r="D81" s="253"/>
      <c r="E81" s="307"/>
      <c r="F81" s="307"/>
      <c r="G81" s="308"/>
      <c r="H81" s="311"/>
      <c r="I81" s="246" t="s">
        <v>775</v>
      </c>
      <c r="J81" s="308"/>
      <c r="K81" s="2659" t="s">
        <v>1999</v>
      </c>
      <c r="L81" s="905">
        <f>B78</f>
        <v>39</v>
      </c>
      <c r="M81" s="3018" t="str">
        <f>IF(P81&lt;&gt;"",P81,IF(NOT(F6251_PIII),"",IF(NOT(SchDTW_Used),M75,MIN(SUM(M75,M77),'Sch. D WS'!L52))))</f>
        <v/>
      </c>
      <c r="N81" s="1063"/>
      <c r="O81" s="342"/>
      <c r="P81" s="676"/>
      <c r="Q81" s="60"/>
      <c r="R81" s="314"/>
      <c r="S81" s="314"/>
      <c r="T81" s="314"/>
      <c r="U81" s="349"/>
      <c r="V81" s="4872" t="s">
        <v>1581</v>
      </c>
      <c r="W81" s="4873"/>
      <c r="X81" s="4873"/>
      <c r="Y81" s="4873"/>
      <c r="Z81" s="4873"/>
      <c r="AA81" s="4873"/>
      <c r="AB81" s="4873"/>
      <c r="AC81" s="4873"/>
      <c r="AD81" s="4874"/>
      <c r="AE81" s="925"/>
      <c r="AG81" s="2797"/>
    </row>
    <row r="82" spans="1:33" ht="15" customHeight="1">
      <c r="A82" s="117"/>
      <c r="B82" s="246">
        <f>B78+1</f>
        <v>40</v>
      </c>
      <c r="C82" s="535" t="s">
        <v>986</v>
      </c>
      <c r="D82" s="253"/>
      <c r="E82" s="307"/>
      <c r="F82" s="307"/>
      <c r="G82" s="308"/>
      <c r="H82" s="308"/>
      <c r="I82" s="308"/>
      <c r="J82" s="308"/>
      <c r="K82" s="2659" t="s">
        <v>1999</v>
      </c>
      <c r="L82" s="333">
        <f>B82</f>
        <v>40</v>
      </c>
      <c r="M82" s="3018" t="str">
        <f>IF(NOT(F6251_PIII),"",MIN(M71,M81))</f>
        <v/>
      </c>
      <c r="N82" s="1063"/>
      <c r="O82" s="342"/>
      <c r="P82" s="898"/>
      <c r="Q82" s="651"/>
      <c r="R82" s="314"/>
      <c r="S82" s="314"/>
      <c r="T82" s="314"/>
      <c r="U82" s="349"/>
      <c r="V82" s="4872" t="s">
        <v>1573</v>
      </c>
      <c r="W82" s="4873"/>
      <c r="X82" s="4873"/>
      <c r="Y82" s="4873"/>
      <c r="Z82" s="4873"/>
      <c r="AA82" s="4873"/>
      <c r="AB82" s="4873"/>
      <c r="AC82" s="4873"/>
      <c r="AD82" s="4874"/>
      <c r="AE82" s="925"/>
      <c r="AG82" s="2797"/>
    </row>
    <row r="83" spans="1:33" ht="15" customHeight="1" thickBot="1">
      <c r="A83" s="117"/>
      <c r="B83" s="246">
        <f>B82+1</f>
        <v>41</v>
      </c>
      <c r="C83" s="535" t="str">
        <f>"Subtract line "&amp;L82&amp;" from line "&amp;L71</f>
        <v>Subtract line 40 from line 36</v>
      </c>
      <c r="D83" s="253"/>
      <c r="E83" s="307"/>
      <c r="F83" s="307"/>
      <c r="G83" s="308"/>
      <c r="H83" s="308"/>
      <c r="I83" s="308"/>
      <c r="J83" s="308"/>
      <c r="K83" s="880" t="s">
        <v>1226</v>
      </c>
      <c r="L83" s="333">
        <f>B83</f>
        <v>41</v>
      </c>
      <c r="M83" s="3018" t="str">
        <f>IF(P83&lt;&gt;"",P83,IF(NOT(F6251_PIII),"",SUM(M71,-M82)))</f>
        <v/>
      </c>
      <c r="N83" s="1063"/>
      <c r="O83" s="342"/>
      <c r="P83" s="676"/>
      <c r="Q83" s="651"/>
      <c r="R83" s="314"/>
      <c r="S83" s="314"/>
      <c r="T83" s="314"/>
      <c r="U83" s="349"/>
      <c r="V83" s="4866" t="str">
        <f>IF(AMTExemptionFlag="No","Your AMT Exemption is zero.  See NOTE above.","")</f>
        <v/>
      </c>
      <c r="W83" s="4867"/>
      <c r="X83" s="4867"/>
      <c r="Y83" s="4867"/>
      <c r="Z83" s="4867"/>
      <c r="AA83" s="4867"/>
      <c r="AB83" s="4867"/>
      <c r="AC83" s="4867"/>
      <c r="AD83" s="4868"/>
      <c r="AE83" s="925"/>
      <c r="AG83" s="2797"/>
    </row>
    <row r="84" spans="1:33" ht="15" customHeight="1">
      <c r="A84" s="117"/>
      <c r="B84" s="246">
        <f>B83+1</f>
        <v>42</v>
      </c>
      <c r="C84" s="535" t="str">
        <f>"If line "&amp;L83&amp;" is "&amp;TEXT(R61,"$0,000")&amp;" or less ("&amp;TEXT(R62,"$0,000")&amp;" or less if married filing separately), multiply line "&amp;L83&amp;" by "&amp;TEXT(R67,"0%")&amp;" ("&amp;TEXT(R67,".00")&amp;").  Otherwise,"</f>
        <v>If line 41 is $182,500 or less ($91,250 or less if married filing separately), multiply line 41 by 26% (.26).  Otherwise,</v>
      </c>
      <c r="D84" s="535"/>
      <c r="E84" s="307"/>
      <c r="F84" s="307"/>
      <c r="G84" s="308"/>
      <c r="H84" s="308"/>
      <c r="I84" s="308"/>
      <c r="J84" s="308"/>
      <c r="K84" s="246"/>
      <c r="L84" s="301"/>
      <c r="M84" s="817"/>
      <c r="N84" s="1062"/>
      <c r="O84" s="343"/>
      <c r="P84" s="898"/>
      <c r="Q84" s="651"/>
      <c r="R84" s="314"/>
      <c r="S84" s="314"/>
      <c r="T84" s="349"/>
      <c r="U84" s="349"/>
      <c r="V84" s="922">
        <v>1</v>
      </c>
      <c r="W84" s="920" t="str">
        <f>"Enter: "&amp;TEXT(I46,"$0,000")&amp;" if single or head of household; "&amp;TEXT(I47,"$0,000")&amp;" if married"</f>
        <v>Enter: $52,800 if single or head of household; $82,100 if married</v>
      </c>
      <c r="X84" s="47"/>
      <c r="Y84" s="47"/>
      <c r="Z84" s="72"/>
      <c r="AA84" s="62"/>
      <c r="AB84" s="370"/>
      <c r="AC84" s="421"/>
      <c r="AD84" s="140"/>
      <c r="AE84" s="925"/>
    </row>
    <row r="85" spans="1:33" ht="15" customHeight="1">
      <c r="A85" s="117"/>
      <c r="B85" s="246"/>
      <c r="C85" s="1085" t="str">
        <f>"multiply line "&amp;L83&amp;" by "&amp;TEXT(R69,"0%")&amp;" ("&amp;TEXT(R69,".00")&amp;") and subtract "&amp;TEXT(R64,"$0,000")&amp;" ("&amp;TEXT(R65,"$0,000")&amp;" if married filing separately) from the result."</f>
        <v>multiply line 41 by 28% (.28) and subtract $3,650 ($1,825 if married filing separately) from the result.</v>
      </c>
      <c r="D85" s="535"/>
      <c r="E85" s="307"/>
      <c r="F85" s="307"/>
      <c r="G85" s="308"/>
      <c r="H85" s="308"/>
      <c r="I85" s="308"/>
      <c r="J85" s="308"/>
      <c r="K85" s="311" t="s">
        <v>1227</v>
      </c>
      <c r="L85" s="333">
        <f>B84</f>
        <v>42</v>
      </c>
      <c r="M85" s="3018" t="str">
        <f>IF(P85&lt;&gt;"",P85,IF(NOT(F6251_PIII),"",IF(M83&lt;=R63,ROUND(M83*R67,0),ROUND((M83*R69)-R66,0))))</f>
        <v/>
      </c>
      <c r="N85" s="1062"/>
      <c r="O85" s="343"/>
      <c r="P85" s="676"/>
      <c r="Q85" s="651"/>
      <c r="R85" s="314"/>
      <c r="S85" s="314"/>
      <c r="T85" s="314"/>
      <c r="U85" s="349"/>
      <c r="V85" s="215"/>
      <c r="W85" s="920" t="str">
        <f>"filing jointly or qualifying widow(er); "&amp;TEXT(I48,"$0,000")&amp;" if married filing"</f>
        <v>filing jointly or qualifying widow(er); $41,050 if married filing</v>
      </c>
      <c r="X85" s="47"/>
      <c r="Y85" s="47"/>
      <c r="Z85" s="72"/>
      <c r="AA85" s="62"/>
      <c r="AB85" s="62"/>
      <c r="AC85" s="62"/>
      <c r="AD85" s="140"/>
      <c r="AF85"/>
    </row>
    <row r="86" spans="1:33" ht="13.5" customHeight="1">
      <c r="A86" s="117"/>
      <c r="B86" s="246">
        <f>B84+1</f>
        <v>43</v>
      </c>
      <c r="C86" s="535" t="s">
        <v>605</v>
      </c>
      <c r="D86" s="535"/>
      <c r="E86" s="307"/>
      <c r="F86" s="307"/>
      <c r="G86" s="308"/>
      <c r="H86" s="308"/>
      <c r="I86" s="308"/>
      <c r="J86" s="308"/>
      <c r="K86" s="2659"/>
      <c r="L86" s="1083"/>
      <c r="M86" s="899"/>
      <c r="N86" s="1062"/>
      <c r="O86" s="343"/>
      <c r="P86" s="898"/>
      <c r="Q86" s="651"/>
      <c r="R86" s="314"/>
      <c r="S86" s="314"/>
      <c r="T86" s="314"/>
      <c r="U86" s="349"/>
      <c r="V86" s="215"/>
      <c r="W86" s="920" t="s">
        <v>994</v>
      </c>
      <c r="X86" s="47"/>
      <c r="Y86" s="47"/>
      <c r="Z86" s="72"/>
      <c r="AA86" s="1589" t="s">
        <v>987</v>
      </c>
      <c r="AB86" s="923">
        <f>V84</f>
        <v>1</v>
      </c>
      <c r="AC86" s="431" t="str">
        <f>IF(AMTExemptionFlag="No","",IF(OR(File_Single&lt;&gt;"",File_Head&lt;&gt;""),I46,IF(OR(File_Marr_Joint&lt;&gt;"",File_Qual_Widow&lt;&gt;""),I47,IF(File_Marr_Sep&lt;&gt;"",I48,""))))</f>
        <v/>
      </c>
      <c r="AD86" s="140"/>
      <c r="AF86"/>
    </row>
    <row r="87" spans="1:33" ht="14.25" customHeight="1">
      <c r="A87" s="117"/>
      <c r="B87" s="246"/>
      <c r="C87" s="1076" t="s">
        <v>585</v>
      </c>
      <c r="D87" s="535" t="str">
        <f>TEXT(R87,"$0,000")&amp;" if married filing jointly or qualifying widow(er),"</f>
        <v>$73,800 if married filing jointly or qualifying widow(er),</v>
      </c>
      <c r="E87" s="307"/>
      <c r="F87" s="307"/>
      <c r="G87" s="308"/>
      <c r="H87" s="308"/>
      <c r="I87" s="308"/>
      <c r="J87" s="308"/>
      <c r="K87" s="2659"/>
      <c r="L87" s="1084"/>
      <c r="M87" s="899"/>
      <c r="N87" s="1062"/>
      <c r="O87" s="343"/>
      <c r="P87" s="898"/>
      <c r="Q87" s="651"/>
      <c r="R87" s="2945">
        <v>73800</v>
      </c>
      <c r="S87" s="314"/>
      <c r="T87" s="314"/>
      <c r="U87" s="349"/>
      <c r="V87" s="922">
        <v>2</v>
      </c>
      <c r="W87" s="413" t="s">
        <v>992</v>
      </c>
      <c r="X87" s="47"/>
      <c r="Y87" s="47"/>
      <c r="Z87" s="370"/>
      <c r="AA87" s="62"/>
      <c r="AB87" s="370"/>
      <c r="AC87" s="421"/>
      <c r="AD87" s="140"/>
      <c r="AF87"/>
    </row>
    <row r="88" spans="1:33">
      <c r="A88" s="117"/>
      <c r="B88" s="246"/>
      <c r="C88" s="1076" t="s">
        <v>585</v>
      </c>
      <c r="D88" s="535" t="str">
        <f>TEXT(R88,"$0,000")&amp;" if single or married filing separately, or"</f>
        <v>$36,900 if single or married filing separately, or</v>
      </c>
      <c r="E88" s="307"/>
      <c r="F88" s="307"/>
      <c r="G88" s="308"/>
      <c r="H88" s="308"/>
      <c r="I88" s="311"/>
      <c r="J88" s="308"/>
      <c r="K88" s="2659" t="s">
        <v>1061</v>
      </c>
      <c r="L88" s="905">
        <f>B86</f>
        <v>43</v>
      </c>
      <c r="M88" s="3018" t="str">
        <f>IF(NOT(F6251_PIII),"",IF(OR(File_Marr_Joint&lt;&gt;"",File_Qual_Widow&lt;&gt;""),R87,IF(OR(File_Single&lt;&gt;"",File_Marr_Sep&lt;&gt;""),R88,IF(File_Head&lt;&gt;"",R89,"Filing Status?"))))</f>
        <v/>
      </c>
      <c r="N88" s="1062"/>
      <c r="O88" s="343"/>
      <c r="P88" s="898"/>
      <c r="Q88" s="651"/>
      <c r="R88" s="2946">
        <v>36900</v>
      </c>
      <c r="S88" s="314"/>
      <c r="T88" s="314"/>
      <c r="U88" s="349"/>
      <c r="V88" s="1096"/>
      <c r="W88" s="1097" t="s">
        <v>993</v>
      </c>
      <c r="X88" s="799"/>
      <c r="Y88" s="799"/>
      <c r="Z88" s="1098">
        <f>V87</f>
        <v>2</v>
      </c>
      <c r="AA88" s="1099">
        <f>IF(AMTExemptionFlag="No","",AltMinTaxInc)</f>
        <v>0</v>
      </c>
      <c r="AB88" s="1100"/>
      <c r="AC88" s="1101"/>
      <c r="AD88" s="1102"/>
      <c r="AF88"/>
    </row>
    <row r="89" spans="1:33" ht="12.75" customHeight="1">
      <c r="A89" s="117"/>
      <c r="B89" s="246"/>
      <c r="C89" s="1076" t="s">
        <v>585</v>
      </c>
      <c r="D89" s="535" t="str">
        <f>TEXT(R89,"$0,000")&amp;" if head of household."</f>
        <v>$49,400 if head of household.</v>
      </c>
      <c r="E89" s="307"/>
      <c r="F89" s="307"/>
      <c r="G89" s="308"/>
      <c r="H89" s="308"/>
      <c r="I89" s="308"/>
      <c r="J89" s="308"/>
      <c r="K89" s="2659"/>
      <c r="L89" s="321"/>
      <c r="M89" s="899"/>
      <c r="N89" s="1062"/>
      <c r="O89" s="343"/>
      <c r="P89" s="898"/>
      <c r="Q89" s="60"/>
      <c r="R89" s="2946">
        <v>49400</v>
      </c>
      <c r="S89" s="314"/>
      <c r="T89" s="314"/>
      <c r="U89" s="349"/>
      <c r="V89" s="190"/>
      <c r="W89" s="920"/>
      <c r="X89" s="47"/>
      <c r="Y89" s="47"/>
      <c r="Z89" s="921"/>
      <c r="AA89" s="421"/>
      <c r="AB89" s="376"/>
      <c r="AC89" s="421"/>
      <c r="AD89" s="140"/>
      <c r="AF89"/>
    </row>
    <row r="90" spans="1:33" ht="14.25" customHeight="1">
      <c r="A90" s="117"/>
      <c r="B90" s="311">
        <f>B86+1</f>
        <v>44</v>
      </c>
      <c r="C90" s="3242" t="s">
        <v>2212</v>
      </c>
      <c r="D90" s="253"/>
      <c r="E90" s="307"/>
      <c r="F90" s="307"/>
      <c r="G90" s="308"/>
      <c r="H90" s="311"/>
      <c r="I90" s="311"/>
      <c r="J90" s="308"/>
      <c r="K90" s="2659"/>
      <c r="L90" s="321"/>
      <c r="M90" s="818"/>
      <c r="N90" s="1063"/>
      <c r="O90" s="343"/>
      <c r="P90" s="898"/>
      <c r="Q90" s="60"/>
      <c r="R90" s="1081"/>
      <c r="S90" s="314"/>
      <c r="T90" s="314"/>
      <c r="U90" s="349"/>
      <c r="V90" s="922">
        <v>3</v>
      </c>
      <c r="W90" s="920" t="str">
        <f>"Enter: "&amp;TEXT(G46,"$0,000")&amp;" if single or head of household;"</f>
        <v>Enter: $117,300 if single or head of household;</v>
      </c>
      <c r="X90" s="47"/>
      <c r="Y90" s="47"/>
      <c r="Z90" s="370"/>
      <c r="AA90" s="62"/>
      <c r="AB90" s="370"/>
      <c r="AC90" s="421"/>
      <c r="AD90" s="140"/>
      <c r="AF90"/>
    </row>
    <row r="91" spans="1:33" ht="14.25" customHeight="1">
      <c r="A91" s="117"/>
      <c r="B91" s="311"/>
      <c r="C91" s="3243" t="s">
        <v>2213</v>
      </c>
      <c r="D91" s="253"/>
      <c r="E91" s="307"/>
      <c r="F91" s="307"/>
      <c r="G91" s="308"/>
      <c r="H91" s="311"/>
      <c r="I91" s="311"/>
      <c r="J91" s="308"/>
      <c r="K91" s="2659"/>
      <c r="L91" s="321"/>
      <c r="M91" s="818"/>
      <c r="N91" s="1063"/>
      <c r="O91" s="343"/>
      <c r="P91" s="898"/>
      <c r="Q91" s="60"/>
      <c r="R91" s="1081"/>
      <c r="S91" s="314"/>
      <c r="T91" s="314"/>
      <c r="U91" s="349"/>
      <c r="V91" s="215"/>
      <c r="W91" s="920" t="str">
        <f>TEXT(G47,"$0,000")&amp;" if married filing jointly or qualifying widow(er); "</f>
        <v xml:space="preserve">$156,500 if married filing jointly or qualifying widow(er); </v>
      </c>
      <c r="X91" s="47"/>
      <c r="Y91" s="47"/>
      <c r="Z91" s="370"/>
      <c r="AA91" s="62"/>
      <c r="AB91" s="370"/>
      <c r="AC91" s="421"/>
      <c r="AD91" s="140"/>
      <c r="AF91"/>
    </row>
    <row r="92" spans="1:33" ht="14.25" customHeight="1">
      <c r="A92" s="117"/>
      <c r="B92" s="311"/>
      <c r="C92" s="3243" t="s">
        <v>2214</v>
      </c>
      <c r="D92" s="253"/>
      <c r="E92" s="307"/>
      <c r="F92" s="307"/>
      <c r="G92" s="308"/>
      <c r="H92" s="311"/>
      <c r="I92" s="311"/>
      <c r="J92" s="308"/>
      <c r="K92" s="2659"/>
      <c r="L92" s="321"/>
      <c r="M92" s="818"/>
      <c r="N92" s="1063"/>
      <c r="O92" s="343"/>
      <c r="P92" s="898"/>
      <c r="Q92" s="60"/>
      <c r="R92" s="1081"/>
      <c r="S92" s="314"/>
      <c r="T92" s="314"/>
      <c r="U92" s="349"/>
      <c r="V92" s="1103"/>
      <c r="W92" s="1097" t="str">
        <f>TEXT(G48,"$0,000")&amp;" if married filing separately"</f>
        <v>$78,250 if married filing separately</v>
      </c>
      <c r="X92" s="799"/>
      <c r="Y92" s="799"/>
      <c r="Z92" s="1098">
        <f>V90</f>
        <v>3</v>
      </c>
      <c r="AA92" s="1099" t="str">
        <f>IF(AMTExemptionFlag="No","",IF(OR(File_Single&lt;&gt;"",File_Head&lt;&gt;""),G46,IF(OR(File_Marr_Joint&lt;&gt;"",File_Qual_Widow&lt;&gt;""),G47,IF(File_Marr_Sep&lt;&gt;"",G48,""))))</f>
        <v/>
      </c>
      <c r="AB92" s="946"/>
      <c r="AC92" s="1101"/>
      <c r="AD92" s="1102"/>
      <c r="AF92"/>
    </row>
    <row r="93" spans="1:33" ht="14.25" customHeight="1">
      <c r="A93" s="117"/>
      <c r="B93" s="311"/>
      <c r="C93" s="3243" t="s">
        <v>2215</v>
      </c>
      <c r="D93" s="253"/>
      <c r="E93" s="307"/>
      <c r="F93" s="307"/>
      <c r="G93" s="308"/>
      <c r="H93" s="311"/>
      <c r="I93" s="311"/>
      <c r="J93" s="308"/>
      <c r="K93" s="2659"/>
      <c r="L93" s="321"/>
      <c r="M93" s="818"/>
      <c r="N93" s="1063"/>
      <c r="O93" s="343"/>
      <c r="P93" s="898"/>
      <c r="Q93" s="60"/>
      <c r="R93" s="314"/>
      <c r="S93" s="314"/>
      <c r="T93" s="314"/>
      <c r="U93" s="349"/>
      <c r="V93" s="922">
        <v>4</v>
      </c>
      <c r="W93" s="413" t="s">
        <v>808</v>
      </c>
      <c r="X93" s="47"/>
      <c r="Y93" s="47"/>
      <c r="Z93" s="370"/>
      <c r="AA93" s="62"/>
      <c r="AB93" s="370"/>
      <c r="AC93" s="421"/>
      <c r="AD93" s="140"/>
      <c r="AF93"/>
    </row>
    <row r="94" spans="1:33" ht="14.25" customHeight="1">
      <c r="A94" s="117"/>
      <c r="B94" s="311"/>
      <c r="C94" s="3243" t="s">
        <v>2216</v>
      </c>
      <c r="D94" s="253"/>
      <c r="E94" s="307"/>
      <c r="F94" s="307"/>
      <c r="G94" s="308"/>
      <c r="H94" s="311"/>
      <c r="I94" s="880"/>
      <c r="J94" s="308"/>
      <c r="K94" s="2659" t="s">
        <v>632</v>
      </c>
      <c r="L94" s="905">
        <f>B90</f>
        <v>44</v>
      </c>
      <c r="M94" s="3018" t="str">
        <f>IF(P94&lt;&gt;"",P94,IF(NOT(F6251_PIII),"",IF(SchD_NotReqd="",CGTW_Line7,IF(SchDTW_Used,'Sch. D WS'!P56,IF(Taxable_Inc&gt;0,Taxable_Inc,0)))))</f>
        <v/>
      </c>
      <c r="N94" s="1063"/>
      <c r="O94" s="343"/>
      <c r="P94" s="676"/>
      <c r="Q94" s="60"/>
      <c r="R94" s="314"/>
      <c r="S94" s="349"/>
      <c r="T94" s="314"/>
      <c r="U94" s="349"/>
      <c r="V94" s="190"/>
      <c r="W94" s="920" t="s">
        <v>764</v>
      </c>
      <c r="X94" s="47"/>
      <c r="Y94" s="47"/>
      <c r="Z94" s="921">
        <f>V93</f>
        <v>4</v>
      </c>
      <c r="AA94" s="431" t="str">
        <f>IF(OR(AMTExemptionFlag="No",AA92=""),"",IF(AA88-AA92&lt;=0,0,AA88-AA92))</f>
        <v/>
      </c>
      <c r="AB94" s="376"/>
      <c r="AC94" s="421"/>
      <c r="AD94" s="140"/>
      <c r="AF94"/>
    </row>
    <row r="95" spans="1:33" ht="14.25" customHeight="1">
      <c r="A95" s="117"/>
      <c r="B95" s="311">
        <f>B90+1</f>
        <v>45</v>
      </c>
      <c r="C95" s="535" t="s">
        <v>989</v>
      </c>
      <c r="D95" s="253"/>
      <c r="E95" s="307"/>
      <c r="F95" s="307"/>
      <c r="G95" s="308"/>
      <c r="H95" s="311"/>
      <c r="I95" s="246"/>
      <c r="J95" s="308"/>
      <c r="K95" s="2659" t="s">
        <v>1999</v>
      </c>
      <c r="L95" s="905">
        <f>B95</f>
        <v>45</v>
      </c>
      <c r="M95" s="3018" t="str">
        <f>IF(NOT(F6251_PIII),"",IF(ISERROR(SUM(M88,-M94)),M88,IF(SUM(M88,-M94)&lt;0,0,SUM(M88,-M94))))</f>
        <v/>
      </c>
      <c r="N95" s="1063"/>
      <c r="O95" s="342"/>
      <c r="P95" s="898"/>
      <c r="Q95" s="60"/>
      <c r="R95" s="314"/>
      <c r="S95" s="349"/>
      <c r="T95" s="314"/>
      <c r="U95" s="349"/>
      <c r="V95" s="922">
        <v>5</v>
      </c>
      <c r="W95" s="413" t="str">
        <f>"Multiply line 4 by "&amp;TEXT(AG95,"0%")&amp;" ("&amp;TEXT(AG95,".00")&amp;")"</f>
        <v>Multiply line 4 by 25% (.25)</v>
      </c>
      <c r="X95" s="47"/>
      <c r="Y95" s="47"/>
      <c r="Z95" s="72"/>
      <c r="AA95" s="1589" t="s">
        <v>1574</v>
      </c>
      <c r="AB95" s="923">
        <f>V95</f>
        <v>5</v>
      </c>
      <c r="AC95" s="431" t="str">
        <f>IF(AA92="","",IF(AMTExemptionFlag="No","",ROUND(AG95*AA94,0)))</f>
        <v/>
      </c>
      <c r="AD95" s="140"/>
      <c r="AF95"/>
      <c r="AG95" s="3298">
        <v>0.25</v>
      </c>
    </row>
    <row r="96" spans="1:33" ht="14.25" customHeight="1">
      <c r="A96" s="117"/>
      <c r="B96" s="311">
        <f>B95+1</f>
        <v>46</v>
      </c>
      <c r="C96" s="535" t="s">
        <v>990</v>
      </c>
      <c r="D96" s="253"/>
      <c r="E96" s="307"/>
      <c r="F96" s="307"/>
      <c r="G96" s="308"/>
      <c r="H96" s="311"/>
      <c r="I96" s="311"/>
      <c r="J96" s="308"/>
      <c r="K96" s="2659" t="s">
        <v>287</v>
      </c>
      <c r="L96" s="905">
        <f t="shared" ref="L96:L104" si="2">B96</f>
        <v>46</v>
      </c>
      <c r="M96" s="3018" t="str">
        <f>IF(NOT(F6251_PIII),"",MIN(M71,M75))</f>
        <v/>
      </c>
      <c r="N96" s="1063"/>
      <c r="O96" s="343"/>
      <c r="P96" s="909"/>
      <c r="Q96" s="60"/>
      <c r="R96" s="314"/>
      <c r="S96" s="1081"/>
      <c r="T96" s="314"/>
      <c r="U96" s="349"/>
      <c r="V96" s="922">
        <v>6</v>
      </c>
      <c r="W96" s="413" t="s">
        <v>114</v>
      </c>
      <c r="X96" s="47"/>
      <c r="Y96" s="47"/>
      <c r="Z96" s="413"/>
      <c r="AA96" s="62"/>
      <c r="AB96" s="370"/>
      <c r="AC96" s="927"/>
      <c r="AD96" s="140"/>
      <c r="AF96"/>
    </row>
    <row r="97" spans="1:32" ht="14.25" customHeight="1">
      <c r="A97" s="117"/>
      <c r="B97" s="311">
        <f t="shared" ref="B97:B99" si="3">B96+1</f>
        <v>47</v>
      </c>
      <c r="C97" s="535" t="s">
        <v>2304</v>
      </c>
      <c r="D97" s="253"/>
      <c r="E97" s="307"/>
      <c r="F97" s="307"/>
      <c r="G97" s="308"/>
      <c r="H97" s="311"/>
      <c r="I97" s="246"/>
      <c r="J97" s="308"/>
      <c r="K97" s="2659" t="s">
        <v>632</v>
      </c>
      <c r="L97" s="905">
        <f t="shared" si="2"/>
        <v>47</v>
      </c>
      <c r="M97" s="3018" t="str">
        <f>IF(NOT(F6251_PIII),"",MIN(M95,M96))</f>
        <v/>
      </c>
      <c r="N97" s="1063"/>
      <c r="O97" s="343"/>
      <c r="P97" s="909"/>
      <c r="Q97" s="60"/>
      <c r="R97" s="314"/>
      <c r="S97" s="1081"/>
      <c r="T97" s="314"/>
      <c r="U97" s="349"/>
      <c r="V97" s="922"/>
      <c r="W97" s="413" t="s">
        <v>382</v>
      </c>
      <c r="X97" s="47"/>
      <c r="Y97" s="47"/>
      <c r="Z97" s="413"/>
      <c r="AA97" s="62"/>
      <c r="AB97" s="370"/>
      <c r="AC97" s="1505"/>
      <c r="AD97" s="140"/>
      <c r="AF97"/>
    </row>
    <row r="98" spans="1:32" ht="14.25" customHeight="1">
      <c r="A98" s="117"/>
      <c r="B98" s="311">
        <f t="shared" si="3"/>
        <v>48</v>
      </c>
      <c r="C98" s="535" t="s">
        <v>1771</v>
      </c>
      <c r="D98" s="253"/>
      <c r="E98" s="307"/>
      <c r="F98" s="307"/>
      <c r="G98" s="308"/>
      <c r="H98" s="311"/>
      <c r="I98" s="246"/>
      <c r="J98" s="308"/>
      <c r="K98" s="2659" t="s">
        <v>1226</v>
      </c>
      <c r="L98" s="905">
        <f t="shared" si="2"/>
        <v>48</v>
      </c>
      <c r="M98" s="3293" t="str">
        <f>IF(NOT(F6251_PIII),"",SUM(M96,-M97))</f>
        <v/>
      </c>
      <c r="N98" s="1063"/>
      <c r="O98" s="343"/>
      <c r="P98" s="909"/>
      <c r="Q98" s="60"/>
      <c r="R98" s="314"/>
      <c r="S98" s="1081"/>
      <c r="T98" s="314"/>
      <c r="U98" s="349"/>
      <c r="V98" s="922"/>
      <c r="W98" s="413" t="s">
        <v>381</v>
      </c>
      <c r="X98" s="47"/>
      <c r="Y98" s="47"/>
      <c r="Z98" s="413"/>
      <c r="AA98" s="62"/>
      <c r="AB98" s="370"/>
      <c r="AC98" s="1505"/>
      <c r="AD98" s="140"/>
      <c r="AE98" s="349"/>
    </row>
    <row r="99" spans="1:32" ht="14.25" customHeight="1">
      <c r="A99" s="117"/>
      <c r="B99" s="311">
        <f t="shared" si="3"/>
        <v>49</v>
      </c>
      <c r="C99" s="535" t="s">
        <v>605</v>
      </c>
      <c r="D99" s="2922"/>
      <c r="E99" s="2923"/>
      <c r="F99" s="2923"/>
      <c r="G99" s="308"/>
      <c r="H99" s="311"/>
      <c r="I99" s="246"/>
      <c r="J99" s="308"/>
      <c r="K99" s="2659" t="s">
        <v>632</v>
      </c>
      <c r="L99" s="1084"/>
      <c r="M99" s="899"/>
      <c r="N99" s="1063"/>
      <c r="O99" s="343"/>
      <c r="P99" s="909"/>
      <c r="Q99" s="60"/>
      <c r="R99" s="314"/>
      <c r="S99" s="930"/>
      <c r="T99" s="314"/>
      <c r="U99" s="349"/>
      <c r="V99" s="215"/>
      <c r="W99" s="920" t="s">
        <v>1770</v>
      </c>
      <c r="X99" s="950"/>
      <c r="Y99" s="950"/>
      <c r="Z99" s="950"/>
      <c r="AA99" s="950"/>
      <c r="AB99" s="62"/>
      <c r="AC99" s="754"/>
      <c r="AD99" s="140"/>
      <c r="AE99" s="349"/>
    </row>
    <row r="100" spans="1:32" ht="14.25" customHeight="1">
      <c r="A100" s="117"/>
      <c r="B100" s="246"/>
      <c r="C100" s="1076" t="s">
        <v>585</v>
      </c>
      <c r="D100" s="535" t="str">
        <f>TEXT(R100,"$0,000")&amp;" if single,"</f>
        <v>$406,750 if single,</v>
      </c>
      <c r="E100" s="3360"/>
      <c r="F100" s="3360"/>
      <c r="G100" s="308"/>
      <c r="H100" s="308"/>
      <c r="I100" s="308"/>
      <c r="J100" s="308"/>
      <c r="K100" s="2659"/>
      <c r="L100" s="1084"/>
      <c r="M100" s="899"/>
      <c r="N100" s="1062"/>
      <c r="O100" s="343"/>
      <c r="P100" s="898"/>
      <c r="Q100" s="651"/>
      <c r="R100" s="2945">
        <v>406750</v>
      </c>
      <c r="S100" s="930"/>
      <c r="T100" s="314"/>
      <c r="U100" s="349"/>
      <c r="V100" s="215"/>
      <c r="W100" s="4865" t="s">
        <v>1575</v>
      </c>
      <c r="X100" s="3889"/>
      <c r="Y100" s="3889"/>
      <c r="Z100" s="3889"/>
      <c r="AA100" s="3889"/>
      <c r="AB100" s="923">
        <f>V96</f>
        <v>6</v>
      </c>
      <c r="AC100" s="431">
        <f>IF(OR(AA92="",AMTExemptionFlag="No"),0,IF(AC86-AC95&lt;=0,0,AC86-AC95))</f>
        <v>0</v>
      </c>
      <c r="AD100" s="140"/>
      <c r="AE100" s="349"/>
    </row>
    <row r="101" spans="1:32" ht="14.25" customHeight="1">
      <c r="A101" s="117"/>
      <c r="B101" s="246"/>
      <c r="C101" s="1076" t="s">
        <v>585</v>
      </c>
      <c r="D101" s="535" t="str">
        <f>TEXT(R101,"$0,000")&amp;" if married filing separately"</f>
        <v>$228,800 if married filing separately</v>
      </c>
      <c r="E101" s="3360"/>
      <c r="F101" s="3360"/>
      <c r="G101" s="308"/>
      <c r="H101" s="308"/>
      <c r="I101" s="308"/>
      <c r="J101" s="308"/>
      <c r="K101" s="2659"/>
      <c r="L101" s="1084"/>
      <c r="M101" s="899"/>
      <c r="N101" s="1062"/>
      <c r="O101" s="343"/>
      <c r="P101" s="898"/>
      <c r="Q101" s="651"/>
      <c r="R101" s="2945">
        <v>228800</v>
      </c>
      <c r="S101" s="930"/>
      <c r="T101" s="349"/>
      <c r="U101" s="349"/>
      <c r="V101" s="2665"/>
      <c r="W101" s="2699" t="str">
        <f>IF(AND(ChildUnder24&lt;&gt;"",AA123=0),"The questions for a 'Child under 24' (below) must be answered before proceeding.","")</f>
        <v/>
      </c>
      <c r="X101" s="2669"/>
      <c r="Y101" s="2669"/>
      <c r="Z101" s="2669"/>
      <c r="AA101" s="2669"/>
      <c r="AB101" s="2666"/>
      <c r="AC101" s="2667"/>
      <c r="AD101" s="2668"/>
      <c r="AE101" s="349"/>
    </row>
    <row r="102" spans="1:32" ht="14.25" customHeight="1">
      <c r="A102" s="117"/>
      <c r="B102" s="246"/>
      <c r="C102" s="1076" t="s">
        <v>585</v>
      </c>
      <c r="D102" s="535" t="str">
        <f>TEXT(R102,"$0,000")&amp;" if married filing jointly or qualifying widow(er)"</f>
        <v>$457,600 if married filing jointly or qualifying widow(er)</v>
      </c>
      <c r="E102" s="3360"/>
      <c r="F102" s="3360"/>
      <c r="G102" s="308"/>
      <c r="H102" s="308"/>
      <c r="I102" s="311"/>
      <c r="J102" s="308"/>
      <c r="K102" s="2659" t="s">
        <v>1061</v>
      </c>
      <c r="L102" s="905">
        <f>B99</f>
        <v>49</v>
      </c>
      <c r="M102" s="3018" t="str">
        <f>IF(P102&lt;&gt;"",P102,IF(NOT(F6251_PIII),"",IF(File_Single&lt;&gt;"",R100,IF(File_Marr_Sep&lt;&gt;"",R101,IF(OR(File_Marr_Joint&lt;&gt;"",File_Qual_Widow&lt;&gt;""),R102,IF(File_Head&lt;&gt;"",R103,"Filing Status?"))))))</f>
        <v/>
      </c>
      <c r="N102" s="1062"/>
      <c r="O102" s="343"/>
      <c r="P102" s="676"/>
      <c r="Q102" s="651"/>
      <c r="R102" s="2946">
        <v>457600</v>
      </c>
      <c r="S102" s="930"/>
      <c r="T102" s="1081"/>
      <c r="U102" s="349"/>
      <c r="V102" s="922">
        <v>7</v>
      </c>
      <c r="W102" s="920" t="s">
        <v>383</v>
      </c>
      <c r="X102" s="47"/>
      <c r="Y102" s="47"/>
      <c r="Z102" s="72"/>
      <c r="AA102" s="62"/>
      <c r="AB102" s="923">
        <f>V102</f>
        <v>7</v>
      </c>
      <c r="AC102" s="924">
        <v>7250</v>
      </c>
      <c r="AD102" s="140"/>
      <c r="AE102" s="349"/>
    </row>
    <row r="103" spans="1:32" ht="14.25" customHeight="1">
      <c r="A103" s="117"/>
      <c r="B103" s="246"/>
      <c r="C103" s="1076" t="s">
        <v>585</v>
      </c>
      <c r="D103" s="535" t="str">
        <f>TEXT(R103,"$0,000")&amp;" if head of household"</f>
        <v>$432,200 if head of household</v>
      </c>
      <c r="E103" s="3360"/>
      <c r="F103" s="3360"/>
      <c r="G103" s="308"/>
      <c r="H103" s="308"/>
      <c r="I103" s="308"/>
      <c r="J103" s="308"/>
      <c r="K103" s="2659"/>
      <c r="L103" s="321"/>
      <c r="M103" s="899"/>
      <c r="N103" s="1062"/>
      <c r="O103" s="343"/>
      <c r="P103" s="898"/>
      <c r="Q103" s="60"/>
      <c r="R103" s="2946">
        <v>432200</v>
      </c>
      <c r="S103" s="1081"/>
      <c r="T103" s="1081"/>
      <c r="U103" s="349"/>
      <c r="V103" s="922">
        <v>8</v>
      </c>
      <c r="W103" s="920" t="s">
        <v>1079</v>
      </c>
      <c r="X103" s="47"/>
      <c r="Y103" s="47"/>
      <c r="Z103" s="72"/>
      <c r="AA103" s="62"/>
      <c r="AB103" s="923">
        <f>V103</f>
        <v>8</v>
      </c>
      <c r="AC103" s="926"/>
      <c r="AD103" s="140"/>
      <c r="AE103" s="314"/>
    </row>
    <row r="104" spans="1:32" ht="14.25" customHeight="1">
      <c r="A104" s="117"/>
      <c r="B104" s="311">
        <f>B99+1</f>
        <v>50</v>
      </c>
      <c r="C104" s="535" t="s">
        <v>2705</v>
      </c>
      <c r="D104" s="2922"/>
      <c r="E104" s="2923"/>
      <c r="F104" s="2923"/>
      <c r="G104" s="308"/>
      <c r="H104" s="311"/>
      <c r="I104" s="246"/>
      <c r="J104" s="308"/>
      <c r="K104" s="2659" t="s">
        <v>2706</v>
      </c>
      <c r="L104" s="905">
        <f t="shared" si="2"/>
        <v>50</v>
      </c>
      <c r="M104" s="3018" t="str">
        <f>IF(NOT(F6251_PIII),"",M95)</f>
        <v/>
      </c>
      <c r="N104" s="1063"/>
      <c r="O104" s="343"/>
      <c r="P104" s="909"/>
      <c r="Q104" s="60"/>
      <c r="R104" s="314"/>
      <c r="S104" s="1081"/>
      <c r="T104" s="1081"/>
      <c r="U104" s="349"/>
      <c r="V104" s="922">
        <v>9</v>
      </c>
      <c r="W104" s="920" t="s">
        <v>239</v>
      </c>
      <c r="X104" s="47"/>
      <c r="Y104" s="47"/>
      <c r="Z104" s="72"/>
      <c r="AA104" s="62"/>
      <c r="AB104" s="923">
        <f>V104</f>
        <v>9</v>
      </c>
      <c r="AC104" s="431" t="str">
        <f>IF(OR(AMTExemptionFlag="No",ChildUnder24="",AND(ChildUnder24&lt;&gt;"",AA123=0)),"",AC102+AC103)</f>
        <v/>
      </c>
      <c r="AD104" s="140"/>
      <c r="AE104" s="314"/>
    </row>
    <row r="105" spans="1:32" ht="14.25" customHeight="1">
      <c r="A105" s="117"/>
      <c r="B105" s="311">
        <v>51</v>
      </c>
      <c r="C105" s="580" t="s">
        <v>2212</v>
      </c>
      <c r="D105" s="3238"/>
      <c r="E105" s="3239"/>
      <c r="F105" s="3239"/>
      <c r="G105" s="308"/>
      <c r="H105" s="311"/>
      <c r="I105" s="311"/>
      <c r="J105" s="311"/>
      <c r="K105" s="311"/>
      <c r="L105" s="2967"/>
      <c r="M105" s="2947"/>
      <c r="N105" s="1063"/>
      <c r="O105" s="343"/>
      <c r="P105" s="909"/>
      <c r="Q105" s="60"/>
      <c r="R105" s="314"/>
      <c r="S105" s="1081"/>
      <c r="T105" s="1081"/>
      <c r="U105" s="349"/>
      <c r="V105" s="922">
        <v>10</v>
      </c>
      <c r="W105" s="920" t="s">
        <v>1576</v>
      </c>
      <c r="X105" s="47"/>
      <c r="Y105" s="47"/>
      <c r="Z105" s="370"/>
      <c r="AA105" s="62"/>
      <c r="AB105" s="370"/>
      <c r="AC105" s="421"/>
      <c r="AD105" s="140"/>
      <c r="AE105" s="314"/>
    </row>
    <row r="106" spans="1:32" ht="14.25" customHeight="1">
      <c r="A106" s="117"/>
      <c r="B106" s="311"/>
      <c r="C106" s="580" t="s">
        <v>2217</v>
      </c>
      <c r="D106" s="3238"/>
      <c r="E106" s="3239"/>
      <c r="F106" s="3239"/>
      <c r="G106" s="308"/>
      <c r="H106" s="311"/>
      <c r="I106" s="311"/>
      <c r="J106" s="311"/>
      <c r="K106" s="311"/>
      <c r="L106" s="2967"/>
      <c r="M106" s="2947"/>
      <c r="N106" s="1063"/>
      <c r="O106" s="343"/>
      <c r="P106" s="909"/>
      <c r="Q106" s="60"/>
      <c r="R106" s="314"/>
      <c r="S106" s="1081"/>
      <c r="T106" s="930"/>
      <c r="U106" s="349"/>
      <c r="V106" s="1096"/>
      <c r="W106" s="1097" t="s">
        <v>995</v>
      </c>
      <c r="X106" s="799"/>
      <c r="Y106" s="799"/>
      <c r="Z106" s="1098"/>
      <c r="AA106" s="1104"/>
      <c r="AB106" s="1105">
        <f>V105</f>
        <v>10</v>
      </c>
      <c r="AC106" s="2700">
        <f>IF(AND(ChildUnder24&lt;&gt;"",AA123=0),"See below.",IF(AMTExemptionFlag="No",0,MIN(AC100,AC104)))</f>
        <v>0</v>
      </c>
      <c r="AD106" s="140"/>
      <c r="AE106" s="314"/>
    </row>
    <row r="107" spans="1:32" ht="14.25" customHeight="1">
      <c r="A107" s="117"/>
      <c r="B107" s="311"/>
      <c r="C107" s="580" t="s">
        <v>2218</v>
      </c>
      <c r="D107" s="3238"/>
      <c r="E107" s="3239"/>
      <c r="F107" s="3239"/>
      <c r="G107" s="308"/>
      <c r="H107" s="311"/>
      <c r="I107" s="311"/>
      <c r="J107" s="311"/>
      <c r="K107" s="311"/>
      <c r="L107" s="2967"/>
      <c r="M107" s="2947"/>
      <c r="N107" s="1063"/>
      <c r="O107" s="342"/>
      <c r="P107" s="909"/>
      <c r="Q107" s="60"/>
      <c r="R107" s="314"/>
      <c r="S107" s="314"/>
      <c r="T107" s="930"/>
      <c r="U107" s="349"/>
      <c r="V107" s="1096"/>
      <c r="W107" s="1097"/>
      <c r="X107" s="799"/>
      <c r="Y107" s="799"/>
      <c r="Z107" s="1098"/>
      <c r="AA107" s="1104"/>
      <c r="AB107" s="1105"/>
      <c r="AC107" s="1405"/>
      <c r="AD107" s="140"/>
      <c r="AE107" s="314"/>
    </row>
    <row r="108" spans="1:32" ht="13.5" customHeight="1" thickBot="1">
      <c r="A108" s="117"/>
      <c r="B108" s="311"/>
      <c r="C108" s="580" t="s">
        <v>2219</v>
      </c>
      <c r="D108" s="3238"/>
      <c r="E108" s="3239"/>
      <c r="F108" s="3239"/>
      <c r="G108" s="308"/>
      <c r="H108" s="311"/>
      <c r="I108" s="311"/>
      <c r="J108" s="311"/>
      <c r="K108" s="311"/>
      <c r="L108" s="2967"/>
      <c r="M108" s="2947"/>
      <c r="N108" s="1063"/>
      <c r="O108" s="343"/>
      <c r="P108" s="909"/>
      <c r="Q108" s="60"/>
      <c r="R108" s="314"/>
      <c r="S108" s="314"/>
      <c r="T108" s="930"/>
      <c r="U108" s="349"/>
      <c r="V108" s="1106"/>
      <c r="W108" s="1312" t="str">
        <f>IF(AND(ChildUnder24="",AC103&gt;0),"You MUST check the box in Cell O45 to enter a value in Line 8.","")</f>
        <v/>
      </c>
      <c r="X108" s="45"/>
      <c r="Y108" s="45"/>
      <c r="Z108" s="1107"/>
      <c r="AA108" s="216"/>
      <c r="AB108" s="849"/>
      <c r="AC108" s="468"/>
      <c r="AD108" s="141"/>
      <c r="AE108" s="314"/>
    </row>
    <row r="109" spans="1:32" ht="12.75" customHeight="1" thickBot="1">
      <c r="A109" s="117"/>
      <c r="B109" s="311"/>
      <c r="C109" s="580" t="s">
        <v>2220</v>
      </c>
      <c r="D109" s="253"/>
      <c r="E109" s="307"/>
      <c r="F109" s="307"/>
      <c r="G109" s="308"/>
      <c r="H109" s="311"/>
      <c r="I109" s="678"/>
      <c r="J109" s="678"/>
      <c r="K109" s="2659" t="s">
        <v>2221</v>
      </c>
      <c r="L109" s="333">
        <f>B105</f>
        <v>51</v>
      </c>
      <c r="M109" s="3018" t="str">
        <f>IF(P109&lt;&gt;"",P109,IF(NOT(F6251_PIII),"",IF(CGTW,'Line 44'!L23,IF(SchDTW_Used,'Sch. D WS'!N64,IF(Taxable_Inc&gt;0,Taxable_Inc,0)))))</f>
        <v/>
      </c>
      <c r="N109" s="1062"/>
      <c r="O109" s="2951" t="b">
        <f>IF(NOT(F6251_PIII),FALSE,IF(M71=K110,TRUE,FALSE))</f>
        <v>0</v>
      </c>
      <c r="P109" s="676"/>
      <c r="Q109" s="60"/>
      <c r="R109" s="314"/>
      <c r="S109" s="314"/>
      <c r="T109" s="930"/>
      <c r="U109" s="349"/>
      <c r="V109" s="349"/>
      <c r="W109" s="349"/>
      <c r="X109" s="349"/>
      <c r="Y109" s="349"/>
      <c r="Z109" s="349"/>
      <c r="AA109" s="349"/>
      <c r="AB109" s="349"/>
      <c r="AC109" s="349"/>
      <c r="AD109" s="349"/>
      <c r="AE109" s="314"/>
    </row>
    <row r="110" spans="1:32" ht="14.25" customHeight="1">
      <c r="A110" s="117"/>
      <c r="B110" s="311">
        <f>B105+1</f>
        <v>52</v>
      </c>
      <c r="C110" s="535" t="s">
        <v>2293</v>
      </c>
      <c r="D110" s="2922"/>
      <c r="E110" s="2923"/>
      <c r="F110" s="2923"/>
      <c r="G110" s="308"/>
      <c r="H110" s="311"/>
      <c r="I110" s="246" t="s">
        <v>2221</v>
      </c>
      <c r="J110" s="905">
        <f>B110</f>
        <v>52</v>
      </c>
      <c r="K110" s="3018" t="str">
        <f>IF(NOT(F6251_PIII),"",SUM(M104,M109))</f>
        <v/>
      </c>
      <c r="L110" s="1084"/>
      <c r="M110" s="2947"/>
      <c r="N110" s="1063"/>
      <c r="O110" s="343"/>
      <c r="P110" s="1657"/>
      <c r="Q110" s="60"/>
      <c r="R110" s="314"/>
      <c r="S110" s="314"/>
      <c r="T110" s="930"/>
      <c r="U110" s="349"/>
      <c r="V110" s="2672"/>
      <c r="W110" s="2673"/>
      <c r="X110" s="2674"/>
      <c r="Y110" s="2674"/>
      <c r="Z110" s="2674"/>
      <c r="AA110" s="2675"/>
      <c r="AB110" s="314"/>
      <c r="AC110" s="978"/>
      <c r="AD110" s="1595"/>
      <c r="AE110" s="314"/>
    </row>
    <row r="111" spans="1:32" ht="12" customHeight="1">
      <c r="A111" s="117"/>
      <c r="B111" s="311">
        <f>B110+1</f>
        <v>53</v>
      </c>
      <c r="C111" s="535" t="s">
        <v>2294</v>
      </c>
      <c r="D111" s="2922"/>
      <c r="E111" s="2923"/>
      <c r="F111" s="2923"/>
      <c r="G111" s="308"/>
      <c r="H111" s="311"/>
      <c r="I111" s="246" t="s">
        <v>466</v>
      </c>
      <c r="J111" s="905">
        <f>B111</f>
        <v>53</v>
      </c>
      <c r="K111" s="3018" t="str">
        <f>IF(NOT(F6251_PIII),"",IF(SUM(M102,-K110)&lt;0,0,SUM(M102,-K110)))</f>
        <v/>
      </c>
      <c r="L111" s="1084"/>
      <c r="M111" s="2947">
        <v>0.15</v>
      </c>
      <c r="N111" s="1063"/>
      <c r="O111" s="2951" t="b">
        <f>IF(NOT(F6251_PIII),FALSE,IF(OR(K77=0,K77=""),TRUE,FALSE))</f>
        <v>0</v>
      </c>
      <c r="P111" s="909"/>
      <c r="Q111" s="60"/>
      <c r="R111" s="314"/>
      <c r="S111" s="314"/>
      <c r="T111" s="1081"/>
      <c r="U111" s="349"/>
      <c r="V111" s="2676"/>
      <c r="W111" s="2677"/>
      <c r="X111" s="2678" t="s">
        <v>1580</v>
      </c>
      <c r="Y111" s="2679"/>
      <c r="Z111" s="2679"/>
      <c r="AA111" s="2680"/>
      <c r="AB111" s="314"/>
      <c r="AC111" s="978"/>
      <c r="AD111" s="1595"/>
      <c r="AE111" s="314"/>
    </row>
    <row r="112" spans="1:32" ht="14.25" customHeight="1">
      <c r="A112" s="117"/>
      <c r="B112" s="311">
        <f>B111+1</f>
        <v>54</v>
      </c>
      <c r="C112" s="535" t="s">
        <v>2295</v>
      </c>
      <c r="D112" s="253"/>
      <c r="E112" s="307"/>
      <c r="F112" s="307"/>
      <c r="G112" s="308"/>
      <c r="H112" s="311"/>
      <c r="I112" s="2953"/>
      <c r="J112" s="678"/>
      <c r="K112" s="2952"/>
      <c r="L112" s="333">
        <f>B112</f>
        <v>54</v>
      </c>
      <c r="M112" s="3018" t="str">
        <f>IF(P112&lt;&gt;"",P112,IF(NOT(F6251_PIII),"",MIN(M98,K111)))</f>
        <v/>
      </c>
      <c r="N112" s="1062"/>
      <c r="O112" s="342"/>
      <c r="P112" s="676"/>
      <c r="Q112" s="60"/>
      <c r="R112" s="314"/>
      <c r="S112" s="314"/>
      <c r="T112" s="930"/>
      <c r="U112" s="349"/>
      <c r="V112" s="2676"/>
      <c r="W112" s="2677"/>
      <c r="X112" s="2681"/>
      <c r="Y112" s="2681"/>
      <c r="Z112" s="2681"/>
      <c r="AA112" s="2680"/>
      <c r="AB112" s="314"/>
      <c r="AC112" s="978"/>
      <c r="AD112" s="1595"/>
      <c r="AE112" s="314"/>
    </row>
    <row r="113" spans="1:31" ht="14.25" customHeight="1">
      <c r="A113" s="117"/>
      <c r="B113" s="311">
        <f>B112+1</f>
        <v>55</v>
      </c>
      <c r="C113" s="535" t="str">
        <f>"Multiply line 54 by "&amp;TEXT(M111,"0%")&amp;" ("&amp;TEXT(M111,".00")&amp;")"</f>
        <v>Multiply line 54 by 15% (.15)</v>
      </c>
      <c r="D113" s="2922"/>
      <c r="E113" s="2923"/>
      <c r="F113" s="2923"/>
      <c r="G113" s="308"/>
      <c r="H113" s="311"/>
      <c r="I113" s="678"/>
      <c r="J113" s="678"/>
      <c r="K113" s="2659" t="s">
        <v>2003</v>
      </c>
      <c r="L113" s="333">
        <f>B113</f>
        <v>55</v>
      </c>
      <c r="M113" s="3018" t="str">
        <f>IF(P113&lt;&gt;"",P113,IF(NOT(F6251_PIII),"",ROUND(M111*M112,0)))</f>
        <v/>
      </c>
      <c r="N113" s="1062"/>
      <c r="O113" s="343"/>
      <c r="P113" s="676"/>
      <c r="Q113" s="60"/>
      <c r="R113" s="314"/>
      <c r="S113" s="314"/>
      <c r="T113" s="1081"/>
      <c r="U113" s="349"/>
      <c r="V113" s="2682"/>
      <c r="W113" s="2677"/>
      <c r="X113" s="2683"/>
      <c r="Y113" s="2684" t="str">
        <f>"You were under age 18 at the end of "&amp;TaxYear&amp;".  "</f>
        <v xml:space="preserve">You were under age 18 at the end of 2014.  </v>
      </c>
      <c r="Z113" s="2671"/>
      <c r="AA113" s="2685">
        <f>IF(Z113="",0,1)</f>
        <v>0</v>
      </c>
      <c r="AB113" s="314"/>
      <c r="AC113" s="978"/>
      <c r="AD113" s="1595"/>
      <c r="AE113" s="314"/>
    </row>
    <row r="114" spans="1:31" ht="14.25" customHeight="1">
      <c r="A114" s="117"/>
      <c r="B114" s="311">
        <f>B113+1</f>
        <v>56</v>
      </c>
      <c r="C114" s="535" t="s">
        <v>2296</v>
      </c>
      <c r="D114" s="253"/>
      <c r="E114" s="307"/>
      <c r="F114" s="307"/>
      <c r="G114" s="308"/>
      <c r="H114" s="311"/>
      <c r="I114" s="246" t="s">
        <v>2306</v>
      </c>
      <c r="J114" s="905">
        <f>B114</f>
        <v>56</v>
      </c>
      <c r="K114" s="3018" t="str">
        <f>IF(NOT(F6251_PIII),"",SUM(M97,M112))</f>
        <v/>
      </c>
      <c r="L114" s="1084"/>
      <c r="M114" s="818"/>
      <c r="N114" s="1063"/>
      <c r="O114" s="1071"/>
      <c r="P114" s="898"/>
      <c r="Q114" s="60"/>
      <c r="R114" s="314"/>
      <c r="S114" s="314"/>
      <c r="T114" s="930"/>
      <c r="U114" s="349"/>
      <c r="V114" s="2682"/>
      <c r="W114" s="2677"/>
      <c r="X114" s="2683"/>
      <c r="Y114" s="2684"/>
      <c r="Z114" s="2686"/>
      <c r="AA114" s="2685"/>
      <c r="AB114" s="314"/>
      <c r="AC114" s="978"/>
      <c r="AD114" s="1595"/>
      <c r="AE114" s="314"/>
    </row>
    <row r="115" spans="1:31" ht="14.25" customHeight="1">
      <c r="A115" s="117"/>
      <c r="B115" s="311"/>
      <c r="C115" s="233" t="s">
        <v>2297</v>
      </c>
      <c r="D115" s="253"/>
      <c r="E115" s="307"/>
      <c r="F115" s="307"/>
      <c r="G115" s="308"/>
      <c r="H115" s="2954"/>
      <c r="I115" s="308"/>
      <c r="J115" s="678"/>
      <c r="K115" s="670"/>
      <c r="L115" s="323"/>
      <c r="M115" s="819"/>
      <c r="N115" s="1062"/>
      <c r="O115" s="3297" t="b">
        <f>IF(NOT(F6251_PIII),FALSE,IF(M71=K114,TRUE,FALSE))</f>
        <v>0</v>
      </c>
      <c r="P115" s="2948" t="str">
        <f>IF(NOT(F6251_PIII),"",IF(O115,"Go to Line 62.",""))</f>
        <v/>
      </c>
      <c r="Q115" s="60"/>
      <c r="R115" s="314"/>
      <c r="S115" s="314"/>
      <c r="T115" s="1081"/>
      <c r="U115" s="349"/>
      <c r="V115" s="2687"/>
      <c r="W115" s="2688"/>
      <c r="X115" s="2688"/>
      <c r="Y115" s="2689" t="str">
        <f>"You were age 18 at the end of "&amp;TaxYear&amp;" and   "</f>
        <v xml:space="preserve">You were age 18 at the end of 2014 and   </v>
      </c>
      <c r="Z115" s="2690"/>
      <c r="AA115" s="2685"/>
      <c r="AB115" s="314"/>
      <c r="AC115" s="978"/>
      <c r="AD115" s="1595"/>
      <c r="AE115" s="314"/>
    </row>
    <row r="116" spans="1:31" ht="14.25" customHeight="1">
      <c r="A116" s="117"/>
      <c r="B116" s="311">
        <f>B114+1</f>
        <v>57</v>
      </c>
      <c r="C116" s="535" t="s">
        <v>2298</v>
      </c>
      <c r="D116" s="2922"/>
      <c r="E116" s="2923"/>
      <c r="F116" s="2923"/>
      <c r="G116" s="308"/>
      <c r="H116" s="311"/>
      <c r="I116" s="246" t="s">
        <v>2305</v>
      </c>
      <c r="J116" s="905">
        <f>B116</f>
        <v>57</v>
      </c>
      <c r="K116" s="3018" t="str">
        <f>IF(NOT(F6251_PIII),"",IF(O115,"",SUM(M96,-K114)))</f>
        <v/>
      </c>
      <c r="L116" s="1084"/>
      <c r="M116" s="2947">
        <v>0.2</v>
      </c>
      <c r="N116" s="1063"/>
      <c r="O116" s="832"/>
      <c r="P116" s="898"/>
      <c r="Q116" s="60"/>
      <c r="R116" s="314"/>
      <c r="S116" s="314"/>
      <c r="T116" s="1081"/>
      <c r="U116" s="349"/>
      <c r="V116" s="2687"/>
      <c r="W116" s="2688"/>
      <c r="X116" s="2688"/>
      <c r="Y116" s="2691" t="s">
        <v>1577</v>
      </c>
      <c r="Z116" s="2671"/>
      <c r="AA116" s="2685">
        <f>IF(Z116="",0,1)</f>
        <v>0</v>
      </c>
      <c r="AB116" s="314"/>
      <c r="AC116" s="978"/>
      <c r="AD116" s="1595"/>
      <c r="AE116" s="314"/>
    </row>
    <row r="117" spans="1:31" ht="15" customHeight="1">
      <c r="A117" s="117"/>
      <c r="B117" s="311">
        <f>B116+1</f>
        <v>58</v>
      </c>
      <c r="C117" s="535" t="str">
        <f>"Multiply line 57 by "&amp;TEXT(M116,"0%")&amp;" ("&amp;TEXT(M116,".00")&amp;")"</f>
        <v>Multiply line 57 by 20% (.20)</v>
      </c>
      <c r="D117" s="253"/>
      <c r="E117" s="307"/>
      <c r="F117" s="307"/>
      <c r="G117" s="308"/>
      <c r="H117" s="308"/>
      <c r="I117" s="308"/>
      <c r="J117" s="308"/>
      <c r="K117" s="2659" t="s">
        <v>914</v>
      </c>
      <c r="L117" s="333">
        <f>B117</f>
        <v>58</v>
      </c>
      <c r="M117" s="3018" t="str">
        <f>IF(P117&lt;&gt;"",P117,IF(OR(NOT(F6251_PIII),O115),"",ROUND(K116*M116,0)))</f>
        <v/>
      </c>
      <c r="N117" s="1063"/>
      <c r="O117" s="832"/>
      <c r="P117" s="676"/>
      <c r="Q117" s="60"/>
      <c r="R117" s="349"/>
      <c r="S117" s="314"/>
      <c r="T117" s="1081"/>
      <c r="U117" s="349"/>
      <c r="V117" s="2676"/>
      <c r="W117" s="2677"/>
      <c r="X117" s="2681"/>
      <c r="Y117" s="2692"/>
      <c r="Z117" s="2686"/>
      <c r="AA117" s="2685"/>
      <c r="AB117" s="314"/>
      <c r="AC117" s="978"/>
      <c r="AD117" s="1595"/>
      <c r="AE117" s="314"/>
    </row>
    <row r="118" spans="1:31" ht="15.75" customHeight="1">
      <c r="A118" s="117"/>
      <c r="B118" s="311"/>
      <c r="C118" s="233" t="s">
        <v>2299</v>
      </c>
      <c r="D118" s="3247"/>
      <c r="E118" s="3249"/>
      <c r="F118" s="3249"/>
      <c r="G118" s="308"/>
      <c r="H118" s="2954"/>
      <c r="I118" s="308"/>
      <c r="J118" s="678"/>
      <c r="K118" s="670"/>
      <c r="L118" s="323"/>
      <c r="M118" s="819"/>
      <c r="N118" s="1062"/>
      <c r="O118" s="3297" t="b">
        <f>IF(NOT(F6251_PIII),FALSE,IF(OR(M77=0,M77=""),TRUE,FALSE))</f>
        <v>0</v>
      </c>
      <c r="P118" s="2948" t="str">
        <f>IF(NOT(F6251_PIII),"",IF(O115,"",IF(O118,"Go to Line 62.","")))</f>
        <v/>
      </c>
      <c r="Q118" s="60"/>
      <c r="R118" s="349"/>
      <c r="S118" s="314"/>
      <c r="T118" s="1081"/>
      <c r="U118" s="349"/>
      <c r="V118" s="2676"/>
      <c r="W118" s="2677"/>
      <c r="X118" s="2681"/>
      <c r="Y118" s="2684" t="s">
        <v>1578</v>
      </c>
      <c r="Z118" s="2693"/>
      <c r="AA118" s="2685"/>
      <c r="AB118" s="314"/>
      <c r="AC118" s="978"/>
      <c r="AD118" s="1595"/>
      <c r="AE118" s="314"/>
    </row>
    <row r="119" spans="1:31" ht="15.75" customHeight="1">
      <c r="A119" s="117"/>
      <c r="B119" s="311">
        <f>B117+1</f>
        <v>59</v>
      </c>
      <c r="C119" s="535" t="s">
        <v>2300</v>
      </c>
      <c r="D119" s="253"/>
      <c r="E119" s="307"/>
      <c r="F119" s="307"/>
      <c r="G119" s="308"/>
      <c r="H119" s="308"/>
      <c r="I119" s="308"/>
      <c r="J119" s="308"/>
      <c r="K119" s="2659" t="s">
        <v>988</v>
      </c>
      <c r="L119" s="904">
        <f>B119</f>
        <v>59</v>
      </c>
      <c r="M119" s="3018" t="str">
        <f>IF(P119&lt;&gt;"",P119,IF(OR(NOT(F6251_PIII),O115,O118),"",SUM(M83,K114,K116)))</f>
        <v/>
      </c>
      <c r="N119" s="1063"/>
      <c r="O119" s="907"/>
      <c r="P119" s="676"/>
      <c r="Q119" s="60"/>
      <c r="R119" s="349"/>
      <c r="S119" s="314"/>
      <c r="T119" s="1081"/>
      <c r="U119" s="349"/>
      <c r="V119" s="2682"/>
      <c r="W119" s="2677"/>
      <c r="X119" s="2683"/>
      <c r="Y119" s="2684" t="str">
        <f>"under age 24 at the end of "&amp;TaxYear&amp;" and   "</f>
        <v xml:space="preserve">under age 24 at the end of 2014 and   </v>
      </c>
      <c r="Z119" s="2671"/>
      <c r="AA119" s="2685">
        <f>IF(Z119="",0,1)</f>
        <v>0</v>
      </c>
      <c r="AB119" s="314"/>
      <c r="AC119" s="978"/>
      <c r="AD119" s="1595"/>
      <c r="AE119" s="314"/>
    </row>
    <row r="120" spans="1:31" ht="15" customHeight="1">
      <c r="A120" s="117"/>
      <c r="B120" s="311">
        <f t="shared" ref="B120" si="4">B119+1</f>
        <v>60</v>
      </c>
      <c r="C120" s="535" t="s">
        <v>2301</v>
      </c>
      <c r="D120" s="3247"/>
      <c r="E120" s="3249"/>
      <c r="F120" s="3249"/>
      <c r="G120" s="308"/>
      <c r="H120" s="311"/>
      <c r="I120" s="246"/>
      <c r="J120" s="308"/>
      <c r="K120" s="880" t="s">
        <v>1226</v>
      </c>
      <c r="L120" s="905">
        <f t="shared" ref="L120" si="5">B120</f>
        <v>60</v>
      </c>
      <c r="M120" s="3293" t="str">
        <f>IF(OR(NOT(F6251_PIII),O115,O118),"",SUM(M71,-M119))</f>
        <v/>
      </c>
      <c r="N120" s="1063"/>
      <c r="O120" s="343"/>
      <c r="P120" s="909"/>
      <c r="Q120" s="60"/>
      <c r="R120" s="349"/>
      <c r="S120" s="314"/>
      <c r="T120" s="1081"/>
      <c r="U120" s="349"/>
      <c r="V120" s="2687"/>
      <c r="W120" s="2688"/>
      <c r="X120" s="2688"/>
      <c r="Y120" s="2694" t="s">
        <v>1577</v>
      </c>
      <c r="Z120" s="2679"/>
      <c r="AA120" s="2685"/>
      <c r="AB120" s="314"/>
      <c r="AC120" s="978"/>
      <c r="AD120" s="1595"/>
      <c r="AE120" s="314"/>
    </row>
    <row r="121" spans="1:31">
      <c r="A121" s="117"/>
      <c r="B121" s="311">
        <f>B120+1</f>
        <v>61</v>
      </c>
      <c r="C121" s="535" t="str">
        <f>"Multiply line 60 by "&amp;TEXT(O121,"0%")&amp;" ("&amp;TEXT(O121,".00")&amp;")"</f>
        <v>Multiply line 60 by 25% (.25)</v>
      </c>
      <c r="D121" s="3247"/>
      <c r="E121" s="3249"/>
      <c r="F121" s="3249"/>
      <c r="G121" s="308"/>
      <c r="H121" s="308"/>
      <c r="I121" s="308"/>
      <c r="J121" s="308"/>
      <c r="K121" s="880" t="s">
        <v>1226</v>
      </c>
      <c r="L121" s="333">
        <f>B121</f>
        <v>61</v>
      </c>
      <c r="M121" s="3018" t="str">
        <f>IF(P119&lt;&gt;"",P119,IF(OR(NOT(F6251_PIII),O115,O118),"",M120*O121))</f>
        <v/>
      </c>
      <c r="N121" s="1063"/>
      <c r="O121" s="3292">
        <v>0.25</v>
      </c>
      <c r="P121" s="676"/>
      <c r="Q121" s="60"/>
      <c r="R121" s="349"/>
      <c r="S121" s="314"/>
      <c r="T121" s="314"/>
      <c r="U121" s="349"/>
      <c r="V121" s="2676"/>
      <c r="W121" s="2677"/>
      <c r="X121" s="2681"/>
      <c r="Y121" s="2681"/>
      <c r="Z121" s="2681"/>
      <c r="AA121" s="2685"/>
      <c r="AB121" s="314"/>
      <c r="AC121" s="978"/>
      <c r="AD121" s="1595"/>
      <c r="AE121" s="314"/>
    </row>
    <row r="122" spans="1:31">
      <c r="A122" s="117"/>
      <c r="B122" s="311">
        <f>B121+1</f>
        <v>62</v>
      </c>
      <c r="C122" s="535" t="s">
        <v>2302</v>
      </c>
      <c r="D122" s="3247"/>
      <c r="E122" s="3249"/>
      <c r="F122" s="3249"/>
      <c r="G122" s="308"/>
      <c r="H122" s="308"/>
      <c r="I122" s="308"/>
      <c r="J122" s="308"/>
      <c r="K122" s="2659" t="s">
        <v>2003</v>
      </c>
      <c r="L122" s="904">
        <f>B122</f>
        <v>62</v>
      </c>
      <c r="M122" s="3018" t="str">
        <f>IF(P122&lt;&gt;"",P122,IF(NOT(F6251_PIII),"",SUM(M85,M113,M117,M121)))</f>
        <v/>
      </c>
      <c r="N122" s="1063"/>
      <c r="O122" s="907"/>
      <c r="P122" s="676"/>
      <c r="Q122" s="60"/>
      <c r="R122" s="314"/>
      <c r="S122" s="314"/>
      <c r="T122" s="314"/>
      <c r="U122" s="349"/>
      <c r="V122" s="2682"/>
      <c r="W122" s="2677"/>
      <c r="X122" s="2683"/>
      <c r="Y122" s="2684" t="s">
        <v>1579</v>
      </c>
      <c r="Z122" s="2671"/>
      <c r="AA122" s="2685">
        <f>IF(Z122="",0,1)</f>
        <v>0</v>
      </c>
      <c r="AB122" s="314"/>
      <c r="AC122" s="978"/>
      <c r="AD122" s="1595"/>
      <c r="AE122" s="314"/>
    </row>
    <row r="123" spans="1:31" ht="15" customHeight="1" thickBot="1">
      <c r="A123" s="117"/>
      <c r="B123" s="311">
        <f>B122+1</f>
        <v>63</v>
      </c>
      <c r="C123" s="535" t="str">
        <f>"If line "&amp;B70&amp;" is "&amp;TEXT(R61,"$0,000")&amp;" or less ("&amp;TEXT(R62,"$0,000")&amp;" or less if married filing separately), multiply line "&amp;B70&amp;" by "&amp;TEXT(R67,"0%")&amp;" ("&amp;TEXT(R67,".00")&amp;")."</f>
        <v>If line 36 is $182,500 or less ($91,250 or less if married filing separately), multiply line 36 by 26% (.26).</v>
      </c>
      <c r="D123" s="535"/>
      <c r="E123" s="307"/>
      <c r="F123" s="307"/>
      <c r="G123" s="308"/>
      <c r="H123" s="308"/>
      <c r="I123" s="308"/>
      <c r="J123" s="308"/>
      <c r="K123" s="2949">
        <f>IF(File_Marr_Sep&lt;&gt;"",R65,R64)</f>
        <v>3650</v>
      </c>
      <c r="L123" s="2950"/>
      <c r="M123" s="2934">
        <f>IF(File_Marr_Sep&lt;&gt;"",R62,R61)</f>
        <v>182500</v>
      </c>
      <c r="N123" s="1062"/>
      <c r="O123" s="3291"/>
      <c r="P123" s="898"/>
      <c r="Q123" s="60"/>
      <c r="R123" s="314"/>
      <c r="S123" s="314"/>
      <c r="T123" s="314"/>
      <c r="U123" s="349"/>
      <c r="V123" s="2695"/>
      <c r="W123" s="2696"/>
      <c r="X123" s="2697"/>
      <c r="Y123" s="2697"/>
      <c r="Z123" s="2697"/>
      <c r="AA123" s="2698">
        <f>SUM(AA113:AA122)</f>
        <v>0</v>
      </c>
      <c r="AB123" s="349"/>
      <c r="AC123" s="349"/>
      <c r="AD123" s="349"/>
      <c r="AE123" s="314"/>
    </row>
    <row r="124" spans="1:31">
      <c r="A124" s="117"/>
      <c r="B124" s="246"/>
      <c r="C124" s="1658" t="str">
        <f>"Otherwise, multiply line "&amp;B70&amp;" by "&amp;TEXT(R69,"0%")&amp;" ("&amp;TEXT(R69,".00")&amp;") and subtract "&amp;TEXT(R64,"$0,000")&amp;" ("&amp;TEXT(R65,"$0,000")&amp;" if married filing separately) from the result."</f>
        <v>Otherwise, multiply line 36 by 28% (.28) and subtract $3,650 ($1,825 if married filing separately) from the result.</v>
      </c>
      <c r="D124" s="535"/>
      <c r="E124" s="307"/>
      <c r="F124" s="307"/>
      <c r="G124" s="308"/>
      <c r="H124" s="308"/>
      <c r="I124" s="308"/>
      <c r="J124" s="308"/>
      <c r="K124" s="880"/>
      <c r="L124" s="333">
        <f>B123</f>
        <v>63</v>
      </c>
      <c r="M124" s="3018" t="str">
        <f>IF(P124&lt;&gt;"",P124,IF(NOT(F6251_PIII),"",IF(M71&lt;=M123,ROUND(M71*R67,0),ROUND((M71*R69)-K123,0))))</f>
        <v/>
      </c>
      <c r="N124" s="1062"/>
      <c r="O124" s="3291"/>
      <c r="P124" s="676"/>
      <c r="Q124" s="60"/>
      <c r="R124" s="455"/>
      <c r="S124" s="314"/>
      <c r="T124" s="314"/>
      <c r="U124" s="349"/>
      <c r="V124" s="349"/>
      <c r="W124" s="349"/>
      <c r="X124" s="349"/>
      <c r="Y124" s="349"/>
      <c r="Z124" s="349"/>
      <c r="AA124" s="349"/>
      <c r="AB124" s="349"/>
      <c r="AC124" s="349"/>
      <c r="AD124" s="349"/>
      <c r="AE124" s="314"/>
    </row>
    <row r="125" spans="1:31">
      <c r="A125" s="117"/>
      <c r="B125" s="311">
        <f>B123+1</f>
        <v>64</v>
      </c>
      <c r="C125" s="535" t="s">
        <v>2303</v>
      </c>
      <c r="D125" s="535"/>
      <c r="E125" s="307"/>
      <c r="F125" s="307"/>
      <c r="G125" s="308"/>
      <c r="H125" s="308"/>
      <c r="I125" s="308"/>
      <c r="J125" s="308"/>
      <c r="K125" s="311"/>
      <c r="L125" s="1321"/>
      <c r="M125" s="817"/>
      <c r="N125" s="1062"/>
      <c r="O125" s="3291"/>
      <c r="P125" s="898"/>
      <c r="Q125" s="651"/>
      <c r="R125" s="455"/>
      <c r="S125" s="314"/>
      <c r="T125" s="314"/>
      <c r="U125" s="349"/>
      <c r="V125" s="349"/>
      <c r="W125" s="349"/>
      <c r="X125" s="349"/>
      <c r="Y125" s="349"/>
      <c r="Z125" s="349"/>
      <c r="AA125" s="349"/>
      <c r="AB125" s="349"/>
      <c r="AC125" s="349"/>
      <c r="AD125" s="349"/>
      <c r="AE125" s="314"/>
    </row>
    <row r="126" spans="1:31" ht="13.5" thickBot="1">
      <c r="A126" s="117"/>
      <c r="B126" s="246"/>
      <c r="C126" s="535" t="s">
        <v>1773</v>
      </c>
      <c r="D126" s="253"/>
      <c r="E126" s="307"/>
      <c r="F126" s="307"/>
      <c r="G126" s="308"/>
      <c r="H126" s="308"/>
      <c r="I126" s="308"/>
      <c r="J126" s="308"/>
      <c r="K126" s="2659" t="s">
        <v>1064</v>
      </c>
      <c r="L126" s="333">
        <f>B125</f>
        <v>64</v>
      </c>
      <c r="M126" s="3018" t="str">
        <f>IF(P126&lt;&gt;"",P126,IF(NOT(F6251_PIII),"",MIN(M122,M124)))</f>
        <v/>
      </c>
      <c r="N126" s="1063"/>
      <c r="O126" s="2240"/>
      <c r="P126" s="676"/>
      <c r="Q126" s="651"/>
      <c r="R126" s="11"/>
      <c r="S126" s="314"/>
      <c r="T126" s="314"/>
      <c r="U126" s="349"/>
      <c r="V126" s="349"/>
      <c r="W126" s="349"/>
      <c r="X126" s="349"/>
      <c r="Y126" s="349"/>
      <c r="Z126" s="349"/>
      <c r="AA126" s="349"/>
      <c r="AB126" s="349"/>
      <c r="AC126" s="349"/>
      <c r="AD126" s="349"/>
      <c r="AE126" s="314"/>
    </row>
    <row r="127" spans="1:31" ht="12.75" customHeight="1">
      <c r="A127" s="117"/>
      <c r="B127" s="229"/>
      <c r="C127" s="352"/>
      <c r="D127" s="352"/>
      <c r="E127" s="352"/>
      <c r="F127" s="352"/>
      <c r="G127" s="900"/>
      <c r="H127" s="901"/>
      <c r="I127" s="900"/>
      <c r="J127" s="900"/>
      <c r="K127" s="900"/>
      <c r="L127" s="902" t="s">
        <v>212</v>
      </c>
      <c r="M127" s="1659" t="str">
        <f>"  ("&amp;TaxYear&amp;")"</f>
        <v xml:space="preserve">  (2014)</v>
      </c>
      <c r="N127" s="1069"/>
      <c r="O127" s="2240"/>
      <c r="P127" s="898"/>
      <c r="Q127" s="651"/>
      <c r="R127" s="11"/>
      <c r="S127" s="314"/>
      <c r="T127" s="314"/>
      <c r="U127" s="349"/>
      <c r="V127" s="349"/>
      <c r="W127" s="349"/>
      <c r="X127" s="349"/>
      <c r="Y127" s="349"/>
      <c r="Z127" s="349"/>
      <c r="AA127" s="349"/>
      <c r="AB127" s="349"/>
      <c r="AC127" s="349"/>
      <c r="AD127" s="349"/>
      <c r="AE127" s="314"/>
    </row>
    <row r="128" spans="1:31" ht="17.25" customHeight="1">
      <c r="A128" s="117"/>
      <c r="B128" s="1072"/>
      <c r="C128" s="909"/>
      <c r="D128" s="909"/>
      <c r="E128" s="117"/>
      <c r="F128" s="117"/>
      <c r="G128" s="117"/>
      <c r="H128" s="117"/>
      <c r="I128" s="117"/>
      <c r="J128" s="1073"/>
      <c r="K128" s="1073"/>
      <c r="L128" s="1073"/>
      <c r="M128" s="1073"/>
      <c r="N128" s="1070"/>
      <c r="O128" s="2240"/>
      <c r="P128" s="898"/>
      <c r="Q128" s="83"/>
      <c r="R128" s="11"/>
      <c r="S128" s="349"/>
      <c r="T128" s="314"/>
      <c r="U128" s="349"/>
      <c r="V128" s="349"/>
      <c r="W128" s="349"/>
      <c r="X128" s="349"/>
      <c r="Y128" s="349"/>
      <c r="Z128" s="349"/>
      <c r="AA128" s="349"/>
      <c r="AB128" s="349"/>
      <c r="AC128" s="349"/>
      <c r="AD128" s="349"/>
      <c r="AE128" s="314"/>
    </row>
    <row r="129" spans="2:31" ht="12.75" customHeight="1">
      <c r="B129" s="906"/>
      <c r="C129" s="454"/>
      <c r="D129" s="454"/>
      <c r="E129" s="456"/>
      <c r="F129" s="456"/>
      <c r="G129" s="456"/>
      <c r="H129" s="456"/>
      <c r="I129" s="456"/>
      <c r="J129" s="467"/>
      <c r="K129" s="467"/>
      <c r="L129" s="467"/>
      <c r="M129" s="467"/>
      <c r="N129" s="907"/>
      <c r="P129" s="908"/>
      <c r="Q129" s="908"/>
      <c r="S129" s="349"/>
      <c r="T129" s="314"/>
      <c r="U129" s="349"/>
      <c r="V129" s="349"/>
      <c r="W129" s="349"/>
      <c r="X129" s="349"/>
      <c r="Y129" s="349"/>
      <c r="Z129" s="349"/>
      <c r="AA129" s="349"/>
      <c r="AB129" s="349"/>
      <c r="AC129" s="349"/>
      <c r="AD129" s="349"/>
      <c r="AE129" s="314"/>
    </row>
    <row r="130" spans="2:31" ht="21.75" customHeight="1" thickBot="1">
      <c r="B130" s="906"/>
      <c r="C130" s="454"/>
      <c r="D130" s="454"/>
      <c r="E130" s="456"/>
      <c r="F130" s="456"/>
      <c r="G130" s="456"/>
      <c r="H130" s="456"/>
      <c r="I130" s="456"/>
      <c r="J130" s="467"/>
      <c r="K130" s="467"/>
      <c r="L130" s="467"/>
      <c r="M130" s="467"/>
      <c r="N130" s="907"/>
      <c r="S130" s="349"/>
      <c r="T130" s="314"/>
      <c r="U130" s="349"/>
      <c r="V130" s="349"/>
      <c r="W130" s="349"/>
      <c r="X130" s="349"/>
      <c r="Y130" s="349"/>
      <c r="Z130" s="349"/>
      <c r="AA130" s="349"/>
      <c r="AB130" s="349"/>
      <c r="AC130" s="349"/>
      <c r="AD130" s="349"/>
      <c r="AE130" s="314"/>
    </row>
    <row r="131" spans="2:31" ht="22.5" customHeight="1" thickTop="1" thickBot="1">
      <c r="B131" s="217"/>
      <c r="C131" s="4882" t="s">
        <v>401</v>
      </c>
      <c r="D131" s="4883"/>
      <c r="E131" s="4883"/>
      <c r="F131" s="4883"/>
      <c r="G131" s="4884"/>
      <c r="H131" s="353"/>
      <c r="I131" s="353"/>
      <c r="L131" s="353"/>
      <c r="M131" s="353"/>
      <c r="N131" s="353"/>
      <c r="P131" s="11"/>
      <c r="Q131" s="455"/>
      <c r="S131" s="349"/>
      <c r="T131" s="314"/>
      <c r="U131" s="349"/>
      <c r="V131" s="349"/>
      <c r="W131" s="349"/>
      <c r="X131" s="349"/>
      <c r="Y131" s="349"/>
      <c r="Z131" s="349"/>
      <c r="AA131" s="349"/>
      <c r="AB131" s="349"/>
      <c r="AC131" s="349"/>
      <c r="AD131" s="349"/>
      <c r="AE131" s="314"/>
    </row>
    <row r="132" spans="2:31" ht="12.75" customHeight="1" thickTop="1" thickBot="1">
      <c r="B132" s="217"/>
      <c r="C132" s="346"/>
      <c r="D132" s="346"/>
      <c r="E132" s="68"/>
      <c r="F132" s="68"/>
      <c r="G132" s="353"/>
      <c r="H132" s="353"/>
      <c r="I132" s="353"/>
      <c r="L132" s="353"/>
      <c r="M132" s="353"/>
      <c r="N132" s="353"/>
      <c r="P132" s="11"/>
      <c r="Q132" s="455"/>
      <c r="S132" s="314"/>
      <c r="T132" s="314"/>
      <c r="U132" s="349"/>
      <c r="V132" s="349"/>
      <c r="W132" s="349"/>
      <c r="X132" s="349"/>
      <c r="Y132" s="349"/>
      <c r="Z132" s="349"/>
      <c r="AA132" s="349"/>
      <c r="AB132" s="349"/>
      <c r="AC132" s="349"/>
      <c r="AD132" s="349"/>
      <c r="AE132" s="349"/>
    </row>
    <row r="133" spans="2:31" ht="12.75" customHeight="1" thickTop="1" thickBot="1">
      <c r="B133" s="217"/>
      <c r="C133" s="4882" t="s">
        <v>402</v>
      </c>
      <c r="D133" s="4883"/>
      <c r="E133" s="4883"/>
      <c r="F133" s="4883"/>
      <c r="G133" s="4884"/>
      <c r="H133" s="353"/>
      <c r="I133" s="353"/>
      <c r="L133" s="353"/>
      <c r="M133" s="353"/>
      <c r="N133" s="353"/>
      <c r="P133" s="11"/>
      <c r="Q133" s="11"/>
      <c r="S133" s="314"/>
      <c r="T133" s="349"/>
      <c r="U133" s="349"/>
      <c r="V133" s="349"/>
      <c r="W133" s="349"/>
      <c r="X133" s="349"/>
      <c r="Y133" s="349"/>
      <c r="Z133" s="349"/>
      <c r="AA133" s="349"/>
      <c r="AB133" s="349"/>
      <c r="AC133" s="349"/>
      <c r="AD133" s="349"/>
      <c r="AE133" s="349"/>
    </row>
    <row r="134" spans="2:31" ht="17.25" customHeight="1" thickTop="1">
      <c r="Q134" s="11"/>
      <c r="S134" s="455"/>
      <c r="T134" s="349"/>
      <c r="U134" s="349"/>
      <c r="V134" s="349"/>
      <c r="W134" s="349"/>
      <c r="X134" s="349"/>
      <c r="Y134" s="349"/>
      <c r="Z134" s="349"/>
      <c r="AA134" s="349"/>
      <c r="AB134" s="349"/>
      <c r="AC134" s="349"/>
      <c r="AD134" s="349"/>
      <c r="AE134" s="349"/>
    </row>
    <row r="135" spans="2:31" ht="14.25" customHeight="1">
      <c r="Q135" s="11"/>
      <c r="S135" s="455"/>
      <c r="T135" s="349"/>
      <c r="U135" s="349"/>
      <c r="V135" s="349"/>
      <c r="W135" s="349"/>
      <c r="X135" s="349"/>
      <c r="Y135" s="349"/>
      <c r="Z135" s="349"/>
      <c r="AA135" s="349"/>
      <c r="AB135" s="349"/>
      <c r="AC135" s="349"/>
      <c r="AD135" s="349"/>
      <c r="AE135" s="349"/>
    </row>
    <row r="136" spans="2:31">
      <c r="S136" s="11"/>
      <c r="T136" s="349"/>
      <c r="U136" s="349"/>
      <c r="V136" s="349"/>
      <c r="W136" s="349"/>
      <c r="X136" s="349"/>
      <c r="Y136" s="349"/>
      <c r="Z136" s="349"/>
      <c r="AA136" s="349"/>
      <c r="AB136" s="349"/>
      <c r="AC136" s="349"/>
      <c r="AD136" s="349"/>
      <c r="AE136" s="823"/>
    </row>
    <row r="137" spans="2:31">
      <c r="S137" s="11"/>
      <c r="T137" s="349"/>
      <c r="U137" s="1592"/>
      <c r="V137" s="349"/>
      <c r="W137" s="349"/>
      <c r="X137" s="349"/>
      <c r="Y137" s="349"/>
      <c r="Z137" s="349"/>
      <c r="AA137" s="349"/>
      <c r="AB137" s="349"/>
      <c r="AC137" s="349"/>
      <c r="AD137" s="349"/>
      <c r="AE137" s="314"/>
    </row>
    <row r="138" spans="2:31">
      <c r="S138" s="11"/>
      <c r="T138" s="314"/>
      <c r="U138" s="349"/>
      <c r="V138" s="349"/>
      <c r="W138" s="349"/>
      <c r="X138" s="349"/>
      <c r="Y138" s="349"/>
      <c r="Z138" s="349"/>
      <c r="AA138" s="349"/>
      <c r="AB138" s="349"/>
      <c r="AC138" s="349"/>
      <c r="AD138" s="349"/>
      <c r="AE138" s="455"/>
    </row>
    <row r="139" spans="2:31">
      <c r="T139" s="314"/>
      <c r="U139" s="1594"/>
      <c r="V139" s="349"/>
      <c r="W139" s="349"/>
      <c r="X139" s="349"/>
      <c r="Y139" s="349"/>
      <c r="Z139" s="349"/>
      <c r="AA139" s="349"/>
      <c r="AB139" s="349"/>
      <c r="AC139" s="349"/>
      <c r="AD139" s="349"/>
      <c r="AE139" s="455"/>
    </row>
    <row r="140" spans="2:31">
      <c r="T140" s="455"/>
      <c r="U140" s="1594"/>
      <c r="V140" s="349"/>
      <c r="W140" s="349"/>
      <c r="X140" s="349"/>
      <c r="Y140" s="349"/>
      <c r="Z140" s="349"/>
      <c r="AA140" s="349"/>
      <c r="AB140" s="349"/>
      <c r="AC140" s="349"/>
      <c r="AD140" s="349"/>
      <c r="AE140" s="68"/>
    </row>
    <row r="141" spans="2:31">
      <c r="T141" s="455"/>
      <c r="U141" s="519"/>
      <c r="V141" s="349"/>
      <c r="W141" s="349"/>
      <c r="X141" s="349"/>
      <c r="Y141" s="349"/>
      <c r="Z141" s="349"/>
      <c r="AA141" s="349"/>
      <c r="AB141" s="349"/>
      <c r="AC141" s="349"/>
      <c r="AD141" s="349"/>
      <c r="AE141" s="68"/>
    </row>
    <row r="142" spans="2:31">
      <c r="T142" s="11"/>
      <c r="U142" s="519"/>
      <c r="V142" s="349"/>
      <c r="W142" s="349"/>
      <c r="X142" s="349"/>
      <c r="Y142" s="349"/>
      <c r="Z142" s="349"/>
      <c r="AA142" s="349"/>
      <c r="AB142" s="349"/>
      <c r="AC142" s="349"/>
      <c r="AD142" s="349"/>
      <c r="AE142" s="68"/>
    </row>
    <row r="143" spans="2:31">
      <c r="T143" s="11"/>
      <c r="U143" s="519"/>
      <c r="V143" s="349"/>
      <c r="W143" s="349"/>
      <c r="X143" s="349"/>
      <c r="Y143" s="349"/>
      <c r="Z143" s="349"/>
      <c r="AA143" s="349"/>
      <c r="AB143" s="349"/>
      <c r="AC143" s="349"/>
      <c r="AD143" s="349"/>
    </row>
    <row r="144" spans="2:31">
      <c r="T144" s="11"/>
      <c r="V144" s="349"/>
      <c r="W144" s="349"/>
      <c r="X144" s="349"/>
      <c r="Y144" s="349"/>
      <c r="Z144" s="349"/>
      <c r="AA144" s="349"/>
      <c r="AB144" s="349"/>
      <c r="AC144" s="349"/>
      <c r="AD144" s="349"/>
    </row>
    <row r="145" spans="22:30">
      <c r="V145" s="349"/>
      <c r="W145" s="349"/>
      <c r="X145" s="349"/>
      <c r="Y145" s="349"/>
      <c r="Z145" s="349"/>
      <c r="AA145" s="349"/>
      <c r="AB145" s="349"/>
      <c r="AC145" s="349"/>
      <c r="AD145" s="349"/>
    </row>
    <row r="146" spans="22:30">
      <c r="V146" s="349"/>
      <c r="W146" s="349"/>
      <c r="X146" s="349"/>
      <c r="Y146" s="349"/>
      <c r="Z146" s="349"/>
      <c r="AA146" s="349"/>
      <c r="AB146" s="349"/>
      <c r="AC146" s="349"/>
      <c r="AD146" s="349"/>
    </row>
    <row r="147" spans="22:30">
      <c r="V147" s="349"/>
      <c r="W147" s="349"/>
      <c r="X147" s="349"/>
      <c r="Y147" s="349"/>
      <c r="Z147" s="349"/>
      <c r="AA147" s="349"/>
      <c r="AB147" s="349"/>
      <c r="AC147" s="349"/>
      <c r="AD147" s="349"/>
    </row>
    <row r="148" spans="22:30">
      <c r="V148" s="349"/>
      <c r="W148" s="349"/>
      <c r="X148" s="349"/>
      <c r="Y148" s="349"/>
      <c r="Z148" s="349"/>
      <c r="AA148" s="349"/>
      <c r="AB148" s="349"/>
      <c r="AC148" s="349"/>
      <c r="AD148" s="349"/>
    </row>
    <row r="149" spans="22:30">
      <c r="V149" s="349"/>
      <c r="W149" s="349"/>
      <c r="X149" s="349"/>
      <c r="Y149" s="349"/>
      <c r="Z149" s="349"/>
      <c r="AA149" s="349"/>
      <c r="AB149" s="349"/>
      <c r="AC149" s="349"/>
      <c r="AD149" s="349"/>
    </row>
    <row r="150" spans="22:30">
      <c r="V150" s="349"/>
      <c r="W150" s="349"/>
      <c r="X150" s="349"/>
      <c r="Y150" s="349"/>
      <c r="Z150" s="349"/>
      <c r="AA150" s="349"/>
      <c r="AB150" s="349"/>
      <c r="AC150" s="349"/>
      <c r="AD150" s="349"/>
    </row>
    <row r="151" spans="22:30">
      <c r="V151" s="349"/>
      <c r="W151" s="349"/>
      <c r="X151" s="349"/>
      <c r="Y151" s="349"/>
      <c r="Z151" s="349"/>
      <c r="AA151" s="349"/>
      <c r="AB151" s="349"/>
      <c r="AC151" s="349"/>
      <c r="AD151" s="349"/>
    </row>
    <row r="152" spans="22:30">
      <c r="V152" s="349"/>
      <c r="W152" s="349"/>
      <c r="X152" s="349"/>
      <c r="Y152" s="349"/>
      <c r="Z152" s="349"/>
      <c r="AA152" s="349"/>
      <c r="AB152" s="349"/>
      <c r="AC152" s="349"/>
      <c r="AD152" s="349"/>
    </row>
    <row r="153" spans="22:30">
      <c r="V153" s="349"/>
      <c r="W153" s="349"/>
      <c r="X153" s="349"/>
      <c r="Y153" s="349"/>
      <c r="Z153" s="349"/>
      <c r="AA153" s="349"/>
      <c r="AB153" s="349"/>
      <c r="AC153" s="349"/>
      <c r="AD153" s="349"/>
    </row>
    <row r="154" spans="22:30">
      <c r="V154" s="349"/>
      <c r="W154" s="349"/>
      <c r="X154" s="349"/>
      <c r="Y154" s="349"/>
      <c r="Z154" s="349"/>
      <c r="AA154" s="349"/>
      <c r="AB154" s="349"/>
      <c r="AC154" s="349"/>
      <c r="AD154" s="349"/>
    </row>
    <row r="155" spans="22:30">
      <c r="V155" s="349"/>
      <c r="W155" s="349"/>
      <c r="X155" s="349"/>
      <c r="Y155" s="349"/>
      <c r="Z155" s="349"/>
      <c r="AA155" s="349"/>
      <c r="AB155" s="349"/>
      <c r="AC155" s="349"/>
      <c r="AD155" s="349"/>
    </row>
    <row r="156" spans="22:30">
      <c r="V156" s="349"/>
      <c r="W156" s="349"/>
      <c r="X156" s="349"/>
      <c r="Y156" s="349"/>
      <c r="Z156" s="349"/>
      <c r="AA156" s="349"/>
      <c r="AB156" s="349"/>
      <c r="AC156" s="349"/>
      <c r="AD156" s="349"/>
    </row>
    <row r="157" spans="22:30">
      <c r="V157" s="349"/>
      <c r="W157" s="349"/>
      <c r="X157" s="349"/>
      <c r="Y157" s="349"/>
      <c r="Z157" s="349"/>
      <c r="AA157" s="349"/>
      <c r="AB157" s="349"/>
      <c r="AC157" s="349"/>
      <c r="AD157" s="349"/>
    </row>
    <row r="158" spans="22:30">
      <c r="V158" s="349"/>
      <c r="W158" s="349"/>
      <c r="X158" s="349"/>
      <c r="Y158" s="349"/>
      <c r="Z158" s="349"/>
      <c r="AA158" s="349"/>
      <c r="AB158" s="349"/>
      <c r="AC158" s="349"/>
      <c r="AD158" s="349"/>
    </row>
    <row r="159" spans="22:30">
      <c r="V159" s="349"/>
      <c r="W159" s="349"/>
      <c r="X159" s="349"/>
      <c r="Y159" s="349"/>
      <c r="Z159" s="349"/>
      <c r="AA159" s="349"/>
      <c r="AB159" s="349"/>
      <c r="AC159" s="349"/>
      <c r="AD159" s="349"/>
    </row>
    <row r="160" spans="22:30">
      <c r="V160" s="349"/>
      <c r="W160" s="349"/>
      <c r="X160" s="349"/>
      <c r="Y160" s="349"/>
      <c r="Z160" s="349"/>
      <c r="AA160" s="349"/>
      <c r="AB160" s="349"/>
      <c r="AC160" s="349"/>
      <c r="AD160" s="349"/>
    </row>
    <row r="161" spans="22:30">
      <c r="V161" s="349"/>
      <c r="W161" s="349"/>
      <c r="X161" s="349"/>
      <c r="Y161" s="349"/>
      <c r="Z161" s="349"/>
      <c r="AA161" s="349"/>
      <c r="AB161" s="823"/>
      <c r="AC161" s="823"/>
      <c r="AD161" s="823"/>
    </row>
    <row r="162" spans="22:30">
      <c r="V162" s="350"/>
      <c r="W162" s="350"/>
      <c r="X162" s="350"/>
      <c r="Y162" s="350"/>
      <c r="Z162" s="350"/>
      <c r="AA162" s="350"/>
      <c r="AB162" s="823"/>
      <c r="AC162" s="823"/>
      <c r="AD162" s="823"/>
    </row>
    <row r="163" spans="22:30">
      <c r="V163" s="350"/>
      <c r="W163" s="350"/>
      <c r="X163" s="350"/>
      <c r="Y163" s="350"/>
      <c r="Z163" s="350"/>
      <c r="AA163" s="350"/>
      <c r="AB163" s="314"/>
      <c r="AC163" s="314"/>
      <c r="AD163" s="314"/>
    </row>
    <row r="164" spans="22:30">
      <c r="V164" s="314"/>
      <c r="W164" s="314"/>
      <c r="X164" s="314"/>
      <c r="Y164" s="314"/>
      <c r="Z164" s="314"/>
      <c r="AA164" s="314"/>
      <c r="AB164" s="455"/>
      <c r="AC164" s="455"/>
      <c r="AD164" s="455"/>
    </row>
    <row r="165" spans="22:30">
      <c r="V165" s="455"/>
      <c r="W165" s="455"/>
      <c r="X165" s="455"/>
      <c r="Y165" s="455"/>
      <c r="Z165" s="455"/>
      <c r="AA165" s="455"/>
    </row>
  </sheetData>
  <sheetProtection password="F07E" sheet="1" objects="1" scenarios="1"/>
  <mergeCells count="26">
    <mergeCell ref="L4:M4"/>
    <mergeCell ref="L5:M6"/>
    <mergeCell ref="C11:M11"/>
    <mergeCell ref="V81:AD81"/>
    <mergeCell ref="L7:M7"/>
    <mergeCell ref="E8:K8"/>
    <mergeCell ref="E7:K7"/>
    <mergeCell ref="V76:X78"/>
    <mergeCell ref="E5:K5"/>
    <mergeCell ref="E6:K6"/>
    <mergeCell ref="K10:M10"/>
    <mergeCell ref="C43:M43"/>
    <mergeCell ref="K9:M9"/>
    <mergeCell ref="B7:D7"/>
    <mergeCell ref="B8:D8"/>
    <mergeCell ref="B5:B6"/>
    <mergeCell ref="C5:D6"/>
    <mergeCell ref="B10:J10"/>
    <mergeCell ref="C131:G131"/>
    <mergeCell ref="C133:G133"/>
    <mergeCell ref="L8:M8"/>
    <mergeCell ref="W100:AA100"/>
    <mergeCell ref="V83:AD83"/>
    <mergeCell ref="V79:AD79"/>
    <mergeCell ref="V82:AD82"/>
    <mergeCell ref="V80:AD80"/>
  </mergeCells>
  <phoneticPr fontId="12" type="noConversion"/>
  <conditionalFormatting sqref="F42">
    <cfRule type="expression" dxfId="535" priority="122" stopIfTrue="1">
      <formula>IF(File_Marr_Sep&lt;&gt;"",M41&gt;191000)</formula>
    </cfRule>
  </conditionalFormatting>
  <conditionalFormatting sqref="AC106:AC107">
    <cfRule type="expression" dxfId="534" priority="124" stopIfTrue="1">
      <formula>ChildUnder14&lt;&gt;""</formula>
    </cfRule>
  </conditionalFormatting>
  <conditionalFormatting sqref="AC100:AC101">
    <cfRule type="expression" dxfId="533" priority="125" stopIfTrue="1">
      <formula>ChildUnder14=""</formula>
    </cfRule>
  </conditionalFormatting>
  <conditionalFormatting sqref="P59:P60">
    <cfRule type="expression" dxfId="532" priority="128" stopIfTrue="1">
      <formula>$R$57="Stop"</formula>
    </cfRule>
  </conditionalFormatting>
  <conditionalFormatting sqref="Z96:Z98">
    <cfRule type="expression" dxfId="531" priority="129" stopIfTrue="1">
      <formula>IF($O$45&lt;&gt;"",1,0)</formula>
    </cfRule>
  </conditionalFormatting>
  <conditionalFormatting sqref="I19">
    <cfRule type="expression" dxfId="530" priority="131" stopIfTrue="1">
      <formula>IF($M$19&gt;0,1,0)</formula>
    </cfRule>
  </conditionalFormatting>
  <conditionalFormatting sqref="I38">
    <cfRule type="expression" dxfId="529" priority="132" stopIfTrue="1">
      <formula>IF($M$38&gt;0,1,0)</formula>
    </cfRule>
    <cfRule type="expression" dxfId="528" priority="133" stopIfTrue="1">
      <formula>IF(AND($M$38&lt;&gt;"",$M$38&lt;=0),1,0)</formula>
    </cfRule>
  </conditionalFormatting>
  <conditionalFormatting sqref="I20">
    <cfRule type="expression" dxfId="527" priority="120" stopIfTrue="1">
      <formula>IF(OR(AND(M19&lt;&gt;"",M19&gt;0),AND(M20&lt;&gt;"",M20&gt;0),AND(M24&lt;&gt;"",M24&gt;0)),1,0)</formula>
    </cfRule>
  </conditionalFormatting>
  <conditionalFormatting sqref="I23">
    <cfRule type="expression" dxfId="526" priority="135" stopIfTrue="1">
      <formula>IF($M$23&lt;0,1,0)</formula>
    </cfRule>
  </conditionalFormatting>
  <conditionalFormatting sqref="V79:V80 V81:AD81">
    <cfRule type="expression" dxfId="525" priority="170" stopIfTrue="1">
      <formula>OR(AND(OR(File_Single&lt;&gt;"",File_Head&lt;&gt;""),$M$43&gt;=#REF!),AND(OR(File_Marr_Joint&lt;&gt;"",File_Qual_Widow&lt;&gt;""),$M$43&gt;=#REF!),AND(File_Marr_Sep&lt;&gt;"",$M$43&gt;=#REF!))</formula>
    </cfRule>
  </conditionalFormatting>
  <conditionalFormatting sqref="V82:V83">
    <cfRule type="expression" dxfId="524" priority="172" stopIfTrue="1">
      <formula>OR(AND(OR(File_Single&lt;&gt;"",File_Head&lt;&gt;""),$M$43&gt;=#REF!),AND(OR(File_Marr_Joint&lt;&gt;"",File_Qual_Widow&lt;&gt;""),$M$43&gt;=#REF!),AND(File_Marr_Sep&lt;&gt;"",$M$43&gt;=#REF!))</formula>
    </cfRule>
  </conditionalFormatting>
  <conditionalFormatting sqref="K38">
    <cfRule type="expression" dxfId="523" priority="118" stopIfTrue="1">
      <formula>IF($M$38&gt;0,1,0)</formula>
    </cfRule>
    <cfRule type="expression" dxfId="522" priority="119" stopIfTrue="1">
      <formula>IF(AND($M$38&lt;&gt;"",$M$38&lt;=0),1,0)</formula>
    </cfRule>
  </conditionalFormatting>
  <conditionalFormatting sqref="G23">
    <cfRule type="expression" dxfId="521" priority="117" stopIfTrue="1">
      <formula>IF($M$23&lt;0,1,0)</formula>
    </cfRule>
  </conditionalFormatting>
  <conditionalFormatting sqref="K50">
    <cfRule type="expression" dxfId="520" priority="676" stopIfTrue="1">
      <formula>AltMinTaxInc-#REF!&lt;0</formula>
    </cfRule>
  </conditionalFormatting>
  <conditionalFormatting sqref="V110:AA123">
    <cfRule type="expression" dxfId="519" priority="107">
      <formula>IF(ChildUnder24="",1,0)</formula>
    </cfRule>
  </conditionalFormatting>
  <conditionalFormatting sqref="X111 O45">
    <cfRule type="expression" dxfId="518" priority="106">
      <formula>IF(AND($O$45&lt;&gt;"",$AA$123=0),1,0)</formula>
    </cfRule>
  </conditionalFormatting>
  <conditionalFormatting sqref="B10:M10">
    <cfRule type="expression" dxfId="517" priority="102">
      <formula>IF(NoColor,1,0)</formula>
    </cfRule>
  </conditionalFormatting>
  <conditionalFormatting sqref="M13">
    <cfRule type="expression" dxfId="516" priority="101">
      <formula>IF(NoColor,1,0)</formula>
    </cfRule>
  </conditionalFormatting>
  <conditionalFormatting sqref="M15">
    <cfRule type="expression" dxfId="515" priority="100">
      <formula>IF(NoColor,1,0)</formula>
    </cfRule>
  </conditionalFormatting>
  <conditionalFormatting sqref="M16">
    <cfRule type="expression" dxfId="514" priority="99">
      <formula>IF(NoColor,1,0)</formula>
    </cfRule>
  </conditionalFormatting>
  <conditionalFormatting sqref="M17:M40">
    <cfRule type="expression" dxfId="513" priority="98">
      <formula>IF(NoColor,1,0)</formula>
    </cfRule>
  </conditionalFormatting>
  <conditionalFormatting sqref="M42">
    <cfRule type="expression" dxfId="512" priority="97">
      <formula>IF(NoColor,1,0)</formula>
    </cfRule>
  </conditionalFormatting>
  <conditionalFormatting sqref="M44:M49">
    <cfRule type="expression" dxfId="511" priority="96">
      <formula>IF(NoColor,1,0)</formula>
    </cfRule>
  </conditionalFormatting>
  <conditionalFormatting sqref="M51">
    <cfRule type="expression" dxfId="510" priority="95">
      <formula>IF(NoColor,1,0)</formula>
    </cfRule>
  </conditionalFormatting>
  <conditionalFormatting sqref="M55">
    <cfRule type="expression" dxfId="509" priority="94">
      <formula>IF(NoColor,1,0)</formula>
    </cfRule>
  </conditionalFormatting>
  <conditionalFormatting sqref="M58:M59">
    <cfRule type="expression" dxfId="508" priority="93">
      <formula>IF(NoColor,1,0)</formula>
    </cfRule>
  </conditionalFormatting>
  <conditionalFormatting sqref="M62:M63">
    <cfRule type="expression" dxfId="507" priority="92">
      <formula>IF(NoColor,1,0)</formula>
    </cfRule>
  </conditionalFormatting>
  <conditionalFormatting sqref="M71">
    <cfRule type="expression" dxfId="506" priority="91">
      <formula>IF(NoColor,1,0)</formula>
    </cfRule>
  </conditionalFormatting>
  <conditionalFormatting sqref="M82">
    <cfRule type="expression" dxfId="505" priority="87">
      <formula>IF(NoColor,1,0)</formula>
    </cfRule>
  </conditionalFormatting>
  <conditionalFormatting sqref="M83">
    <cfRule type="expression" dxfId="504" priority="86">
      <formula>IF(NoColor,1,0)</formula>
    </cfRule>
  </conditionalFormatting>
  <conditionalFormatting sqref="M85">
    <cfRule type="expression" dxfId="503" priority="85">
      <formula>IF(NoColor,1,0)</formula>
    </cfRule>
  </conditionalFormatting>
  <conditionalFormatting sqref="M109">
    <cfRule type="expression" dxfId="502" priority="78">
      <formula>IF(NoColor,1,0)</formula>
    </cfRule>
  </conditionalFormatting>
  <conditionalFormatting sqref="K114">
    <cfRule type="expression" dxfId="501" priority="77">
      <formula>IF(NoColor,1,0)</formula>
    </cfRule>
  </conditionalFormatting>
  <conditionalFormatting sqref="M117">
    <cfRule type="expression" dxfId="500" priority="76">
      <formula>IF(NoColor,1,0)</formula>
    </cfRule>
  </conditionalFormatting>
  <conditionalFormatting sqref="M119">
    <cfRule type="expression" dxfId="499" priority="75">
      <formula>IF(NoColor,1,0)</formula>
    </cfRule>
  </conditionalFormatting>
  <conditionalFormatting sqref="M124">
    <cfRule type="expression" dxfId="498" priority="74">
      <formula>IF(NoColor,1,0)</formula>
    </cfRule>
  </conditionalFormatting>
  <conditionalFormatting sqref="M126">
    <cfRule type="expression" dxfId="497" priority="73">
      <formula>IF(NoColor,1,0)</formula>
    </cfRule>
  </conditionalFormatting>
  <conditionalFormatting sqref="R14">
    <cfRule type="expression" dxfId="496" priority="71">
      <formula>IF(AND(P15&lt;&gt;"",you_over_64="",sp_over_64=""),1,0)</formula>
    </cfRule>
  </conditionalFormatting>
  <conditionalFormatting sqref="R15">
    <cfRule type="expression" dxfId="495" priority="70">
      <formula>IF(AND(P15&lt;&gt;"",you_over_64="",sp_over_64=""),1,0)</formula>
    </cfRule>
  </conditionalFormatting>
  <conditionalFormatting sqref="S18">
    <cfRule type="expression" dxfId="494" priority="69">
      <formula>IF(AND(P15&lt;&gt;"",you_over_64="",sp_over_64=""),1,0)</formula>
    </cfRule>
  </conditionalFormatting>
  <conditionalFormatting sqref="P23:P35">
    <cfRule type="expression" dxfId="493" priority="68">
      <formula>IF(File_Marr_Sep&lt;&gt;"",1,0)</formula>
    </cfRule>
  </conditionalFormatting>
  <conditionalFormatting sqref="P40:P41">
    <cfRule type="expression" dxfId="492" priority="67">
      <formula>IF(File_Marr_Sep&lt;&gt;"",1,0)</formula>
    </cfRule>
  </conditionalFormatting>
  <conditionalFormatting sqref="R40:R41">
    <cfRule type="expression" dxfId="491" priority="66">
      <formula>IF(File_Marr_Sep&lt;&gt;"",1,0)</formula>
    </cfRule>
  </conditionalFormatting>
  <conditionalFormatting sqref="P22">
    <cfRule type="expression" dxfId="490" priority="65">
      <formula>IF(File_Marr_Sep&lt;&gt;"",1,0)</formula>
    </cfRule>
  </conditionalFormatting>
  <conditionalFormatting sqref="K110">
    <cfRule type="expression" dxfId="489" priority="62">
      <formula>IF(NoColor,1,0)</formula>
    </cfRule>
  </conditionalFormatting>
  <conditionalFormatting sqref="K111">
    <cfRule type="expression" dxfId="488" priority="61">
      <formula>IF(NoColor,1,0)</formula>
    </cfRule>
  </conditionalFormatting>
  <conditionalFormatting sqref="M113">
    <cfRule type="expression" dxfId="487" priority="60">
      <formula>IF(NoColor,1,0)</formula>
    </cfRule>
  </conditionalFormatting>
  <conditionalFormatting sqref="K116">
    <cfRule type="expression" dxfId="486" priority="59">
      <formula>IF(NoColor,1,0)</formula>
    </cfRule>
  </conditionalFormatting>
  <conditionalFormatting sqref="P22:P35">
    <cfRule type="expression" dxfId="485" priority="54">
      <formula>IF(File_Mar_Sep&lt;&gt;"",1,0)</formula>
    </cfRule>
  </conditionalFormatting>
  <conditionalFormatting sqref="M50">
    <cfRule type="expression" dxfId="484" priority="53">
      <formula>IF(NoColor,1,0)</formula>
    </cfRule>
  </conditionalFormatting>
  <conditionalFormatting sqref="M94">
    <cfRule type="expression" dxfId="483" priority="52">
      <formula>IF(NoColor,1,0)</formula>
    </cfRule>
  </conditionalFormatting>
  <conditionalFormatting sqref="M95">
    <cfRule type="expression" dxfId="482" priority="51">
      <formula>IF(NoColor,1,0)</formula>
    </cfRule>
  </conditionalFormatting>
  <conditionalFormatting sqref="M96">
    <cfRule type="expression" dxfId="481" priority="50">
      <formula>IF(NoColor,1,0)</formula>
    </cfRule>
  </conditionalFormatting>
  <conditionalFormatting sqref="M97">
    <cfRule type="expression" dxfId="480" priority="49">
      <formula>IF(NoColor,1,0)</formula>
    </cfRule>
  </conditionalFormatting>
  <conditionalFormatting sqref="M98">
    <cfRule type="expression" dxfId="479" priority="48">
      <formula>IF(NoColor,1,0)</formula>
    </cfRule>
  </conditionalFormatting>
  <conditionalFormatting sqref="M104">
    <cfRule type="expression" dxfId="478" priority="46">
      <formula>IF(NoColor,1,0)</formula>
    </cfRule>
  </conditionalFormatting>
  <conditionalFormatting sqref="M75">
    <cfRule type="expression" dxfId="477" priority="45">
      <formula>IF(NoColor,1,0)</formula>
    </cfRule>
  </conditionalFormatting>
  <conditionalFormatting sqref="M77">
    <cfRule type="expression" dxfId="476" priority="44">
      <formula>IF(NoColor,1,0)</formula>
    </cfRule>
  </conditionalFormatting>
  <conditionalFormatting sqref="M81">
    <cfRule type="expression" dxfId="475" priority="43">
      <formula>IF(NoColor,1,0)</formula>
    </cfRule>
  </conditionalFormatting>
  <conditionalFormatting sqref="M88">
    <cfRule type="expression" dxfId="474" priority="42">
      <formula>IF(NoColor,1,0)</formula>
    </cfRule>
  </conditionalFormatting>
  <conditionalFormatting sqref="M120">
    <cfRule type="expression" dxfId="473" priority="41">
      <formula>IF(NoColor,1,0)</formula>
    </cfRule>
  </conditionalFormatting>
  <conditionalFormatting sqref="M121">
    <cfRule type="expression" dxfId="472" priority="40">
      <formula>IF(NoColor,1,0)</formula>
    </cfRule>
  </conditionalFormatting>
  <conditionalFormatting sqref="M122">
    <cfRule type="expression" dxfId="471" priority="39">
      <formula>IF(NoColor,1,0)</formula>
    </cfRule>
  </conditionalFormatting>
  <conditionalFormatting sqref="M112">
    <cfRule type="expression" dxfId="470" priority="37">
      <formula>IF(NoColor,1,0)</formula>
    </cfRule>
  </conditionalFormatting>
  <conditionalFormatting sqref="K15">
    <cfRule type="expression" dxfId="469" priority="844">
      <formula>IF(AND(P15&lt;&gt;"",S18="",you_over_64="",sp_over_64=""),1,0)</formula>
    </cfRule>
  </conditionalFormatting>
  <conditionalFormatting sqref="P45">
    <cfRule type="expression" dxfId="468" priority="845">
      <formula>IF(Q45,1,0)</formula>
    </cfRule>
    <cfRule type="expression" dxfId="467" priority="846">
      <formula>IF(NOT(Q45),1,0)</formula>
    </cfRule>
  </conditionalFormatting>
  <conditionalFormatting sqref="W38">
    <cfRule type="expression" dxfId="466" priority="36">
      <formula>IF(U38="X",1,0)</formula>
    </cfRule>
  </conditionalFormatting>
  <conditionalFormatting sqref="AA22">
    <cfRule type="expression" dxfId="465" priority="35">
      <formula>IF(NoColor,1,0)</formula>
    </cfRule>
  </conditionalFormatting>
  <conditionalFormatting sqref="AC13">
    <cfRule type="expression" dxfId="464" priority="34">
      <formula>IF(NoColor,1,0)</formula>
    </cfRule>
  </conditionalFormatting>
  <conditionalFormatting sqref="AC16">
    <cfRule type="expression" dxfId="463" priority="30">
      <formula>IF(NoColor,1,0)</formula>
    </cfRule>
  </conditionalFormatting>
  <conditionalFormatting sqref="AC18">
    <cfRule type="expression" dxfId="462" priority="29">
      <formula>IF(NoColor,1,0)</formula>
    </cfRule>
  </conditionalFormatting>
  <conditionalFormatting sqref="AC20">
    <cfRule type="expression" dxfId="461" priority="28">
      <formula>IF(NoColor,1,0)</formula>
    </cfRule>
  </conditionalFormatting>
  <conditionalFormatting sqref="AC22">
    <cfRule type="expression" dxfId="460" priority="27">
      <formula>IF(NoColor,1,0)</formula>
    </cfRule>
  </conditionalFormatting>
  <conditionalFormatting sqref="AC25">
    <cfRule type="expression" dxfId="459" priority="26">
      <formula>IF(NoColor,1,0)</formula>
    </cfRule>
  </conditionalFormatting>
  <conditionalFormatting sqref="AC27">
    <cfRule type="expression" dxfId="458" priority="25">
      <formula>IF(NoColor,1,0)</formula>
    </cfRule>
  </conditionalFormatting>
  <conditionalFormatting sqref="AC29">
    <cfRule type="expression" dxfId="457" priority="24">
      <formula>IF(NoColor,1,0)</formula>
    </cfRule>
  </conditionalFormatting>
  <conditionalFormatting sqref="AC32">
    <cfRule type="expression" dxfId="456" priority="23">
      <formula>IF(NoColor,1,0)</formula>
    </cfRule>
  </conditionalFormatting>
  <conditionalFormatting sqref="AC40">
    <cfRule type="expression" dxfId="455" priority="22">
      <formula>IF(NoColor,1,0)</formula>
    </cfRule>
  </conditionalFormatting>
  <conditionalFormatting sqref="AC44">
    <cfRule type="expression" dxfId="454" priority="21">
      <formula>IF(NoColor,1,0)</formula>
    </cfRule>
  </conditionalFormatting>
  <conditionalFormatting sqref="AC51">
    <cfRule type="expression" dxfId="453" priority="20">
      <formula>IF(NoColor,1,0)</formula>
    </cfRule>
  </conditionalFormatting>
  <conditionalFormatting sqref="AC53">
    <cfRule type="expression" dxfId="452" priority="19">
      <formula>IF(NoColor,1,0)</formula>
    </cfRule>
  </conditionalFormatting>
  <conditionalFormatting sqref="AC55">
    <cfRule type="expression" dxfId="451" priority="18">
      <formula>IF(NoColor,1,0)</formula>
    </cfRule>
  </conditionalFormatting>
  <conditionalFormatting sqref="AC61">
    <cfRule type="expression" dxfId="450" priority="17">
      <formula>IF(NoColor,1,0)</formula>
    </cfRule>
  </conditionalFormatting>
  <conditionalFormatting sqref="AC65">
    <cfRule type="expression" dxfId="449" priority="16">
      <formula>IF(NoColor,1,0)</formula>
    </cfRule>
  </conditionalFormatting>
  <conditionalFormatting sqref="AA65">
    <cfRule type="expression" dxfId="448" priority="15">
      <formula>IF(NoColor,1,0)</formula>
    </cfRule>
  </conditionalFormatting>
  <conditionalFormatting sqref="U11">
    <cfRule type="expression" dxfId="447" priority="13">
      <formula>IF(NoColor,1,0)</formula>
    </cfRule>
  </conditionalFormatting>
  <conditionalFormatting sqref="U13">
    <cfRule type="expression" dxfId="446" priority="10">
      <formula>IF(NoColor,1,0)</formula>
    </cfRule>
  </conditionalFormatting>
  <conditionalFormatting sqref="U38">
    <cfRule type="expression" dxfId="445" priority="9">
      <formula>IF(NoColor,1,0)</formula>
    </cfRule>
  </conditionalFormatting>
  <conditionalFormatting sqref="U40">
    <cfRule type="expression" dxfId="444" priority="8">
      <formula>IF(NoColor,1,0)</formula>
    </cfRule>
  </conditionalFormatting>
  <conditionalFormatting sqref="U49">
    <cfRule type="expression" dxfId="443" priority="7">
      <formula>IF(NoColor,1,0)</formula>
    </cfRule>
  </conditionalFormatting>
  <conditionalFormatting sqref="U51">
    <cfRule type="expression" dxfId="442" priority="6">
      <formula>IF(NoColor,1,0)</formula>
    </cfRule>
  </conditionalFormatting>
  <conditionalFormatting sqref="U59">
    <cfRule type="expression" dxfId="441" priority="5">
      <formula>IF(NoColor,1,0)</formula>
    </cfRule>
  </conditionalFormatting>
  <conditionalFormatting sqref="U61">
    <cfRule type="expression" dxfId="440" priority="4">
      <formula>IF(NoColor,1,0)</formula>
    </cfRule>
  </conditionalFormatting>
  <conditionalFormatting sqref="U69">
    <cfRule type="expression" dxfId="439" priority="3">
      <formula>IF(NoColor,1,0)</formula>
    </cfRule>
  </conditionalFormatting>
  <conditionalFormatting sqref="U71">
    <cfRule type="expression" dxfId="438" priority="2">
      <formula>IF(NoColor,1,0)</formula>
    </cfRule>
  </conditionalFormatting>
  <conditionalFormatting sqref="M102">
    <cfRule type="expression" dxfId="437" priority="1">
      <formula>IF(NoColor,1,0)</formula>
    </cfRule>
  </conditionalFormatting>
  <hyperlinks>
    <hyperlink ref="C131:G131" r:id="rId1" display="Download Form 6251"/>
    <hyperlink ref="C133:G133" r:id="rId2" display="Download Form 6251 Instructions"/>
  </hyperlinks>
  <printOptions horizontalCentered="1"/>
  <pageMargins left="0.44" right="0.25" top="0.22" bottom="0.25" header="0.27" footer="0.25"/>
  <pageSetup scale="87" fitToHeight="0" orientation="portrait" horizontalDpi="120" verticalDpi="144" r:id="rId3"/>
  <headerFooter alignWithMargins="0"/>
  <rowBreaks count="2" manualBreakCount="2">
    <brk id="65" min="1" max="12" man="1"/>
    <brk id="127" min="1" max="12" man="1"/>
  </rowBreaks>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C123"/>
  <sheetViews>
    <sheetView zoomScaleNormal="100" zoomScaleSheetLayoutView="100" workbookViewId="0">
      <selection activeCell="C25" sqref="C25"/>
    </sheetView>
  </sheetViews>
  <sheetFormatPr defaultColWidth="3.7109375" defaultRowHeight="12.75"/>
  <cols>
    <col min="1" max="1" width="3.7109375" style="1818" customWidth="1"/>
    <col min="2" max="2" width="4.140625" style="68" customWidth="1"/>
    <col min="3" max="3" width="2.28515625" style="68" customWidth="1"/>
    <col min="4" max="9" width="3.7109375" style="68" customWidth="1"/>
    <col min="10" max="12" width="4" style="68" customWidth="1"/>
    <col min="13" max="19" width="3.7109375" style="68" customWidth="1"/>
    <col min="20" max="23" width="3.85546875" style="68" customWidth="1"/>
    <col min="24" max="24" width="3.7109375" style="68" customWidth="1"/>
    <col min="25" max="26" width="5.42578125" style="68" customWidth="1"/>
    <col min="27" max="28" width="6.42578125" style="68" customWidth="1"/>
    <col min="29" max="32" width="3.7109375" style="68" customWidth="1"/>
    <col min="33" max="33" width="6" style="1819" customWidth="1"/>
    <col min="34" max="34" width="4.85546875" style="2641" customWidth="1"/>
    <col min="35" max="35" width="8.5703125" style="2641" bestFit="1" customWidth="1"/>
    <col min="36" max="36" width="29.28515625" style="68" customWidth="1"/>
    <col min="37" max="40" width="13.7109375" style="68" customWidth="1"/>
    <col min="41" max="41" width="10" style="68" customWidth="1"/>
    <col min="42" max="42" width="15.5703125" style="68" customWidth="1"/>
    <col min="43" max="43" width="15.42578125" style="68" customWidth="1"/>
    <col min="44" max="44" width="3.7109375" style="68"/>
    <col min="45" max="46" width="5" style="68" hidden="1" customWidth="1"/>
    <col min="47" max="47" width="0" style="68" hidden="1" customWidth="1"/>
    <col min="48" max="48" width="1.7109375" style="68" hidden="1" customWidth="1"/>
    <col min="49" max="49" width="5" style="68" hidden="1" customWidth="1"/>
    <col min="50" max="52" width="0" style="68" hidden="1" customWidth="1"/>
    <col min="53" max="55" width="7" style="68" hidden="1" customWidth="1"/>
    <col min="56" max="16384" width="3.7109375" style="68"/>
  </cols>
  <sheetData>
    <row r="1" spans="1:35" s="456" customFormat="1">
      <c r="A1" s="1867"/>
      <c r="B1" s="1867"/>
      <c r="C1" s="1867"/>
      <c r="D1" s="1867"/>
      <c r="E1" s="1867"/>
      <c r="F1" s="1867"/>
      <c r="G1" s="1867"/>
      <c r="H1" s="1867"/>
      <c r="I1" s="1867"/>
      <c r="J1" s="1867"/>
      <c r="K1" s="1867"/>
      <c r="L1" s="1867"/>
      <c r="M1" s="1867"/>
      <c r="N1" s="1867"/>
      <c r="O1" s="1867"/>
      <c r="P1" s="1867"/>
      <c r="Q1" s="1867"/>
      <c r="R1" s="1867"/>
      <c r="S1" s="1867"/>
      <c r="T1" s="1867"/>
      <c r="U1" s="1867"/>
      <c r="V1" s="1867"/>
      <c r="W1" s="1867"/>
      <c r="X1" s="1867"/>
      <c r="Y1" s="1867"/>
      <c r="Z1" s="1867"/>
      <c r="AA1" s="1867"/>
      <c r="AB1" s="1867"/>
      <c r="AC1" s="1867"/>
      <c r="AD1" s="1867"/>
      <c r="AE1" s="1867"/>
      <c r="AF1" s="1867"/>
      <c r="AG1" s="1867"/>
      <c r="AH1" s="1557"/>
      <c r="AI1" s="1557"/>
    </row>
    <row r="2" spans="1:35">
      <c r="A2" s="117"/>
      <c r="B2" s="4961" t="s">
        <v>1480</v>
      </c>
      <c r="C2" s="4962"/>
      <c r="D2" s="4962"/>
      <c r="E2" s="4962"/>
      <c r="F2" s="4962"/>
      <c r="G2" s="4962"/>
      <c r="H2" s="4962"/>
      <c r="I2" s="4962"/>
      <c r="J2" s="4962"/>
      <c r="K2" s="4962"/>
      <c r="L2" s="2274"/>
      <c r="M2" s="117"/>
      <c r="N2" s="117"/>
      <c r="O2" s="117"/>
      <c r="P2" s="117"/>
      <c r="Q2" s="117"/>
      <c r="R2" s="117"/>
      <c r="S2" s="117"/>
      <c r="T2" s="117"/>
      <c r="U2" s="117"/>
      <c r="V2" s="117"/>
      <c r="W2" s="117"/>
      <c r="X2" s="117"/>
      <c r="Y2" s="117"/>
      <c r="Z2" s="117"/>
      <c r="AA2" s="1657"/>
      <c r="AB2" s="117"/>
      <c r="AC2" s="117"/>
      <c r="AD2" s="117"/>
      <c r="AE2" s="117"/>
      <c r="AF2" s="117"/>
      <c r="AG2" s="1867"/>
    </row>
    <row r="3" spans="1:35" s="456" customFormat="1">
      <c r="A3" s="1867"/>
      <c r="B3" s="1867"/>
      <c r="C3" s="1867"/>
      <c r="D3" s="1867"/>
      <c r="E3" s="1867"/>
      <c r="F3" s="1867"/>
      <c r="G3" s="1867"/>
      <c r="H3" s="1867"/>
      <c r="I3" s="1867"/>
      <c r="J3" s="1867"/>
      <c r="K3" s="1867"/>
      <c r="L3" s="1867"/>
      <c r="M3" s="1867"/>
      <c r="N3" s="1867"/>
      <c r="O3" s="1867"/>
      <c r="P3" s="1867"/>
      <c r="Q3" s="1867"/>
      <c r="R3" s="1867"/>
      <c r="S3" s="1867"/>
      <c r="T3" s="1867"/>
      <c r="U3" s="1867"/>
      <c r="V3" s="1867"/>
      <c r="W3" s="1867"/>
      <c r="X3" s="1867"/>
      <c r="Y3" s="1867"/>
      <c r="Z3" s="1867"/>
      <c r="AA3" s="1867"/>
      <c r="AB3" s="1867"/>
      <c r="AC3" s="1867"/>
      <c r="AD3" s="1867"/>
      <c r="AE3" s="1867"/>
      <c r="AF3" s="1867"/>
      <c r="AG3" s="1867"/>
      <c r="AH3" s="1557"/>
      <c r="AI3" s="1557"/>
    </row>
    <row r="4" spans="1:35" ht="11.25" customHeight="1">
      <c r="A4" s="1867"/>
      <c r="B4" s="4966" t="s">
        <v>1168</v>
      </c>
      <c r="C4" s="4967"/>
      <c r="D4" s="4967"/>
      <c r="E4" s="4967"/>
      <c r="F4" s="4967"/>
      <c r="G4" s="46"/>
      <c r="H4" s="4976" t="s">
        <v>1169</v>
      </c>
      <c r="I4" s="4977"/>
      <c r="J4" s="4977"/>
      <c r="K4" s="4977"/>
      <c r="L4" s="4977"/>
      <c r="M4" s="4977"/>
      <c r="N4" s="4977"/>
      <c r="O4" s="4977"/>
      <c r="P4" s="4977"/>
      <c r="Q4" s="4977"/>
      <c r="R4" s="4977"/>
      <c r="S4" s="4977"/>
      <c r="T4" s="4977"/>
      <c r="U4" s="4977"/>
      <c r="V4" s="4977"/>
      <c r="W4" s="4977"/>
      <c r="X4" s="4977"/>
      <c r="Y4" s="4977"/>
      <c r="Z4" s="4977"/>
      <c r="AA4" s="4978"/>
      <c r="AB4" s="4968" t="s">
        <v>257</v>
      </c>
      <c r="AC4" s="4887"/>
      <c r="AD4" s="4887"/>
      <c r="AE4" s="4887"/>
      <c r="AF4" s="4887"/>
      <c r="AG4" s="1867"/>
      <c r="AH4" s="1805"/>
    </row>
    <row r="5" spans="1:35" ht="11.25" customHeight="1">
      <c r="A5" s="1867"/>
      <c r="B5" s="4967"/>
      <c r="C5" s="4967"/>
      <c r="D5" s="4967"/>
      <c r="E5" s="4967"/>
      <c r="F5" s="4967"/>
      <c r="G5" s="46"/>
      <c r="H5" s="4979"/>
      <c r="I5" s="4977"/>
      <c r="J5" s="4977"/>
      <c r="K5" s="4977"/>
      <c r="L5" s="4977"/>
      <c r="M5" s="4977"/>
      <c r="N5" s="4977"/>
      <c r="O5" s="4977"/>
      <c r="P5" s="4977"/>
      <c r="Q5" s="4977"/>
      <c r="R5" s="4977"/>
      <c r="S5" s="4977"/>
      <c r="T5" s="4977"/>
      <c r="U5" s="4977"/>
      <c r="V5" s="4977"/>
      <c r="W5" s="4977"/>
      <c r="X5" s="4977"/>
      <c r="Y5" s="4977"/>
      <c r="Z5" s="4977"/>
      <c r="AA5" s="4978"/>
      <c r="AB5" s="4969">
        <f>TaxYear</f>
        <v>2014</v>
      </c>
      <c r="AC5" s="4970"/>
      <c r="AD5" s="4970"/>
      <c r="AE5" s="4970"/>
      <c r="AF5" s="4970"/>
      <c r="AG5" s="1867"/>
      <c r="AH5" s="1805"/>
    </row>
    <row r="6" spans="1:35" ht="11.25" customHeight="1">
      <c r="A6" s="1867"/>
      <c r="B6" s="4967"/>
      <c r="C6" s="4967"/>
      <c r="D6" s="4967"/>
      <c r="E6" s="4967"/>
      <c r="F6" s="4967"/>
      <c r="G6" s="46"/>
      <c r="H6" s="4980"/>
      <c r="I6" s="3832"/>
      <c r="J6" s="3832"/>
      <c r="K6" s="3832"/>
      <c r="L6" s="3832"/>
      <c r="M6" s="3832"/>
      <c r="N6" s="3832"/>
      <c r="O6" s="3832"/>
      <c r="P6" s="3832"/>
      <c r="Q6" s="3832"/>
      <c r="R6" s="3832"/>
      <c r="S6" s="3832"/>
      <c r="T6" s="3832"/>
      <c r="U6" s="3832"/>
      <c r="V6" s="3832"/>
      <c r="W6" s="3832"/>
      <c r="X6" s="3832"/>
      <c r="Y6" s="3832"/>
      <c r="Z6" s="3832"/>
      <c r="AA6" s="4760"/>
      <c r="AB6" s="4967"/>
      <c r="AC6" s="4970"/>
      <c r="AD6" s="4970"/>
      <c r="AE6" s="4970"/>
      <c r="AF6" s="4970"/>
      <c r="AG6" s="1867"/>
      <c r="AH6" s="1803"/>
    </row>
    <row r="7" spans="1:35" ht="11.25" customHeight="1">
      <c r="A7" s="1867"/>
      <c r="B7" s="46"/>
      <c r="C7" s="46"/>
      <c r="D7" s="46"/>
      <c r="E7" s="46"/>
      <c r="F7" s="46"/>
      <c r="G7" s="46"/>
      <c r="H7" s="4988" t="s">
        <v>2190</v>
      </c>
      <c r="I7" s="4989"/>
      <c r="J7" s="4989"/>
      <c r="K7" s="4989"/>
      <c r="L7" s="4989"/>
      <c r="M7" s="4989"/>
      <c r="N7" s="4989"/>
      <c r="O7" s="4989"/>
      <c r="P7" s="4989"/>
      <c r="Q7" s="4989"/>
      <c r="R7" s="4989"/>
      <c r="S7" s="4989"/>
      <c r="T7" s="4989"/>
      <c r="U7" s="4989"/>
      <c r="V7" s="4989"/>
      <c r="W7" s="4989"/>
      <c r="X7" s="4989"/>
      <c r="Y7" s="4989"/>
      <c r="Z7" s="4989"/>
      <c r="AA7" s="4990"/>
      <c r="AB7" s="4967"/>
      <c r="AC7" s="4970"/>
      <c r="AD7" s="4970"/>
      <c r="AE7" s="4970"/>
      <c r="AF7" s="4970"/>
      <c r="AG7" s="1867"/>
    </row>
    <row r="8" spans="1:35" ht="10.5" customHeight="1">
      <c r="A8" s="1867"/>
      <c r="B8" s="47" t="s">
        <v>303</v>
      </c>
      <c r="C8" s="46"/>
      <c r="D8" s="46"/>
      <c r="E8" s="46"/>
      <c r="F8" s="46"/>
      <c r="G8" s="46"/>
      <c r="H8" s="4963" t="s">
        <v>2189</v>
      </c>
      <c r="I8" s="4964"/>
      <c r="J8" s="4964"/>
      <c r="K8" s="4964"/>
      <c r="L8" s="4964"/>
      <c r="M8" s="4964"/>
      <c r="N8" s="4964"/>
      <c r="O8" s="4964"/>
      <c r="P8" s="4964"/>
      <c r="Q8" s="4964"/>
      <c r="R8" s="4964"/>
      <c r="S8" s="4964"/>
      <c r="T8" s="4964"/>
      <c r="U8" s="4964"/>
      <c r="V8" s="4964"/>
      <c r="W8" s="4964"/>
      <c r="X8" s="4964"/>
      <c r="Y8" s="4964"/>
      <c r="Z8" s="4964"/>
      <c r="AA8" s="4965"/>
      <c r="AB8" s="4985" t="s">
        <v>1522</v>
      </c>
      <c r="AC8" s="4986"/>
      <c r="AD8" s="4986"/>
      <c r="AE8" s="4986"/>
      <c r="AF8" s="4986"/>
      <c r="AG8" s="1867"/>
    </row>
    <row r="9" spans="1:35" ht="10.5" customHeight="1" thickBot="1">
      <c r="A9" s="1867"/>
      <c r="B9" s="45" t="s">
        <v>378</v>
      </c>
      <c r="C9" s="55"/>
      <c r="D9" s="55"/>
      <c r="E9" s="55"/>
      <c r="F9" s="55"/>
      <c r="G9" s="55"/>
      <c r="H9" s="2645"/>
      <c r="I9" s="2644"/>
      <c r="J9" s="2644"/>
      <c r="K9" s="2644"/>
      <c r="L9" s="2644"/>
      <c r="M9" s="2644"/>
      <c r="N9" s="2644"/>
      <c r="O9" s="2644"/>
      <c r="P9" s="2644"/>
      <c r="Q9" s="2644"/>
      <c r="R9" s="2644"/>
      <c r="S9" s="2644"/>
      <c r="T9" s="2644"/>
      <c r="U9" s="2644"/>
      <c r="V9" s="2644"/>
      <c r="W9" s="2644"/>
      <c r="X9" s="2644"/>
      <c r="Y9" s="2644"/>
      <c r="Z9" s="2644"/>
      <c r="AA9" s="2646"/>
      <c r="AB9" s="4987"/>
      <c r="AC9" s="4987"/>
      <c r="AD9" s="4987"/>
      <c r="AE9" s="4987"/>
      <c r="AF9" s="4987"/>
      <c r="AG9" s="1867"/>
    </row>
    <row r="10" spans="1:35">
      <c r="A10" s="1867"/>
      <c r="B10" s="60" t="s">
        <v>100</v>
      </c>
      <c r="C10" s="37"/>
      <c r="D10" s="37"/>
      <c r="E10" s="37"/>
      <c r="F10" s="37"/>
      <c r="G10" s="37"/>
      <c r="H10" s="37"/>
      <c r="I10" s="37"/>
      <c r="J10" s="37"/>
      <c r="K10" s="37"/>
      <c r="L10" s="37"/>
      <c r="M10" s="37"/>
      <c r="N10" s="37"/>
      <c r="O10" s="37"/>
      <c r="P10" s="37"/>
      <c r="Q10" s="37"/>
      <c r="R10" s="37"/>
      <c r="S10" s="37"/>
      <c r="T10" s="37"/>
      <c r="U10" s="37"/>
      <c r="V10" s="2649" t="s">
        <v>1549</v>
      </c>
      <c r="W10" s="37"/>
      <c r="X10" s="37"/>
      <c r="Y10" s="37"/>
      <c r="Z10" s="52"/>
      <c r="AA10" s="37"/>
      <c r="AB10" s="37"/>
      <c r="AC10" s="37"/>
      <c r="AD10" s="37"/>
      <c r="AE10" s="37"/>
      <c r="AF10" s="37"/>
      <c r="AG10" s="1867"/>
    </row>
    <row r="11" spans="1:35" ht="16.5" thickBot="1">
      <c r="A11" s="1867"/>
      <c r="B11" s="4973" t="str">
        <f>Names</f>
        <v/>
      </c>
      <c r="C11" s="4974"/>
      <c r="D11" s="4974"/>
      <c r="E11" s="4974"/>
      <c r="F11" s="4974"/>
      <c r="G11" s="4974"/>
      <c r="H11" s="4974"/>
      <c r="I11" s="4974"/>
      <c r="J11" s="4974"/>
      <c r="K11" s="4974"/>
      <c r="L11" s="4974"/>
      <c r="M11" s="4974"/>
      <c r="N11" s="4974"/>
      <c r="O11" s="4974"/>
      <c r="P11" s="4974"/>
      <c r="Q11" s="4974"/>
      <c r="R11" s="4974"/>
      <c r="S11" s="4974"/>
      <c r="T11" s="4974"/>
      <c r="U11" s="4975"/>
      <c r="V11" s="4971">
        <f>SS_Yours</f>
        <v>0</v>
      </c>
      <c r="W11" s="4972"/>
      <c r="X11" s="4972"/>
      <c r="Y11" s="4972"/>
      <c r="Z11" s="4972"/>
      <c r="AA11" s="4972"/>
      <c r="AB11" s="4972"/>
      <c r="AC11" s="4972"/>
      <c r="AD11" s="4972"/>
      <c r="AE11" s="4972"/>
      <c r="AF11" s="4972"/>
      <c r="AG11" s="1867"/>
    </row>
    <row r="12" spans="1:35" ht="12.75" customHeight="1">
      <c r="A12" s="1867"/>
      <c r="B12" s="4939" t="s">
        <v>2185</v>
      </c>
      <c r="C12" s="4940"/>
      <c r="D12" s="4940"/>
      <c r="E12" s="4940"/>
      <c r="F12" s="4940"/>
      <c r="G12" s="4940"/>
      <c r="H12" s="4940"/>
      <c r="I12" s="4940"/>
      <c r="J12" s="4940"/>
      <c r="K12" s="4940"/>
      <c r="L12" s="4940"/>
      <c r="M12" s="4940"/>
      <c r="N12" s="4940"/>
      <c r="O12" s="4940"/>
      <c r="P12" s="4940"/>
      <c r="Q12" s="4940"/>
      <c r="R12" s="4940"/>
      <c r="S12" s="4940"/>
      <c r="T12" s="4940"/>
      <c r="U12" s="4940"/>
      <c r="V12" s="4940"/>
      <c r="W12" s="4940"/>
      <c r="X12" s="4940"/>
      <c r="Y12" s="4940"/>
      <c r="Z12" s="4940"/>
      <c r="AA12" s="4940"/>
      <c r="AB12" s="4940"/>
      <c r="AC12" s="4940"/>
      <c r="AD12" s="4940"/>
      <c r="AE12" s="4940"/>
      <c r="AF12" s="4940"/>
      <c r="AG12" s="1867"/>
    </row>
    <row r="13" spans="1:35" ht="12.75" customHeight="1">
      <c r="A13" s="1867"/>
      <c r="B13" s="4941"/>
      <c r="C13" s="4941"/>
      <c r="D13" s="4941"/>
      <c r="E13" s="4941"/>
      <c r="F13" s="4941"/>
      <c r="G13" s="4941"/>
      <c r="H13" s="4941"/>
      <c r="I13" s="4941"/>
      <c r="J13" s="4941"/>
      <c r="K13" s="4941"/>
      <c r="L13" s="4941"/>
      <c r="M13" s="4941"/>
      <c r="N13" s="4941"/>
      <c r="O13" s="4941"/>
      <c r="P13" s="4941"/>
      <c r="Q13" s="4941"/>
      <c r="R13" s="4941"/>
      <c r="S13" s="4941"/>
      <c r="T13" s="4941"/>
      <c r="U13" s="4941"/>
      <c r="V13" s="4941"/>
      <c r="W13" s="4941"/>
      <c r="X13" s="4941"/>
      <c r="Y13" s="4941"/>
      <c r="Z13" s="4941"/>
      <c r="AA13" s="4941"/>
      <c r="AB13" s="4941"/>
      <c r="AC13" s="4941"/>
      <c r="AD13" s="4941"/>
      <c r="AE13" s="4941"/>
      <c r="AF13" s="4941"/>
      <c r="AG13" s="1867"/>
    </row>
    <row r="14" spans="1:35" ht="12.75" customHeight="1">
      <c r="A14" s="1867"/>
      <c r="B14" s="4942"/>
      <c r="C14" s="4942"/>
      <c r="D14" s="4942"/>
      <c r="E14" s="4942"/>
      <c r="F14" s="4942"/>
      <c r="G14" s="4942"/>
      <c r="H14" s="4942"/>
      <c r="I14" s="4942"/>
      <c r="J14" s="4942"/>
      <c r="K14" s="4942"/>
      <c r="L14" s="4942"/>
      <c r="M14" s="4942"/>
      <c r="N14" s="4942"/>
      <c r="O14" s="4942"/>
      <c r="P14" s="4942"/>
      <c r="Q14" s="4942"/>
      <c r="R14" s="4942"/>
      <c r="S14" s="4942"/>
      <c r="T14" s="4942"/>
      <c r="U14" s="4942"/>
      <c r="V14" s="4942"/>
      <c r="W14" s="4942"/>
      <c r="X14" s="4942"/>
      <c r="Y14" s="4942"/>
      <c r="Z14" s="4942"/>
      <c r="AA14" s="4942"/>
      <c r="AB14" s="4942"/>
      <c r="AC14" s="4942"/>
      <c r="AD14" s="4942"/>
      <c r="AE14" s="4942"/>
      <c r="AF14" s="4942"/>
      <c r="AG14" s="1867"/>
    </row>
    <row r="15" spans="1:35" ht="3.75" customHeight="1">
      <c r="A15" s="186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1867"/>
    </row>
    <row r="16" spans="1:35" ht="15">
      <c r="A16" s="1867"/>
      <c r="B16" s="4981" t="s">
        <v>93</v>
      </c>
      <c r="C16" s="3830"/>
      <c r="D16" s="37"/>
      <c r="E16" s="1802" t="s">
        <v>1524</v>
      </c>
      <c r="F16" s="37"/>
      <c r="G16" s="37"/>
      <c r="H16" s="37"/>
      <c r="I16" s="37"/>
      <c r="J16" s="37"/>
      <c r="K16" s="37"/>
      <c r="L16" s="37"/>
      <c r="M16" s="37"/>
      <c r="N16" s="37"/>
      <c r="O16" s="37"/>
      <c r="P16" s="37"/>
      <c r="Q16" s="37"/>
      <c r="R16" s="37"/>
      <c r="S16" s="37"/>
      <c r="T16" s="614" t="s">
        <v>2186</v>
      </c>
      <c r="U16" s="37"/>
      <c r="V16" s="37"/>
      <c r="W16" s="37"/>
      <c r="X16" s="1609" t="s">
        <v>1525</v>
      </c>
      <c r="Y16" s="37"/>
      <c r="Z16" s="37"/>
      <c r="AA16" s="37"/>
      <c r="AB16" s="37"/>
      <c r="AC16" s="37"/>
      <c r="AD16" s="37"/>
      <c r="AE16" s="37"/>
      <c r="AF16" s="37"/>
      <c r="AG16" s="1867" t="b">
        <f>IF(SUM(AG35:AG54)&gt;0,TRUE,FALSE)</f>
        <v>0</v>
      </c>
    </row>
    <row r="17" spans="1:55" s="3026" customFormat="1" ht="11.25" customHeight="1">
      <c r="A17" s="1867"/>
      <c r="B17" s="3023"/>
      <c r="C17" s="3023"/>
      <c r="D17" s="3023"/>
      <c r="E17" s="3022" t="s">
        <v>1523</v>
      </c>
      <c r="F17" s="3023"/>
      <c r="G17" s="3023"/>
      <c r="H17" s="3023"/>
      <c r="I17" s="3023"/>
      <c r="J17" s="3023"/>
      <c r="K17" s="3023"/>
      <c r="L17" s="3023"/>
      <c r="M17" s="3023"/>
      <c r="N17" s="3023"/>
      <c r="O17" s="3023"/>
      <c r="P17" s="3023"/>
      <c r="Q17" s="3023"/>
      <c r="R17" s="3023"/>
      <c r="S17" s="3023"/>
      <c r="T17" s="3027"/>
      <c r="U17" s="3023"/>
      <c r="V17" s="3023"/>
      <c r="W17" s="3023"/>
      <c r="X17" s="3028"/>
      <c r="Y17" s="3023"/>
      <c r="Z17" s="3023"/>
      <c r="AA17" s="3023"/>
      <c r="AB17" s="3023"/>
      <c r="AC17" s="3023"/>
      <c r="AD17" s="3023"/>
      <c r="AE17" s="3023"/>
      <c r="AF17" s="3023"/>
      <c r="AG17" s="1867"/>
      <c r="AH17" s="3024"/>
      <c r="AI17" s="3024"/>
    </row>
    <row r="18" spans="1:55" ht="11.25" customHeight="1">
      <c r="A18" s="1867"/>
      <c r="B18" s="37"/>
      <c r="C18" s="37"/>
      <c r="D18" s="37"/>
      <c r="E18" s="3029" t="s">
        <v>1835</v>
      </c>
      <c r="F18" s="37"/>
      <c r="G18" s="37"/>
      <c r="H18" s="37"/>
      <c r="I18" s="37"/>
      <c r="J18" s="37"/>
      <c r="K18" s="37"/>
      <c r="L18" s="37"/>
      <c r="M18" s="37"/>
      <c r="N18" s="37"/>
      <c r="O18" s="37"/>
      <c r="P18" s="37"/>
      <c r="Q18" s="37"/>
      <c r="R18" s="37"/>
      <c r="S18" s="37"/>
      <c r="T18" s="614"/>
      <c r="U18" s="37"/>
      <c r="V18" s="37"/>
      <c r="W18" s="37"/>
      <c r="X18" s="1609"/>
      <c r="Y18" s="37"/>
      <c r="Z18" s="37"/>
      <c r="AA18" s="37"/>
      <c r="AB18" s="37"/>
      <c r="AC18" s="37"/>
      <c r="AD18" s="37"/>
      <c r="AE18" s="37"/>
      <c r="AF18" s="37"/>
      <c r="AG18" s="1867"/>
      <c r="AH18" s="3024"/>
      <c r="AI18" s="3024"/>
    </row>
    <row r="19" spans="1:55" ht="11.25" customHeight="1">
      <c r="A19" s="1867"/>
      <c r="B19" s="37"/>
      <c r="C19" s="37"/>
      <c r="D19" s="37"/>
      <c r="E19" s="46" t="s">
        <v>1833</v>
      </c>
      <c r="F19" s="37"/>
      <c r="G19" s="37"/>
      <c r="H19" s="37"/>
      <c r="I19" s="37"/>
      <c r="J19" s="37"/>
      <c r="K19" s="37"/>
      <c r="L19" s="37"/>
      <c r="M19" s="37"/>
      <c r="N19" s="37"/>
      <c r="O19" s="37"/>
      <c r="P19" s="37"/>
      <c r="Q19" s="37"/>
      <c r="R19" s="37"/>
      <c r="S19" s="37"/>
      <c r="T19" s="614"/>
      <c r="U19" s="37"/>
      <c r="V19" s="37"/>
      <c r="W19" s="37"/>
      <c r="X19" s="1609"/>
      <c r="Y19" s="37"/>
      <c r="Z19" s="37"/>
      <c r="AA19" s="37"/>
      <c r="AB19" s="37"/>
      <c r="AC19" s="37"/>
      <c r="AD19" s="37"/>
      <c r="AE19" s="37"/>
      <c r="AF19" s="37"/>
      <c r="AG19" s="1867"/>
      <c r="AH19" s="3024"/>
      <c r="AI19" s="3024"/>
    </row>
    <row r="20" spans="1:55" ht="11.25" customHeight="1">
      <c r="A20" s="1867"/>
      <c r="B20" s="67"/>
      <c r="C20" s="67"/>
      <c r="D20" s="67"/>
      <c r="E20" s="67" t="s">
        <v>1834</v>
      </c>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1867"/>
    </row>
    <row r="21" spans="1:55">
      <c r="A21" s="1867"/>
      <c r="B21" s="375" t="s">
        <v>1533</v>
      </c>
      <c r="C21" s="371"/>
      <c r="D21" s="371"/>
      <c r="E21" s="371"/>
      <c r="F21" s="371"/>
      <c r="G21" s="371"/>
      <c r="H21" s="371"/>
      <c r="I21" s="371"/>
      <c r="J21" s="371"/>
      <c r="K21" s="375" t="s">
        <v>1532</v>
      </c>
      <c r="L21" s="371"/>
      <c r="M21" s="371"/>
      <c r="N21" s="371"/>
      <c r="O21" s="371"/>
      <c r="P21" s="371" t="s">
        <v>1531</v>
      </c>
      <c r="Q21" s="371"/>
      <c r="R21" s="371"/>
      <c r="S21" s="371"/>
      <c r="T21" s="371"/>
      <c r="U21" s="371"/>
      <c r="V21" s="371"/>
      <c r="W21" s="371"/>
      <c r="X21" s="371"/>
      <c r="Y21" s="371"/>
      <c r="Z21" s="371"/>
      <c r="AA21" s="371"/>
      <c r="AB21" s="371"/>
      <c r="AC21" s="371"/>
      <c r="AD21" s="371"/>
      <c r="AE21" s="371"/>
      <c r="AF21" s="371"/>
      <c r="AG21" s="1867"/>
    </row>
    <row r="22" spans="1:55">
      <c r="A22" s="1867"/>
      <c r="B22" s="1609" t="s">
        <v>1529</v>
      </c>
      <c r="C22" s="371"/>
      <c r="D22" s="371"/>
      <c r="E22" s="371"/>
      <c r="F22" s="371"/>
      <c r="G22" s="371"/>
      <c r="H22" s="371"/>
      <c r="I22" s="371"/>
      <c r="J22" s="371"/>
      <c r="K22" s="371"/>
      <c r="L22" s="371"/>
      <c r="M22" s="371"/>
      <c r="N22" s="371"/>
      <c r="O22" s="371"/>
      <c r="P22" s="371"/>
      <c r="Q22" s="371"/>
      <c r="R22" s="371"/>
      <c r="S22" s="371"/>
      <c r="T22" s="371"/>
      <c r="U22" s="371"/>
      <c r="V22" s="371"/>
      <c r="W22" s="371"/>
      <c r="X22" s="371"/>
      <c r="Y22" s="371"/>
      <c r="Z22" s="371"/>
      <c r="AA22" s="371"/>
      <c r="AB22" s="371"/>
      <c r="AC22" s="371"/>
      <c r="AD22" s="371"/>
      <c r="AE22" s="371"/>
      <c r="AF22" s="371"/>
      <c r="AG22" s="1867"/>
      <c r="BA22" s="4927" t="s">
        <v>1671</v>
      </c>
      <c r="BB22" s="4471"/>
      <c r="BC22" s="4928"/>
    </row>
    <row r="23" spans="1:55">
      <c r="A23" s="1867"/>
      <c r="B23" s="1609" t="s">
        <v>1530</v>
      </c>
      <c r="C23" s="371"/>
      <c r="D23" s="371"/>
      <c r="E23" s="371"/>
      <c r="F23" s="371"/>
      <c r="G23" s="371"/>
      <c r="H23" s="371"/>
      <c r="I23" s="371"/>
      <c r="J23" s="371"/>
      <c r="K23" s="371"/>
      <c r="L23" s="371"/>
      <c r="M23" s="371"/>
      <c r="N23" s="371"/>
      <c r="O23" s="371"/>
      <c r="P23" s="371"/>
      <c r="Q23" s="371"/>
      <c r="R23" s="371"/>
      <c r="S23" s="371"/>
      <c r="T23" s="371"/>
      <c r="U23" s="371"/>
      <c r="V23" s="371"/>
      <c r="W23" s="371"/>
      <c r="X23" s="371"/>
      <c r="Y23" s="371"/>
      <c r="Z23" s="371"/>
      <c r="AA23" s="371"/>
      <c r="AB23" s="371"/>
      <c r="AC23" s="371"/>
      <c r="AD23" s="371"/>
      <c r="AE23" s="371"/>
      <c r="AF23" s="371"/>
      <c r="AG23" s="1867"/>
      <c r="BA23" s="4929" t="s">
        <v>1670</v>
      </c>
      <c r="BB23" s="4929" t="s">
        <v>1660</v>
      </c>
      <c r="BC23" s="4929" t="s">
        <v>1661</v>
      </c>
    </row>
    <row r="24" spans="1:55" ht="4.5" customHeight="1" thickBot="1">
      <c r="A24" s="1867"/>
      <c r="B24" s="371"/>
      <c r="C24" s="371"/>
      <c r="D24" s="371"/>
      <c r="E24" s="371"/>
      <c r="F24" s="371"/>
      <c r="G24" s="371"/>
      <c r="H24" s="371"/>
      <c r="I24" s="371"/>
      <c r="J24" s="371"/>
      <c r="K24" s="371"/>
      <c r="L24" s="371"/>
      <c r="M24" s="371"/>
      <c r="N24" s="371"/>
      <c r="O24" s="371"/>
      <c r="P24" s="371"/>
      <c r="Q24" s="371"/>
      <c r="R24" s="371"/>
      <c r="S24" s="371"/>
      <c r="T24" s="371"/>
      <c r="U24" s="371"/>
      <c r="V24" s="371"/>
      <c r="W24" s="371"/>
      <c r="X24" s="371"/>
      <c r="Y24" s="371"/>
      <c r="Z24" s="371"/>
      <c r="AA24" s="371"/>
      <c r="AB24" s="371"/>
      <c r="AC24" s="371"/>
      <c r="AD24" s="371"/>
      <c r="AE24" s="371"/>
      <c r="AF24" s="371"/>
      <c r="AG24" s="1867"/>
      <c r="BA24" s="4930"/>
      <c r="BB24" s="4930"/>
      <c r="BC24" s="4930"/>
    </row>
    <row r="25" spans="1:55" ht="12" customHeight="1" thickBot="1">
      <c r="A25" s="1867"/>
      <c r="B25" s="2780">
        <f>IF(C25&lt;&gt;"",1,0)</f>
        <v>0</v>
      </c>
      <c r="C25" s="2779"/>
      <c r="D25" s="729" t="s">
        <v>1842</v>
      </c>
      <c r="E25" s="371"/>
      <c r="F25" s="371"/>
      <c r="G25" s="371"/>
      <c r="H25" s="371"/>
      <c r="I25" s="371"/>
      <c r="J25" s="371"/>
      <c r="K25" s="371"/>
      <c r="L25" s="371"/>
      <c r="M25" s="371"/>
      <c r="N25" s="371"/>
      <c r="O25" s="371"/>
      <c r="P25" s="371"/>
      <c r="Q25" s="371"/>
      <c r="R25" s="371"/>
      <c r="S25" s="371"/>
      <c r="T25" s="371"/>
      <c r="U25" s="371"/>
      <c r="V25" s="371"/>
      <c r="W25" s="371"/>
      <c r="X25" s="371"/>
      <c r="Y25" s="371"/>
      <c r="Z25" s="371"/>
      <c r="AA25" s="371"/>
      <c r="AB25" s="371"/>
      <c r="AC25" s="371"/>
      <c r="AD25" s="371"/>
      <c r="AE25" s="371"/>
      <c r="AF25" s="371"/>
      <c r="AG25" s="1867"/>
      <c r="AJ25" s="4922"/>
      <c r="AK25" s="4923"/>
      <c r="AL25" s="4923"/>
      <c r="AM25" s="4923"/>
      <c r="AN25" s="4923"/>
      <c r="AO25" s="4923"/>
      <c r="AP25" s="4923"/>
      <c r="AQ25" s="4923"/>
      <c r="BA25" s="4930"/>
      <c r="BB25" s="4930"/>
      <c r="BC25" s="4930"/>
    </row>
    <row r="26" spans="1:55" ht="4.5" customHeight="1" thickBot="1">
      <c r="A26" s="1867"/>
      <c r="B26" s="2780"/>
      <c r="C26" s="371"/>
      <c r="D26" s="371"/>
      <c r="E26" s="371"/>
      <c r="F26" s="371"/>
      <c r="G26" s="371"/>
      <c r="H26" s="371"/>
      <c r="I26" s="371"/>
      <c r="J26" s="371"/>
      <c r="K26" s="371"/>
      <c r="L26" s="371"/>
      <c r="M26" s="371"/>
      <c r="N26" s="371"/>
      <c r="O26" s="371"/>
      <c r="P26" s="371"/>
      <c r="Q26" s="371"/>
      <c r="R26" s="371"/>
      <c r="S26" s="371"/>
      <c r="T26" s="371"/>
      <c r="U26" s="371"/>
      <c r="V26" s="371"/>
      <c r="W26" s="371"/>
      <c r="X26" s="371"/>
      <c r="Y26" s="371"/>
      <c r="Z26" s="371"/>
      <c r="AA26" s="371"/>
      <c r="AB26" s="371"/>
      <c r="AC26" s="371"/>
      <c r="AD26" s="371"/>
      <c r="AE26" s="371"/>
      <c r="AF26" s="371"/>
      <c r="AG26" s="1867"/>
      <c r="BA26" s="4930"/>
      <c r="BB26" s="4930"/>
      <c r="BC26" s="4930"/>
    </row>
    <row r="27" spans="1:55" ht="11.25" customHeight="1" thickBot="1">
      <c r="A27" s="1867"/>
      <c r="B27" s="2780">
        <f>IF(C27&lt;&gt;"",1,0)</f>
        <v>0</v>
      </c>
      <c r="C27" s="2779"/>
      <c r="D27" s="729" t="s">
        <v>1534</v>
      </c>
      <c r="E27" s="371"/>
      <c r="F27" s="371"/>
      <c r="G27" s="371"/>
      <c r="H27" s="371"/>
      <c r="I27" s="371"/>
      <c r="J27" s="371"/>
      <c r="K27" s="371"/>
      <c r="L27" s="371"/>
      <c r="M27" s="371"/>
      <c r="N27" s="371"/>
      <c r="O27" s="371"/>
      <c r="P27" s="371"/>
      <c r="Q27" s="371"/>
      <c r="R27" s="371"/>
      <c r="S27" s="371"/>
      <c r="T27" s="371"/>
      <c r="U27" s="371"/>
      <c r="V27" s="371"/>
      <c r="W27" s="371"/>
      <c r="X27" s="371"/>
      <c r="Y27" s="371"/>
      <c r="Z27" s="371"/>
      <c r="AA27" s="371"/>
      <c r="AB27" s="371"/>
      <c r="AC27" s="371"/>
      <c r="AD27" s="371"/>
      <c r="AE27" s="371"/>
      <c r="AF27" s="371"/>
      <c r="AG27" s="1867"/>
      <c r="AJ27" s="4922"/>
      <c r="AK27" s="4923"/>
      <c r="AL27" s="4923"/>
      <c r="AM27" s="4923"/>
      <c r="AN27" s="4923"/>
      <c r="AO27" s="4923"/>
      <c r="AP27" s="4923"/>
      <c r="AQ27" s="4923"/>
      <c r="BA27" s="4930"/>
      <c r="BB27" s="4930"/>
      <c r="BC27" s="4930"/>
    </row>
    <row r="28" spans="1:55" ht="4.5" customHeight="1" thickBot="1">
      <c r="A28" s="1867"/>
      <c r="B28" s="2780"/>
      <c r="C28" s="371"/>
      <c r="D28" s="371"/>
      <c r="E28" s="371"/>
      <c r="F28" s="371"/>
      <c r="G28" s="371"/>
      <c r="H28" s="371"/>
      <c r="I28" s="371"/>
      <c r="J28" s="371"/>
      <c r="K28" s="371"/>
      <c r="L28" s="371"/>
      <c r="M28" s="371"/>
      <c r="N28" s="371"/>
      <c r="O28" s="371"/>
      <c r="P28" s="371"/>
      <c r="Q28" s="371"/>
      <c r="R28" s="371"/>
      <c r="S28" s="371"/>
      <c r="T28" s="371"/>
      <c r="U28" s="371"/>
      <c r="V28" s="371"/>
      <c r="W28" s="371"/>
      <c r="X28" s="371"/>
      <c r="Y28" s="371"/>
      <c r="Z28" s="371"/>
      <c r="AA28" s="371"/>
      <c r="AB28" s="371"/>
      <c r="AC28" s="371"/>
      <c r="AD28" s="371"/>
      <c r="AE28" s="371"/>
      <c r="AF28" s="371"/>
      <c r="AG28" s="1867"/>
      <c r="BA28" s="4930"/>
      <c r="BB28" s="4930"/>
      <c r="BC28" s="4930"/>
    </row>
    <row r="29" spans="1:55" ht="12" customHeight="1" thickBot="1">
      <c r="A29" s="1867">
        <f>SUM(B25:B29)</f>
        <v>0</v>
      </c>
      <c r="B29" s="2780">
        <f>IF(C29&lt;&gt;"",1,0)</f>
        <v>0</v>
      </c>
      <c r="C29" s="2779"/>
      <c r="D29" s="729" t="s">
        <v>1535</v>
      </c>
      <c r="E29" s="371"/>
      <c r="F29" s="371"/>
      <c r="G29" s="371"/>
      <c r="H29" s="371"/>
      <c r="I29" s="371"/>
      <c r="J29" s="371"/>
      <c r="K29" s="371"/>
      <c r="L29" s="371"/>
      <c r="M29" s="371"/>
      <c r="N29" s="371"/>
      <c r="O29" s="371"/>
      <c r="P29" s="371"/>
      <c r="Q29" s="371"/>
      <c r="R29" s="4959" t="str">
        <f>IF(SpaceUsed_8949A_ST,"ERROR: DO NOT use space. Use 'Delete'.",IF(A29&gt;1,"Check only ONE box.",IF($A$31&gt;0,"",IF(A29&lt;1,"Check ONE box.",""))))</f>
        <v>Check ONE box.</v>
      </c>
      <c r="S29" s="4960"/>
      <c r="T29" s="4960"/>
      <c r="U29" s="4960"/>
      <c r="V29" s="4960"/>
      <c r="W29" s="4960"/>
      <c r="X29" s="4960"/>
      <c r="Y29" s="4960"/>
      <c r="Z29" s="4960"/>
      <c r="AA29" s="4960"/>
      <c r="AB29" s="4960"/>
      <c r="AC29" s="4960"/>
      <c r="AD29" s="4960"/>
      <c r="AE29" s="4960"/>
      <c r="AF29" s="371"/>
      <c r="AG29" s="1867"/>
      <c r="AH29" s="3123" t="b">
        <f>IF(OR(F8949ASBOXA=CHAR(32),F8949ASBOXB=CHAR(32),F8949ASBOXC=CHAR(32)),TRUE,FALSE)</f>
        <v>0</v>
      </c>
      <c r="AJ29" s="4922" t="s">
        <v>1485</v>
      </c>
      <c r="AK29" s="4923"/>
      <c r="AL29" s="4923"/>
      <c r="AM29" s="4923"/>
      <c r="AN29" s="4923"/>
      <c r="AO29" s="4923"/>
      <c r="AP29" s="4923"/>
      <c r="AQ29" s="4923"/>
      <c r="BA29" s="4930"/>
      <c r="BB29" s="4930"/>
      <c r="BC29" s="4930"/>
    </row>
    <row r="30" spans="1:55" ht="3.75" customHeight="1">
      <c r="A30" s="1867"/>
      <c r="B30" s="372"/>
      <c r="C30" s="1807"/>
      <c r="D30" s="372"/>
      <c r="E30" s="372"/>
      <c r="F30" s="372"/>
      <c r="G30" s="372"/>
      <c r="H30" s="372"/>
      <c r="I30" s="372"/>
      <c r="J30" s="372"/>
      <c r="K30" s="372"/>
      <c r="L30" s="372"/>
      <c r="M30" s="372"/>
      <c r="N30" s="1807"/>
      <c r="O30" s="372"/>
      <c r="P30" s="372"/>
      <c r="Q30" s="372"/>
      <c r="R30" s="372"/>
      <c r="S30" s="372"/>
      <c r="T30" s="372"/>
      <c r="U30" s="372"/>
      <c r="V30" s="372"/>
      <c r="W30" s="372"/>
      <c r="X30" s="372"/>
      <c r="Y30" s="1807"/>
      <c r="Z30" s="372"/>
      <c r="AA30" s="372"/>
      <c r="AB30" s="372"/>
      <c r="AC30" s="372"/>
      <c r="AD30" s="372"/>
      <c r="AE30" s="372"/>
      <c r="AF30" s="372"/>
      <c r="AG30" s="1867"/>
      <c r="BA30" s="4930"/>
      <c r="BB30" s="4930"/>
      <c r="BC30" s="4930"/>
    </row>
    <row r="31" spans="1:55" ht="21" customHeight="1">
      <c r="A31" s="1867">
        <f>SUM(A29,A82)</f>
        <v>0</v>
      </c>
      <c r="B31" s="4982">
        <v>1</v>
      </c>
      <c r="C31" s="4991" t="s">
        <v>1170</v>
      </c>
      <c r="D31" s="4992"/>
      <c r="E31" s="4992"/>
      <c r="F31" s="4992"/>
      <c r="G31" s="4992"/>
      <c r="H31" s="4992"/>
      <c r="I31" s="4993"/>
      <c r="J31" s="4949" t="s">
        <v>1540</v>
      </c>
      <c r="K31" s="4950"/>
      <c r="L31" s="4951"/>
      <c r="M31" s="4949" t="s">
        <v>1541</v>
      </c>
      <c r="N31" s="4950"/>
      <c r="O31" s="4950"/>
      <c r="P31" s="4951"/>
      <c r="Q31" s="4949" t="s">
        <v>1542</v>
      </c>
      <c r="R31" s="4950"/>
      <c r="S31" s="4950"/>
      <c r="T31" s="4951"/>
      <c r="U31" s="4924" t="s">
        <v>1547</v>
      </c>
      <c r="V31" s="4297"/>
      <c r="W31" s="4297"/>
      <c r="X31" s="5006"/>
      <c r="Y31" s="4932" t="s">
        <v>1543</v>
      </c>
      <c r="Z31" s="5000"/>
      <c r="AA31" s="5000"/>
      <c r="AB31" s="5001"/>
      <c r="AC31" s="4924" t="s">
        <v>1546</v>
      </c>
      <c r="AD31" s="4297"/>
      <c r="AE31" s="4297"/>
      <c r="AF31" s="4297"/>
      <c r="AG31" s="1867"/>
      <c r="AJ31" s="4934" t="s">
        <v>1484</v>
      </c>
      <c r="AK31" s="4934" t="s">
        <v>1550</v>
      </c>
      <c r="AL31" s="4934" t="s">
        <v>1551</v>
      </c>
      <c r="AM31" s="4934" t="s">
        <v>1552</v>
      </c>
      <c r="AN31" s="4936" t="s">
        <v>1553</v>
      </c>
      <c r="AO31" s="4932" t="s">
        <v>1543</v>
      </c>
      <c r="AP31" s="4310"/>
      <c r="AQ31" s="4934" t="s">
        <v>1641</v>
      </c>
      <c r="BA31" s="4930"/>
      <c r="BB31" s="4930"/>
      <c r="BC31" s="4930"/>
    </row>
    <row r="32" spans="1:55" ht="21" customHeight="1">
      <c r="A32" s="1867"/>
      <c r="B32" s="3888"/>
      <c r="C32" s="4994"/>
      <c r="D32" s="4995"/>
      <c r="E32" s="4995"/>
      <c r="F32" s="4995"/>
      <c r="G32" s="4995"/>
      <c r="H32" s="4995"/>
      <c r="I32" s="4996"/>
      <c r="J32" s="4952"/>
      <c r="K32" s="4953"/>
      <c r="L32" s="4954"/>
      <c r="M32" s="4952"/>
      <c r="N32" s="4953"/>
      <c r="O32" s="4953"/>
      <c r="P32" s="4954"/>
      <c r="Q32" s="4952"/>
      <c r="R32" s="4953"/>
      <c r="S32" s="4953"/>
      <c r="T32" s="4954"/>
      <c r="U32" s="4925"/>
      <c r="V32" s="4926"/>
      <c r="W32" s="4926"/>
      <c r="X32" s="5031"/>
      <c r="Y32" s="5002"/>
      <c r="Z32" s="5003"/>
      <c r="AA32" s="5003"/>
      <c r="AB32" s="5004"/>
      <c r="AC32" s="4925"/>
      <c r="AD32" s="4926"/>
      <c r="AE32" s="4926"/>
      <c r="AF32" s="4926"/>
      <c r="AG32" s="1867"/>
      <c r="AJ32" s="4934"/>
      <c r="AK32" s="4934"/>
      <c r="AL32" s="4934"/>
      <c r="AM32" s="4934"/>
      <c r="AN32" s="4936"/>
      <c r="AO32" s="4468"/>
      <c r="AP32" s="4316"/>
      <c r="AQ32" s="4934"/>
      <c r="BA32" s="4930"/>
      <c r="BB32" s="4930"/>
      <c r="BC32" s="4930"/>
    </row>
    <row r="33" spans="1:55" ht="18" customHeight="1">
      <c r="A33" s="1867"/>
      <c r="B33" s="4983"/>
      <c r="C33" s="4997"/>
      <c r="D33" s="4997"/>
      <c r="E33" s="4997"/>
      <c r="F33" s="4997"/>
      <c r="G33" s="4997"/>
      <c r="H33" s="4997"/>
      <c r="I33" s="4996"/>
      <c r="J33" s="4955"/>
      <c r="K33" s="4953"/>
      <c r="L33" s="4954"/>
      <c r="M33" s="4955"/>
      <c r="N33" s="4953"/>
      <c r="O33" s="4953"/>
      <c r="P33" s="4954"/>
      <c r="Q33" s="4955"/>
      <c r="R33" s="4953"/>
      <c r="S33" s="4953"/>
      <c r="T33" s="4954"/>
      <c r="U33" s="4298"/>
      <c r="V33" s="4926"/>
      <c r="W33" s="4926"/>
      <c r="X33" s="5031"/>
      <c r="Y33" s="5005" t="s">
        <v>1544</v>
      </c>
      <c r="Z33" s="5006"/>
      <c r="AA33" s="5008" t="s">
        <v>1545</v>
      </c>
      <c r="AB33" s="5009"/>
      <c r="AC33" s="4298"/>
      <c r="AD33" s="4926"/>
      <c r="AE33" s="4926"/>
      <c r="AF33" s="4926"/>
      <c r="AG33" s="1867"/>
      <c r="AJ33" s="4935"/>
      <c r="AK33" s="4935"/>
      <c r="AL33" s="4935"/>
      <c r="AM33" s="4935"/>
      <c r="AN33" s="4937"/>
      <c r="AO33" s="4931" t="s">
        <v>1554</v>
      </c>
      <c r="AP33" s="4933" t="s">
        <v>1545</v>
      </c>
      <c r="AQ33" s="4935"/>
      <c r="BA33" s="4930"/>
      <c r="BB33" s="4930"/>
      <c r="BC33" s="4930"/>
    </row>
    <row r="34" spans="1:55" ht="18" customHeight="1">
      <c r="A34" s="1867"/>
      <c r="B34" s="4984"/>
      <c r="C34" s="4998"/>
      <c r="D34" s="4998"/>
      <c r="E34" s="4998"/>
      <c r="F34" s="4998"/>
      <c r="G34" s="4998"/>
      <c r="H34" s="4998"/>
      <c r="I34" s="4999"/>
      <c r="J34" s="4956"/>
      <c r="K34" s="4957"/>
      <c r="L34" s="4958"/>
      <c r="M34" s="4956"/>
      <c r="N34" s="4957"/>
      <c r="O34" s="4957"/>
      <c r="P34" s="4958"/>
      <c r="Q34" s="4956"/>
      <c r="R34" s="4957"/>
      <c r="S34" s="4957"/>
      <c r="T34" s="4958"/>
      <c r="U34" s="4300"/>
      <c r="V34" s="4301"/>
      <c r="W34" s="4301"/>
      <c r="X34" s="5007"/>
      <c r="Y34" s="4300"/>
      <c r="Z34" s="5007"/>
      <c r="AA34" s="4564"/>
      <c r="AB34" s="4452"/>
      <c r="AC34" s="4300"/>
      <c r="AD34" s="4301"/>
      <c r="AE34" s="4301"/>
      <c r="AF34" s="4301"/>
      <c r="AG34" s="1867"/>
      <c r="AJ34" s="4935"/>
      <c r="AK34" s="4935"/>
      <c r="AL34" s="4935"/>
      <c r="AM34" s="4935"/>
      <c r="AN34" s="4937"/>
      <c r="AO34" s="4244"/>
      <c r="AP34" s="4244"/>
      <c r="AQ34" s="4935"/>
      <c r="BA34" s="4930"/>
      <c r="BB34" s="4930"/>
      <c r="BC34" s="4930"/>
    </row>
    <row r="35" spans="1:55" s="2642" customFormat="1" ht="19.5" customHeight="1">
      <c r="A35" s="1867">
        <f t="shared" ref="A35:A54" si="0">IF(OR(U35&lt;&gt;"",Y35&lt;&gt;""),1,0)</f>
        <v>0</v>
      </c>
      <c r="B35" s="4945" t="str">
        <f>IF(AJ35="","",AJ35)</f>
        <v/>
      </c>
      <c r="C35" s="4946"/>
      <c r="D35" s="4946"/>
      <c r="E35" s="4946"/>
      <c r="F35" s="4946"/>
      <c r="G35" s="4946"/>
      <c r="H35" s="4946"/>
      <c r="I35" s="4947"/>
      <c r="J35" s="4943" t="str">
        <f>IF(AK35="","",AK35)</f>
        <v/>
      </c>
      <c r="K35" s="4944"/>
      <c r="L35" s="4944"/>
      <c r="M35" s="4943" t="str">
        <f>IF(AL35="","",AL35)</f>
        <v/>
      </c>
      <c r="N35" s="4944"/>
      <c r="O35" s="4944"/>
      <c r="P35" s="4948"/>
      <c r="Q35" s="3792" t="str">
        <f>IF(AM35="","",AM35)</f>
        <v/>
      </c>
      <c r="R35" s="4938"/>
      <c r="S35" s="4938"/>
      <c r="T35" s="4103"/>
      <c r="U35" s="3792" t="str">
        <f>IF(AN35="","",AN35)</f>
        <v/>
      </c>
      <c r="V35" s="4938"/>
      <c r="W35" s="4938"/>
      <c r="X35" s="4103"/>
      <c r="Y35" s="4921" t="str">
        <f>IF(AO35&lt;&gt;"",AO35,"")</f>
        <v/>
      </c>
      <c r="Z35" s="3747"/>
      <c r="AA35" s="4921" t="str">
        <f>IF(AP35="","",AP35)</f>
        <v/>
      </c>
      <c r="AB35" s="3747"/>
      <c r="AC35" s="4919" t="str">
        <f>IF(AQ35&lt;&gt;"",AQ35,IF(AND(Q35&lt;&gt;"",U35&lt;&gt;""),SUM(Q35,-U35,AA35),""))</f>
        <v/>
      </c>
      <c r="AD35" s="4920"/>
      <c r="AE35" s="4920"/>
      <c r="AF35" s="4920"/>
      <c r="AG35" s="2837">
        <f>IF(OR(J35="",M35=""),0,IF(OR(BA35,BB35,BC35),0,1))</f>
        <v>0</v>
      </c>
      <c r="AH35" s="1804"/>
      <c r="AI35" s="1804" t="e">
        <f t="shared" ref="AI35:AI54" si="1">M35-J35</f>
        <v>#VALUE!</v>
      </c>
      <c r="AJ35" s="2650"/>
      <c r="AK35" s="2654"/>
      <c r="AL35" s="2654"/>
      <c r="AM35" s="2652"/>
      <c r="AN35" s="2652"/>
      <c r="AO35" s="2653"/>
      <c r="AP35" s="2652"/>
      <c r="AQ35" s="2651"/>
      <c r="AS35" s="2826" t="e">
        <f>YEAR(J35)</f>
        <v>#VALUE!</v>
      </c>
      <c r="AT35" s="2826" t="e">
        <f>MONTH(J35)</f>
        <v>#VALUE!</v>
      </c>
      <c r="AU35" s="2826" t="e">
        <f>DAY(J35)</f>
        <v>#VALUE!</v>
      </c>
      <c r="AV35" s="2826"/>
      <c r="AW35" s="2826" t="e">
        <f>YEAR(M35)</f>
        <v>#VALUE!</v>
      </c>
      <c r="AX35" s="2826" t="e">
        <f>MONTH(M35)</f>
        <v>#VALUE!</v>
      </c>
      <c r="AY35" s="2826" t="e">
        <f>DAY(M35)</f>
        <v>#VALUE!</v>
      </c>
      <c r="AZ35" s="2826"/>
      <c r="BA35" s="2826" t="e">
        <f>IF(AW35=AS35,TRUE,FALSE)</f>
        <v>#VALUE!</v>
      </c>
      <c r="BB35" s="2826" t="e">
        <f>IF(AND(AW35=AS35+1,AX35&lt;AT35),TRUE,FALSE)</f>
        <v>#VALUE!</v>
      </c>
      <c r="BC35" s="2826" t="e">
        <f>IF(AND(AW35=AS35+1,AX35=AT35,AY35&lt;=AU35),TRUE,FALSE)</f>
        <v>#VALUE!</v>
      </c>
    </row>
    <row r="36" spans="1:55" s="2642" customFormat="1" ht="19.5" customHeight="1">
      <c r="A36" s="1867">
        <f t="shared" si="0"/>
        <v>0</v>
      </c>
      <c r="B36" s="4945" t="str">
        <f t="shared" ref="B36:B54" si="2">IF(AJ36="","",AJ36)</f>
        <v/>
      </c>
      <c r="C36" s="4946"/>
      <c r="D36" s="4946"/>
      <c r="E36" s="4946"/>
      <c r="F36" s="4946"/>
      <c r="G36" s="4946"/>
      <c r="H36" s="4946"/>
      <c r="I36" s="4947"/>
      <c r="J36" s="4943" t="str">
        <f t="shared" ref="J36:J54" si="3">IF(AK36="","",AK36)</f>
        <v/>
      </c>
      <c r="K36" s="4944"/>
      <c r="L36" s="4944"/>
      <c r="M36" s="4943" t="str">
        <f t="shared" ref="M36:M54" si="4">IF(AL36="","",AL36)</f>
        <v/>
      </c>
      <c r="N36" s="4944"/>
      <c r="O36" s="4944"/>
      <c r="P36" s="4948"/>
      <c r="Q36" s="3792" t="str">
        <f t="shared" ref="Q36:Q54" si="5">IF(AM36="","",AM36)</f>
        <v/>
      </c>
      <c r="R36" s="4938"/>
      <c r="S36" s="4938"/>
      <c r="T36" s="4103"/>
      <c r="U36" s="3792" t="str">
        <f t="shared" ref="U36:U54" si="6">IF(AN36="","",AN36)</f>
        <v/>
      </c>
      <c r="V36" s="4938"/>
      <c r="W36" s="4938"/>
      <c r="X36" s="4103"/>
      <c r="Y36" s="4921" t="str">
        <f>IF(AO36&lt;&gt;"",AO36,"")</f>
        <v/>
      </c>
      <c r="Z36" s="3747"/>
      <c r="AA36" s="4921" t="str">
        <f>IF(AP36="","",AP36)</f>
        <v/>
      </c>
      <c r="AB36" s="3747"/>
      <c r="AC36" s="4919" t="str">
        <f t="shared" ref="AC36:AC54" si="7">IF(AQ36&lt;&gt;"",AQ36,IF(AND(Q36&lt;&gt;"",U36&lt;&gt;""),SUM(Q36,-U36,AA36),""))</f>
        <v/>
      </c>
      <c r="AD36" s="4920"/>
      <c r="AE36" s="4920"/>
      <c r="AF36" s="4920"/>
      <c r="AG36" s="2837">
        <f t="shared" ref="AG36:AG54" si="8">IF(OR(J36="",M36=""),0,IF(OR(BA36,BB36,BC36),0,1))</f>
        <v>0</v>
      </c>
      <c r="AH36" s="1804"/>
      <c r="AI36" s="1804" t="e">
        <f t="shared" si="1"/>
        <v>#VALUE!</v>
      </c>
      <c r="AJ36" s="2650"/>
      <c r="AK36" s="2654"/>
      <c r="AL36" s="2654"/>
      <c r="AM36" s="2652"/>
      <c r="AN36" s="2652"/>
      <c r="AO36" s="2653"/>
      <c r="AP36" s="2652"/>
      <c r="AQ36" s="2651"/>
      <c r="AS36" s="2826" t="e">
        <f t="shared" ref="AS36:AS54" si="9">YEAR(J36)</f>
        <v>#VALUE!</v>
      </c>
      <c r="AT36" s="2826" t="e">
        <f t="shared" ref="AT36:AT54" si="10">MONTH(J36)</f>
        <v>#VALUE!</v>
      </c>
      <c r="AU36" s="2826" t="e">
        <f t="shared" ref="AU36:AU54" si="11">DAY(J36)</f>
        <v>#VALUE!</v>
      </c>
      <c r="AV36" s="2826"/>
      <c r="AW36" s="2826" t="e">
        <f t="shared" ref="AW36:AW54" si="12">YEAR(M36)</f>
        <v>#VALUE!</v>
      </c>
      <c r="AX36" s="2826" t="e">
        <f t="shared" ref="AX36:AX54" si="13">MONTH(M36)</f>
        <v>#VALUE!</v>
      </c>
      <c r="AY36" s="2826" t="e">
        <f t="shared" ref="AY36:AY54" si="14">DAY(M36)</f>
        <v>#VALUE!</v>
      </c>
      <c r="AZ36" s="2826"/>
      <c r="BA36" s="2826" t="e">
        <f t="shared" ref="BA36:BA54" si="15">IF(AW36=AS36,TRUE,FALSE)</f>
        <v>#VALUE!</v>
      </c>
      <c r="BB36" s="2826" t="e">
        <f t="shared" ref="BB36:BB54" si="16">IF(AND(AW36=AS36+1,AX36&lt;AT36),TRUE,FALSE)</f>
        <v>#VALUE!</v>
      </c>
      <c r="BC36" s="2826" t="e">
        <f t="shared" ref="BC36:BC54" si="17">IF(AND(AW36=AS36+1,AX36=AT36,AY36&lt;=AU36),TRUE,FALSE)</f>
        <v>#VALUE!</v>
      </c>
    </row>
    <row r="37" spans="1:55" s="2642" customFormat="1" ht="19.5" customHeight="1">
      <c r="A37" s="1867">
        <f t="shared" si="0"/>
        <v>0</v>
      </c>
      <c r="B37" s="4945" t="str">
        <f t="shared" si="2"/>
        <v/>
      </c>
      <c r="C37" s="4946"/>
      <c r="D37" s="4946"/>
      <c r="E37" s="4946"/>
      <c r="F37" s="4946"/>
      <c r="G37" s="4946"/>
      <c r="H37" s="4946"/>
      <c r="I37" s="4947"/>
      <c r="J37" s="4943" t="str">
        <f t="shared" si="3"/>
        <v/>
      </c>
      <c r="K37" s="4944"/>
      <c r="L37" s="4944"/>
      <c r="M37" s="4943" t="str">
        <f t="shared" si="4"/>
        <v/>
      </c>
      <c r="N37" s="4944"/>
      <c r="O37" s="4944"/>
      <c r="P37" s="4948"/>
      <c r="Q37" s="3792" t="str">
        <f t="shared" si="5"/>
        <v/>
      </c>
      <c r="R37" s="4938"/>
      <c r="S37" s="4938"/>
      <c r="T37" s="4103"/>
      <c r="U37" s="3792" t="str">
        <f t="shared" si="6"/>
        <v/>
      </c>
      <c r="V37" s="4938"/>
      <c r="W37" s="4938"/>
      <c r="X37" s="4103"/>
      <c r="Y37" s="4921" t="str">
        <f>IF(AO37&lt;&gt;"",AO37,"")</f>
        <v/>
      </c>
      <c r="Z37" s="3747"/>
      <c r="AA37" s="4921" t="str">
        <f>IF(AP37="","",AP37)</f>
        <v/>
      </c>
      <c r="AB37" s="3747"/>
      <c r="AC37" s="4919" t="str">
        <f t="shared" si="7"/>
        <v/>
      </c>
      <c r="AD37" s="4920"/>
      <c r="AE37" s="4920"/>
      <c r="AF37" s="4920"/>
      <c r="AG37" s="2837">
        <f t="shared" si="8"/>
        <v>0</v>
      </c>
      <c r="AH37" s="1804"/>
      <c r="AI37" s="1804" t="e">
        <f t="shared" si="1"/>
        <v>#VALUE!</v>
      </c>
      <c r="AJ37" s="2650"/>
      <c r="AK37" s="2654"/>
      <c r="AL37" s="2654"/>
      <c r="AM37" s="2652"/>
      <c r="AN37" s="2652"/>
      <c r="AO37" s="2653"/>
      <c r="AP37" s="2652"/>
      <c r="AQ37" s="2651"/>
      <c r="AS37" s="2826" t="e">
        <f t="shared" si="9"/>
        <v>#VALUE!</v>
      </c>
      <c r="AT37" s="2826" t="e">
        <f t="shared" si="10"/>
        <v>#VALUE!</v>
      </c>
      <c r="AU37" s="2826" t="e">
        <f t="shared" si="11"/>
        <v>#VALUE!</v>
      </c>
      <c r="AV37" s="2826"/>
      <c r="AW37" s="2826" t="e">
        <f t="shared" si="12"/>
        <v>#VALUE!</v>
      </c>
      <c r="AX37" s="2826" t="e">
        <f t="shared" si="13"/>
        <v>#VALUE!</v>
      </c>
      <c r="AY37" s="2826" t="e">
        <f t="shared" si="14"/>
        <v>#VALUE!</v>
      </c>
      <c r="AZ37" s="2826"/>
      <c r="BA37" s="2826" t="e">
        <f t="shared" si="15"/>
        <v>#VALUE!</v>
      </c>
      <c r="BB37" s="2826" t="e">
        <f t="shared" si="16"/>
        <v>#VALUE!</v>
      </c>
      <c r="BC37" s="2826" t="e">
        <f t="shared" si="17"/>
        <v>#VALUE!</v>
      </c>
    </row>
    <row r="38" spans="1:55" s="2642" customFormat="1" ht="19.5" customHeight="1">
      <c r="A38" s="1867">
        <f t="shared" si="0"/>
        <v>0</v>
      </c>
      <c r="B38" s="4945" t="str">
        <f t="shared" si="2"/>
        <v/>
      </c>
      <c r="C38" s="4946"/>
      <c r="D38" s="4946"/>
      <c r="E38" s="4946"/>
      <c r="F38" s="4946"/>
      <c r="G38" s="4946"/>
      <c r="H38" s="4946"/>
      <c r="I38" s="4947"/>
      <c r="J38" s="4943" t="str">
        <f t="shared" si="3"/>
        <v/>
      </c>
      <c r="K38" s="4944"/>
      <c r="L38" s="4944"/>
      <c r="M38" s="4943" t="str">
        <f t="shared" si="4"/>
        <v/>
      </c>
      <c r="N38" s="4944"/>
      <c r="O38" s="4944"/>
      <c r="P38" s="4948"/>
      <c r="Q38" s="3792" t="str">
        <f t="shared" si="5"/>
        <v/>
      </c>
      <c r="R38" s="4938"/>
      <c r="S38" s="4938"/>
      <c r="T38" s="4103"/>
      <c r="U38" s="3792" t="str">
        <f t="shared" si="6"/>
        <v/>
      </c>
      <c r="V38" s="4938"/>
      <c r="W38" s="4938"/>
      <c r="X38" s="4103"/>
      <c r="Y38" s="4921" t="str">
        <f t="shared" ref="Y38:Y54" si="18">IF(AO38&lt;&gt;"",AO38,"")</f>
        <v/>
      </c>
      <c r="Z38" s="3747"/>
      <c r="AA38" s="4921" t="str">
        <f t="shared" ref="AA38:AA54" si="19">IF(AP38="","",AP38)</f>
        <v/>
      </c>
      <c r="AB38" s="3747"/>
      <c r="AC38" s="4919" t="str">
        <f t="shared" si="7"/>
        <v/>
      </c>
      <c r="AD38" s="4920"/>
      <c r="AE38" s="4920"/>
      <c r="AF38" s="4920"/>
      <c r="AG38" s="2837">
        <f t="shared" si="8"/>
        <v>0</v>
      </c>
      <c r="AH38" s="1804"/>
      <c r="AI38" s="1804" t="e">
        <f t="shared" si="1"/>
        <v>#VALUE!</v>
      </c>
      <c r="AJ38" s="2650"/>
      <c r="AK38" s="2654"/>
      <c r="AL38" s="2654"/>
      <c r="AM38" s="2652"/>
      <c r="AN38" s="2652"/>
      <c r="AO38" s="2653"/>
      <c r="AP38" s="2652"/>
      <c r="AQ38" s="2651"/>
      <c r="AS38" s="2826" t="e">
        <f t="shared" si="9"/>
        <v>#VALUE!</v>
      </c>
      <c r="AT38" s="2826" t="e">
        <f t="shared" si="10"/>
        <v>#VALUE!</v>
      </c>
      <c r="AU38" s="2826" t="e">
        <f t="shared" si="11"/>
        <v>#VALUE!</v>
      </c>
      <c r="AV38" s="2826"/>
      <c r="AW38" s="2826" t="e">
        <f t="shared" si="12"/>
        <v>#VALUE!</v>
      </c>
      <c r="AX38" s="2826" t="e">
        <f t="shared" si="13"/>
        <v>#VALUE!</v>
      </c>
      <c r="AY38" s="2826" t="e">
        <f t="shared" si="14"/>
        <v>#VALUE!</v>
      </c>
      <c r="AZ38" s="2826"/>
      <c r="BA38" s="2826" t="e">
        <f t="shared" si="15"/>
        <v>#VALUE!</v>
      </c>
      <c r="BB38" s="2826" t="e">
        <f t="shared" si="16"/>
        <v>#VALUE!</v>
      </c>
      <c r="BC38" s="2826" t="e">
        <f t="shared" si="17"/>
        <v>#VALUE!</v>
      </c>
    </row>
    <row r="39" spans="1:55" s="2642" customFormat="1" ht="19.5" customHeight="1">
      <c r="A39" s="1867">
        <f t="shared" si="0"/>
        <v>0</v>
      </c>
      <c r="B39" s="4945" t="str">
        <f t="shared" si="2"/>
        <v/>
      </c>
      <c r="C39" s="4946"/>
      <c r="D39" s="4946"/>
      <c r="E39" s="4946"/>
      <c r="F39" s="4946"/>
      <c r="G39" s="4946"/>
      <c r="H39" s="4946"/>
      <c r="I39" s="4947"/>
      <c r="J39" s="4943" t="str">
        <f t="shared" si="3"/>
        <v/>
      </c>
      <c r="K39" s="4944"/>
      <c r="L39" s="4944"/>
      <c r="M39" s="4943" t="str">
        <f t="shared" si="4"/>
        <v/>
      </c>
      <c r="N39" s="4944"/>
      <c r="O39" s="4944"/>
      <c r="P39" s="4948"/>
      <c r="Q39" s="3792" t="str">
        <f t="shared" si="5"/>
        <v/>
      </c>
      <c r="R39" s="4938"/>
      <c r="S39" s="4938"/>
      <c r="T39" s="4103"/>
      <c r="U39" s="3792" t="str">
        <f t="shared" si="6"/>
        <v/>
      </c>
      <c r="V39" s="4938"/>
      <c r="W39" s="4938"/>
      <c r="X39" s="4103"/>
      <c r="Y39" s="4921" t="str">
        <f t="shared" si="18"/>
        <v/>
      </c>
      <c r="Z39" s="3747"/>
      <c r="AA39" s="4921" t="str">
        <f t="shared" si="19"/>
        <v/>
      </c>
      <c r="AB39" s="3747"/>
      <c r="AC39" s="4919" t="str">
        <f t="shared" si="7"/>
        <v/>
      </c>
      <c r="AD39" s="4920"/>
      <c r="AE39" s="4920"/>
      <c r="AF39" s="4920"/>
      <c r="AG39" s="2837">
        <f t="shared" si="8"/>
        <v>0</v>
      </c>
      <c r="AH39" s="1804"/>
      <c r="AI39" s="1804" t="e">
        <f t="shared" si="1"/>
        <v>#VALUE!</v>
      </c>
      <c r="AJ39" s="2650"/>
      <c r="AK39" s="2654"/>
      <c r="AL39" s="2654"/>
      <c r="AM39" s="2652"/>
      <c r="AN39" s="2652"/>
      <c r="AO39" s="2653"/>
      <c r="AP39" s="2652"/>
      <c r="AQ39" s="2651"/>
      <c r="AS39" s="2826" t="e">
        <f t="shared" si="9"/>
        <v>#VALUE!</v>
      </c>
      <c r="AT39" s="2826" t="e">
        <f t="shared" si="10"/>
        <v>#VALUE!</v>
      </c>
      <c r="AU39" s="2826" t="e">
        <f t="shared" si="11"/>
        <v>#VALUE!</v>
      </c>
      <c r="AV39" s="2826"/>
      <c r="AW39" s="2826" t="e">
        <f t="shared" si="12"/>
        <v>#VALUE!</v>
      </c>
      <c r="AX39" s="2826" t="e">
        <f t="shared" si="13"/>
        <v>#VALUE!</v>
      </c>
      <c r="AY39" s="2826" t="e">
        <f t="shared" si="14"/>
        <v>#VALUE!</v>
      </c>
      <c r="AZ39" s="2826"/>
      <c r="BA39" s="2826" t="e">
        <f t="shared" si="15"/>
        <v>#VALUE!</v>
      </c>
      <c r="BB39" s="2826" t="e">
        <f t="shared" si="16"/>
        <v>#VALUE!</v>
      </c>
      <c r="BC39" s="2826" t="e">
        <f t="shared" si="17"/>
        <v>#VALUE!</v>
      </c>
    </row>
    <row r="40" spans="1:55" s="2642" customFormat="1" ht="19.5" customHeight="1">
      <c r="A40" s="1867">
        <f t="shared" si="0"/>
        <v>0</v>
      </c>
      <c r="B40" s="4945" t="str">
        <f t="shared" si="2"/>
        <v/>
      </c>
      <c r="C40" s="4946"/>
      <c r="D40" s="4946"/>
      <c r="E40" s="4946"/>
      <c r="F40" s="4946"/>
      <c r="G40" s="4946"/>
      <c r="H40" s="4946"/>
      <c r="I40" s="4947"/>
      <c r="J40" s="4943" t="str">
        <f t="shared" si="3"/>
        <v/>
      </c>
      <c r="K40" s="4944"/>
      <c r="L40" s="4944"/>
      <c r="M40" s="4943" t="str">
        <f t="shared" si="4"/>
        <v/>
      </c>
      <c r="N40" s="4944"/>
      <c r="O40" s="4944"/>
      <c r="P40" s="4948"/>
      <c r="Q40" s="3792" t="str">
        <f t="shared" si="5"/>
        <v/>
      </c>
      <c r="R40" s="4938"/>
      <c r="S40" s="4938"/>
      <c r="T40" s="4103"/>
      <c r="U40" s="3792" t="str">
        <f t="shared" si="6"/>
        <v/>
      </c>
      <c r="V40" s="4938"/>
      <c r="W40" s="4938"/>
      <c r="X40" s="4103"/>
      <c r="Y40" s="4921" t="str">
        <f t="shared" si="18"/>
        <v/>
      </c>
      <c r="Z40" s="3747"/>
      <c r="AA40" s="4921" t="str">
        <f t="shared" si="19"/>
        <v/>
      </c>
      <c r="AB40" s="3747"/>
      <c r="AC40" s="4919" t="str">
        <f t="shared" si="7"/>
        <v/>
      </c>
      <c r="AD40" s="4920"/>
      <c r="AE40" s="4920"/>
      <c r="AF40" s="4920"/>
      <c r="AG40" s="2837">
        <f t="shared" si="8"/>
        <v>0</v>
      </c>
      <c r="AH40" s="1804"/>
      <c r="AI40" s="1804" t="e">
        <f t="shared" si="1"/>
        <v>#VALUE!</v>
      </c>
      <c r="AJ40" s="2650"/>
      <c r="AK40" s="2654"/>
      <c r="AL40" s="2654"/>
      <c r="AM40" s="2652"/>
      <c r="AN40" s="2652"/>
      <c r="AO40" s="2653"/>
      <c r="AP40" s="2652"/>
      <c r="AQ40" s="2651"/>
      <c r="AS40" s="2826" t="e">
        <f t="shared" si="9"/>
        <v>#VALUE!</v>
      </c>
      <c r="AT40" s="2826" t="e">
        <f t="shared" si="10"/>
        <v>#VALUE!</v>
      </c>
      <c r="AU40" s="2826" t="e">
        <f t="shared" si="11"/>
        <v>#VALUE!</v>
      </c>
      <c r="AV40" s="2826"/>
      <c r="AW40" s="2826" t="e">
        <f t="shared" si="12"/>
        <v>#VALUE!</v>
      </c>
      <c r="AX40" s="2826" t="e">
        <f t="shared" si="13"/>
        <v>#VALUE!</v>
      </c>
      <c r="AY40" s="2826" t="e">
        <f t="shared" si="14"/>
        <v>#VALUE!</v>
      </c>
      <c r="AZ40" s="2826"/>
      <c r="BA40" s="2826" t="e">
        <f t="shared" si="15"/>
        <v>#VALUE!</v>
      </c>
      <c r="BB40" s="2826" t="e">
        <f t="shared" si="16"/>
        <v>#VALUE!</v>
      </c>
      <c r="BC40" s="2826" t="e">
        <f t="shared" si="17"/>
        <v>#VALUE!</v>
      </c>
    </row>
    <row r="41" spans="1:55" s="2642" customFormat="1" ht="19.5" customHeight="1">
      <c r="A41" s="1867">
        <f t="shared" si="0"/>
        <v>0</v>
      </c>
      <c r="B41" s="4945" t="str">
        <f t="shared" si="2"/>
        <v/>
      </c>
      <c r="C41" s="4946"/>
      <c r="D41" s="4946"/>
      <c r="E41" s="4946"/>
      <c r="F41" s="4946"/>
      <c r="G41" s="4946"/>
      <c r="H41" s="4946"/>
      <c r="I41" s="4947"/>
      <c r="J41" s="4943" t="str">
        <f>IF(AK41="","",AK41)</f>
        <v/>
      </c>
      <c r="K41" s="4944"/>
      <c r="L41" s="4944"/>
      <c r="M41" s="4943" t="str">
        <f>IF(AL41="","",AL41)</f>
        <v/>
      </c>
      <c r="N41" s="4944"/>
      <c r="O41" s="4944"/>
      <c r="P41" s="4948"/>
      <c r="Q41" s="3792" t="str">
        <f t="shared" si="5"/>
        <v/>
      </c>
      <c r="R41" s="4938"/>
      <c r="S41" s="4938"/>
      <c r="T41" s="4103"/>
      <c r="U41" s="3792" t="str">
        <f t="shared" si="6"/>
        <v/>
      </c>
      <c r="V41" s="4938"/>
      <c r="W41" s="4938"/>
      <c r="X41" s="4103"/>
      <c r="Y41" s="4921" t="str">
        <f t="shared" si="18"/>
        <v/>
      </c>
      <c r="Z41" s="3747"/>
      <c r="AA41" s="4921" t="str">
        <f t="shared" si="19"/>
        <v/>
      </c>
      <c r="AB41" s="3747"/>
      <c r="AC41" s="4919" t="str">
        <f t="shared" si="7"/>
        <v/>
      </c>
      <c r="AD41" s="4920"/>
      <c r="AE41" s="4920"/>
      <c r="AF41" s="4920"/>
      <c r="AG41" s="2837">
        <f t="shared" si="8"/>
        <v>0</v>
      </c>
      <c r="AH41" s="1804"/>
      <c r="AI41" s="1804" t="e">
        <f t="shared" si="1"/>
        <v>#VALUE!</v>
      </c>
      <c r="AJ41" s="2650"/>
      <c r="AK41" s="2654"/>
      <c r="AL41" s="2654"/>
      <c r="AM41" s="2652"/>
      <c r="AN41" s="2652"/>
      <c r="AO41" s="2653"/>
      <c r="AP41" s="2652"/>
      <c r="AQ41" s="2651"/>
      <c r="AS41" s="2826" t="e">
        <f t="shared" si="9"/>
        <v>#VALUE!</v>
      </c>
      <c r="AT41" s="2826" t="e">
        <f t="shared" si="10"/>
        <v>#VALUE!</v>
      </c>
      <c r="AU41" s="2826" t="e">
        <f t="shared" si="11"/>
        <v>#VALUE!</v>
      </c>
      <c r="AV41" s="2826"/>
      <c r="AW41" s="2826" t="e">
        <f t="shared" si="12"/>
        <v>#VALUE!</v>
      </c>
      <c r="AX41" s="2826" t="e">
        <f t="shared" si="13"/>
        <v>#VALUE!</v>
      </c>
      <c r="AY41" s="2826" t="e">
        <f t="shared" si="14"/>
        <v>#VALUE!</v>
      </c>
      <c r="AZ41" s="2826"/>
      <c r="BA41" s="2826" t="e">
        <f t="shared" si="15"/>
        <v>#VALUE!</v>
      </c>
      <c r="BB41" s="2826" t="e">
        <f t="shared" si="16"/>
        <v>#VALUE!</v>
      </c>
      <c r="BC41" s="2826" t="e">
        <f t="shared" si="17"/>
        <v>#VALUE!</v>
      </c>
    </row>
    <row r="42" spans="1:55" s="2642" customFormat="1" ht="19.5" customHeight="1">
      <c r="A42" s="1867">
        <f t="shared" si="0"/>
        <v>0</v>
      </c>
      <c r="B42" s="4945" t="str">
        <f t="shared" si="2"/>
        <v/>
      </c>
      <c r="C42" s="4946"/>
      <c r="D42" s="4946"/>
      <c r="E42" s="4946"/>
      <c r="F42" s="4946"/>
      <c r="G42" s="4946"/>
      <c r="H42" s="4946"/>
      <c r="I42" s="4947"/>
      <c r="J42" s="4943" t="str">
        <f t="shared" si="3"/>
        <v/>
      </c>
      <c r="K42" s="4944"/>
      <c r="L42" s="4944"/>
      <c r="M42" s="4943" t="str">
        <f t="shared" si="4"/>
        <v/>
      </c>
      <c r="N42" s="4944"/>
      <c r="O42" s="4944"/>
      <c r="P42" s="4948"/>
      <c r="Q42" s="3792" t="str">
        <f t="shared" si="5"/>
        <v/>
      </c>
      <c r="R42" s="4938"/>
      <c r="S42" s="4938"/>
      <c r="T42" s="4103"/>
      <c r="U42" s="3792" t="str">
        <f t="shared" si="6"/>
        <v/>
      </c>
      <c r="V42" s="4938"/>
      <c r="W42" s="4938"/>
      <c r="X42" s="4103"/>
      <c r="Y42" s="4921" t="str">
        <f t="shared" si="18"/>
        <v/>
      </c>
      <c r="Z42" s="3747"/>
      <c r="AA42" s="4921" t="str">
        <f t="shared" si="19"/>
        <v/>
      </c>
      <c r="AB42" s="3747"/>
      <c r="AC42" s="4919" t="str">
        <f t="shared" si="7"/>
        <v/>
      </c>
      <c r="AD42" s="4920"/>
      <c r="AE42" s="4920"/>
      <c r="AF42" s="4920"/>
      <c r="AG42" s="2837">
        <f t="shared" si="8"/>
        <v>0</v>
      </c>
      <c r="AH42" s="1804"/>
      <c r="AI42" s="1804" t="e">
        <f t="shared" si="1"/>
        <v>#VALUE!</v>
      </c>
      <c r="AJ42" s="2650"/>
      <c r="AK42" s="2654"/>
      <c r="AL42" s="2654"/>
      <c r="AM42" s="2652"/>
      <c r="AN42" s="2652"/>
      <c r="AO42" s="2653"/>
      <c r="AP42" s="2652"/>
      <c r="AQ42" s="2651"/>
      <c r="AS42" s="2826" t="e">
        <f t="shared" si="9"/>
        <v>#VALUE!</v>
      </c>
      <c r="AT42" s="2826" t="e">
        <f t="shared" si="10"/>
        <v>#VALUE!</v>
      </c>
      <c r="AU42" s="2826" t="e">
        <f t="shared" si="11"/>
        <v>#VALUE!</v>
      </c>
      <c r="AV42" s="2826"/>
      <c r="AW42" s="2826" t="e">
        <f t="shared" si="12"/>
        <v>#VALUE!</v>
      </c>
      <c r="AX42" s="2826" t="e">
        <f t="shared" si="13"/>
        <v>#VALUE!</v>
      </c>
      <c r="AY42" s="2826" t="e">
        <f t="shared" si="14"/>
        <v>#VALUE!</v>
      </c>
      <c r="AZ42" s="2826"/>
      <c r="BA42" s="2826" t="e">
        <f t="shared" si="15"/>
        <v>#VALUE!</v>
      </c>
      <c r="BB42" s="2826" t="e">
        <f t="shared" si="16"/>
        <v>#VALUE!</v>
      </c>
      <c r="BC42" s="2826" t="e">
        <f t="shared" si="17"/>
        <v>#VALUE!</v>
      </c>
    </row>
    <row r="43" spans="1:55" s="2642" customFormat="1" ht="19.5" customHeight="1">
      <c r="A43" s="1867">
        <f t="shared" si="0"/>
        <v>0</v>
      </c>
      <c r="B43" s="4945" t="str">
        <f t="shared" si="2"/>
        <v/>
      </c>
      <c r="C43" s="4946"/>
      <c r="D43" s="4946"/>
      <c r="E43" s="4946"/>
      <c r="F43" s="4946"/>
      <c r="G43" s="4946"/>
      <c r="H43" s="4946"/>
      <c r="I43" s="4947"/>
      <c r="J43" s="4943" t="str">
        <f t="shared" si="3"/>
        <v/>
      </c>
      <c r="K43" s="4944"/>
      <c r="L43" s="4944"/>
      <c r="M43" s="4943" t="str">
        <f t="shared" si="4"/>
        <v/>
      </c>
      <c r="N43" s="4944"/>
      <c r="O43" s="4944"/>
      <c r="P43" s="4948"/>
      <c r="Q43" s="3792" t="str">
        <f t="shared" si="5"/>
        <v/>
      </c>
      <c r="R43" s="4938"/>
      <c r="S43" s="4938"/>
      <c r="T43" s="4103"/>
      <c r="U43" s="3792" t="str">
        <f t="shared" si="6"/>
        <v/>
      </c>
      <c r="V43" s="4938"/>
      <c r="W43" s="4938"/>
      <c r="X43" s="4103"/>
      <c r="Y43" s="4921" t="str">
        <f t="shared" si="18"/>
        <v/>
      </c>
      <c r="Z43" s="3747"/>
      <c r="AA43" s="4921" t="str">
        <f t="shared" si="19"/>
        <v/>
      </c>
      <c r="AB43" s="3747"/>
      <c r="AC43" s="4919" t="str">
        <f t="shared" si="7"/>
        <v/>
      </c>
      <c r="AD43" s="4920"/>
      <c r="AE43" s="4920"/>
      <c r="AF43" s="4920"/>
      <c r="AG43" s="2837">
        <f t="shared" si="8"/>
        <v>0</v>
      </c>
      <c r="AH43" s="1804"/>
      <c r="AI43" s="1804" t="e">
        <f t="shared" si="1"/>
        <v>#VALUE!</v>
      </c>
      <c r="AJ43" s="2650"/>
      <c r="AK43" s="2654"/>
      <c r="AL43" s="2654"/>
      <c r="AM43" s="2652"/>
      <c r="AN43" s="2652"/>
      <c r="AO43" s="2653"/>
      <c r="AP43" s="2652"/>
      <c r="AQ43" s="2651"/>
      <c r="AS43" s="2826" t="e">
        <f t="shared" si="9"/>
        <v>#VALUE!</v>
      </c>
      <c r="AT43" s="2826" t="e">
        <f t="shared" si="10"/>
        <v>#VALUE!</v>
      </c>
      <c r="AU43" s="2826" t="e">
        <f t="shared" si="11"/>
        <v>#VALUE!</v>
      </c>
      <c r="AV43" s="2826"/>
      <c r="AW43" s="2826" t="e">
        <f t="shared" si="12"/>
        <v>#VALUE!</v>
      </c>
      <c r="AX43" s="2826" t="e">
        <f t="shared" si="13"/>
        <v>#VALUE!</v>
      </c>
      <c r="AY43" s="2826" t="e">
        <f t="shared" si="14"/>
        <v>#VALUE!</v>
      </c>
      <c r="AZ43" s="2826"/>
      <c r="BA43" s="2826" t="e">
        <f t="shared" si="15"/>
        <v>#VALUE!</v>
      </c>
      <c r="BB43" s="2826" t="e">
        <f t="shared" si="16"/>
        <v>#VALUE!</v>
      </c>
      <c r="BC43" s="2826" t="e">
        <f t="shared" si="17"/>
        <v>#VALUE!</v>
      </c>
    </row>
    <row r="44" spans="1:55" s="2642" customFormat="1" ht="19.5" customHeight="1">
      <c r="A44" s="1867">
        <f t="shared" si="0"/>
        <v>0</v>
      </c>
      <c r="B44" s="4945" t="str">
        <f t="shared" si="2"/>
        <v/>
      </c>
      <c r="C44" s="4946"/>
      <c r="D44" s="4946"/>
      <c r="E44" s="4946"/>
      <c r="F44" s="4946"/>
      <c r="G44" s="4946"/>
      <c r="H44" s="4946"/>
      <c r="I44" s="4947"/>
      <c r="J44" s="4943" t="str">
        <f t="shared" si="3"/>
        <v/>
      </c>
      <c r="K44" s="4944"/>
      <c r="L44" s="4944"/>
      <c r="M44" s="4943" t="str">
        <f t="shared" si="4"/>
        <v/>
      </c>
      <c r="N44" s="4944"/>
      <c r="O44" s="4944"/>
      <c r="P44" s="4948"/>
      <c r="Q44" s="3792" t="str">
        <f t="shared" si="5"/>
        <v/>
      </c>
      <c r="R44" s="4938"/>
      <c r="S44" s="4938"/>
      <c r="T44" s="4103"/>
      <c r="U44" s="3792" t="str">
        <f t="shared" si="6"/>
        <v/>
      </c>
      <c r="V44" s="4938"/>
      <c r="W44" s="4938"/>
      <c r="X44" s="4103"/>
      <c r="Y44" s="4921" t="str">
        <f t="shared" si="18"/>
        <v/>
      </c>
      <c r="Z44" s="3747"/>
      <c r="AA44" s="4921" t="str">
        <f t="shared" si="19"/>
        <v/>
      </c>
      <c r="AB44" s="3747"/>
      <c r="AC44" s="4919" t="str">
        <f t="shared" si="7"/>
        <v/>
      </c>
      <c r="AD44" s="4920"/>
      <c r="AE44" s="4920"/>
      <c r="AF44" s="4920"/>
      <c r="AG44" s="2837">
        <f t="shared" si="8"/>
        <v>0</v>
      </c>
      <c r="AH44" s="1804"/>
      <c r="AI44" s="1804" t="e">
        <f t="shared" si="1"/>
        <v>#VALUE!</v>
      </c>
      <c r="AJ44" s="2650"/>
      <c r="AK44" s="2654"/>
      <c r="AL44" s="2654"/>
      <c r="AM44" s="2652"/>
      <c r="AN44" s="2652"/>
      <c r="AO44" s="2653"/>
      <c r="AP44" s="2652"/>
      <c r="AQ44" s="2651"/>
      <c r="AS44" s="2826" t="e">
        <f t="shared" si="9"/>
        <v>#VALUE!</v>
      </c>
      <c r="AT44" s="2826" t="e">
        <f t="shared" si="10"/>
        <v>#VALUE!</v>
      </c>
      <c r="AU44" s="2826" t="e">
        <f t="shared" si="11"/>
        <v>#VALUE!</v>
      </c>
      <c r="AV44" s="2826"/>
      <c r="AW44" s="2826" t="e">
        <f t="shared" si="12"/>
        <v>#VALUE!</v>
      </c>
      <c r="AX44" s="2826" t="e">
        <f t="shared" si="13"/>
        <v>#VALUE!</v>
      </c>
      <c r="AY44" s="2826" t="e">
        <f t="shared" si="14"/>
        <v>#VALUE!</v>
      </c>
      <c r="AZ44" s="2826"/>
      <c r="BA44" s="2826" t="e">
        <f t="shared" si="15"/>
        <v>#VALUE!</v>
      </c>
      <c r="BB44" s="2826" t="e">
        <f t="shared" si="16"/>
        <v>#VALUE!</v>
      </c>
      <c r="BC44" s="2826" t="e">
        <f t="shared" si="17"/>
        <v>#VALUE!</v>
      </c>
    </row>
    <row r="45" spans="1:55" s="2642" customFormat="1" ht="19.5" customHeight="1">
      <c r="A45" s="1867">
        <f t="shared" si="0"/>
        <v>0</v>
      </c>
      <c r="B45" s="4945" t="str">
        <f t="shared" si="2"/>
        <v/>
      </c>
      <c r="C45" s="4946"/>
      <c r="D45" s="4946"/>
      <c r="E45" s="4946"/>
      <c r="F45" s="4946"/>
      <c r="G45" s="4946"/>
      <c r="H45" s="4946"/>
      <c r="I45" s="4947"/>
      <c r="J45" s="4943" t="str">
        <f t="shared" si="3"/>
        <v/>
      </c>
      <c r="K45" s="4944"/>
      <c r="L45" s="4944"/>
      <c r="M45" s="4943" t="str">
        <f t="shared" si="4"/>
        <v/>
      </c>
      <c r="N45" s="4944"/>
      <c r="O45" s="4944"/>
      <c r="P45" s="4948"/>
      <c r="Q45" s="3792" t="str">
        <f t="shared" si="5"/>
        <v/>
      </c>
      <c r="R45" s="4938"/>
      <c r="S45" s="4938"/>
      <c r="T45" s="4103"/>
      <c r="U45" s="3792" t="str">
        <f t="shared" si="6"/>
        <v/>
      </c>
      <c r="V45" s="4938"/>
      <c r="W45" s="4938"/>
      <c r="X45" s="4103"/>
      <c r="Y45" s="4921" t="str">
        <f t="shared" si="18"/>
        <v/>
      </c>
      <c r="Z45" s="3747"/>
      <c r="AA45" s="4921" t="str">
        <f t="shared" si="19"/>
        <v/>
      </c>
      <c r="AB45" s="3747"/>
      <c r="AC45" s="4919" t="str">
        <f t="shared" si="7"/>
        <v/>
      </c>
      <c r="AD45" s="4920"/>
      <c r="AE45" s="4920"/>
      <c r="AF45" s="4920"/>
      <c r="AG45" s="2837">
        <f t="shared" si="8"/>
        <v>0</v>
      </c>
      <c r="AH45" s="1804"/>
      <c r="AI45" s="1804" t="e">
        <f t="shared" si="1"/>
        <v>#VALUE!</v>
      </c>
      <c r="AJ45" s="2650"/>
      <c r="AK45" s="2654"/>
      <c r="AL45" s="2654"/>
      <c r="AM45" s="2652"/>
      <c r="AN45" s="2652"/>
      <c r="AO45" s="2653"/>
      <c r="AP45" s="2652"/>
      <c r="AQ45" s="2651"/>
      <c r="AS45" s="2826" t="e">
        <f t="shared" si="9"/>
        <v>#VALUE!</v>
      </c>
      <c r="AT45" s="2826" t="e">
        <f t="shared" si="10"/>
        <v>#VALUE!</v>
      </c>
      <c r="AU45" s="2826" t="e">
        <f t="shared" si="11"/>
        <v>#VALUE!</v>
      </c>
      <c r="AV45" s="2826"/>
      <c r="AW45" s="2826" t="e">
        <f t="shared" si="12"/>
        <v>#VALUE!</v>
      </c>
      <c r="AX45" s="2826" t="e">
        <f t="shared" si="13"/>
        <v>#VALUE!</v>
      </c>
      <c r="AY45" s="2826" t="e">
        <f t="shared" si="14"/>
        <v>#VALUE!</v>
      </c>
      <c r="AZ45" s="2826"/>
      <c r="BA45" s="2826" t="e">
        <f t="shared" si="15"/>
        <v>#VALUE!</v>
      </c>
      <c r="BB45" s="2826" t="e">
        <f t="shared" si="16"/>
        <v>#VALUE!</v>
      </c>
      <c r="BC45" s="2826" t="e">
        <f t="shared" si="17"/>
        <v>#VALUE!</v>
      </c>
    </row>
    <row r="46" spans="1:55" s="2642" customFormat="1" ht="19.5" customHeight="1">
      <c r="A46" s="1867">
        <f t="shared" si="0"/>
        <v>0</v>
      </c>
      <c r="B46" s="4945" t="str">
        <f t="shared" si="2"/>
        <v/>
      </c>
      <c r="C46" s="4946"/>
      <c r="D46" s="4946"/>
      <c r="E46" s="4946"/>
      <c r="F46" s="4946"/>
      <c r="G46" s="4946"/>
      <c r="H46" s="4946"/>
      <c r="I46" s="4947"/>
      <c r="J46" s="4943" t="str">
        <f t="shared" si="3"/>
        <v/>
      </c>
      <c r="K46" s="4944"/>
      <c r="L46" s="4944"/>
      <c r="M46" s="4943" t="str">
        <f t="shared" si="4"/>
        <v/>
      </c>
      <c r="N46" s="4944"/>
      <c r="O46" s="4944"/>
      <c r="P46" s="4948"/>
      <c r="Q46" s="3792" t="str">
        <f t="shared" si="5"/>
        <v/>
      </c>
      <c r="R46" s="4938"/>
      <c r="S46" s="4938"/>
      <c r="T46" s="4103"/>
      <c r="U46" s="3792" t="str">
        <f t="shared" si="6"/>
        <v/>
      </c>
      <c r="V46" s="4938"/>
      <c r="W46" s="4938"/>
      <c r="X46" s="4103"/>
      <c r="Y46" s="4921" t="str">
        <f t="shared" si="18"/>
        <v/>
      </c>
      <c r="Z46" s="3747"/>
      <c r="AA46" s="4921" t="str">
        <f t="shared" si="19"/>
        <v/>
      </c>
      <c r="AB46" s="3747"/>
      <c r="AC46" s="4919" t="str">
        <f t="shared" si="7"/>
        <v/>
      </c>
      <c r="AD46" s="4920"/>
      <c r="AE46" s="4920"/>
      <c r="AF46" s="4920"/>
      <c r="AG46" s="2837">
        <f t="shared" si="8"/>
        <v>0</v>
      </c>
      <c r="AH46" s="1804"/>
      <c r="AI46" s="1804" t="e">
        <f t="shared" si="1"/>
        <v>#VALUE!</v>
      </c>
      <c r="AJ46" s="2650"/>
      <c r="AK46" s="2654"/>
      <c r="AL46" s="2654"/>
      <c r="AM46" s="2652"/>
      <c r="AN46" s="2652"/>
      <c r="AO46" s="2653"/>
      <c r="AP46" s="2652"/>
      <c r="AQ46" s="2651"/>
      <c r="AS46" s="2826" t="e">
        <f t="shared" si="9"/>
        <v>#VALUE!</v>
      </c>
      <c r="AT46" s="2826" t="e">
        <f t="shared" si="10"/>
        <v>#VALUE!</v>
      </c>
      <c r="AU46" s="2826" t="e">
        <f t="shared" si="11"/>
        <v>#VALUE!</v>
      </c>
      <c r="AV46" s="2826"/>
      <c r="AW46" s="2826" t="e">
        <f t="shared" si="12"/>
        <v>#VALUE!</v>
      </c>
      <c r="AX46" s="2826" t="e">
        <f t="shared" si="13"/>
        <v>#VALUE!</v>
      </c>
      <c r="AY46" s="2826" t="e">
        <f t="shared" si="14"/>
        <v>#VALUE!</v>
      </c>
      <c r="AZ46" s="2826"/>
      <c r="BA46" s="2826" t="e">
        <f t="shared" si="15"/>
        <v>#VALUE!</v>
      </c>
      <c r="BB46" s="2826" t="e">
        <f t="shared" si="16"/>
        <v>#VALUE!</v>
      </c>
      <c r="BC46" s="2826" t="e">
        <f t="shared" si="17"/>
        <v>#VALUE!</v>
      </c>
    </row>
    <row r="47" spans="1:55" s="2642" customFormat="1" ht="19.5" customHeight="1">
      <c r="A47" s="1867">
        <f t="shared" si="0"/>
        <v>0</v>
      </c>
      <c r="B47" s="4945" t="str">
        <f t="shared" si="2"/>
        <v/>
      </c>
      <c r="C47" s="4946"/>
      <c r="D47" s="4946"/>
      <c r="E47" s="4946"/>
      <c r="F47" s="4946"/>
      <c r="G47" s="4946"/>
      <c r="H47" s="4946"/>
      <c r="I47" s="4947"/>
      <c r="J47" s="4943" t="str">
        <f t="shared" si="3"/>
        <v/>
      </c>
      <c r="K47" s="4944"/>
      <c r="L47" s="4944"/>
      <c r="M47" s="4943" t="str">
        <f t="shared" si="4"/>
        <v/>
      </c>
      <c r="N47" s="4944"/>
      <c r="O47" s="4944"/>
      <c r="P47" s="4948"/>
      <c r="Q47" s="3792" t="str">
        <f t="shared" si="5"/>
        <v/>
      </c>
      <c r="R47" s="4938"/>
      <c r="S47" s="4938"/>
      <c r="T47" s="4103"/>
      <c r="U47" s="3792" t="str">
        <f t="shared" si="6"/>
        <v/>
      </c>
      <c r="V47" s="4938"/>
      <c r="W47" s="4938"/>
      <c r="X47" s="4103"/>
      <c r="Y47" s="4921" t="str">
        <f t="shared" si="18"/>
        <v/>
      </c>
      <c r="Z47" s="3747"/>
      <c r="AA47" s="4921" t="str">
        <f t="shared" si="19"/>
        <v/>
      </c>
      <c r="AB47" s="3747"/>
      <c r="AC47" s="4919" t="str">
        <f t="shared" si="7"/>
        <v/>
      </c>
      <c r="AD47" s="4920"/>
      <c r="AE47" s="4920"/>
      <c r="AF47" s="4920"/>
      <c r="AG47" s="2837">
        <f t="shared" si="8"/>
        <v>0</v>
      </c>
      <c r="AH47" s="1804"/>
      <c r="AI47" s="1804" t="e">
        <f t="shared" si="1"/>
        <v>#VALUE!</v>
      </c>
      <c r="AJ47" s="2650"/>
      <c r="AK47" s="2654"/>
      <c r="AL47" s="2654"/>
      <c r="AM47" s="2652"/>
      <c r="AN47" s="2652"/>
      <c r="AO47" s="2653"/>
      <c r="AP47" s="2652"/>
      <c r="AQ47" s="2651"/>
      <c r="AS47" s="2826" t="e">
        <f t="shared" si="9"/>
        <v>#VALUE!</v>
      </c>
      <c r="AT47" s="2826" t="e">
        <f t="shared" si="10"/>
        <v>#VALUE!</v>
      </c>
      <c r="AU47" s="2826" t="e">
        <f t="shared" si="11"/>
        <v>#VALUE!</v>
      </c>
      <c r="AV47" s="2826"/>
      <c r="AW47" s="2826" t="e">
        <f t="shared" si="12"/>
        <v>#VALUE!</v>
      </c>
      <c r="AX47" s="2826" t="e">
        <f t="shared" si="13"/>
        <v>#VALUE!</v>
      </c>
      <c r="AY47" s="2826" t="e">
        <f t="shared" si="14"/>
        <v>#VALUE!</v>
      </c>
      <c r="AZ47" s="2826"/>
      <c r="BA47" s="2826" t="e">
        <f t="shared" si="15"/>
        <v>#VALUE!</v>
      </c>
      <c r="BB47" s="2826" t="e">
        <f t="shared" si="16"/>
        <v>#VALUE!</v>
      </c>
      <c r="BC47" s="2826" t="e">
        <f t="shared" si="17"/>
        <v>#VALUE!</v>
      </c>
    </row>
    <row r="48" spans="1:55" s="2642" customFormat="1" ht="19.5" customHeight="1">
      <c r="A48" s="1867">
        <f t="shared" si="0"/>
        <v>0</v>
      </c>
      <c r="B48" s="4945" t="str">
        <f t="shared" si="2"/>
        <v/>
      </c>
      <c r="C48" s="4946"/>
      <c r="D48" s="4946"/>
      <c r="E48" s="4946"/>
      <c r="F48" s="4946"/>
      <c r="G48" s="4946"/>
      <c r="H48" s="4946"/>
      <c r="I48" s="4947"/>
      <c r="J48" s="4943" t="str">
        <f t="shared" si="3"/>
        <v/>
      </c>
      <c r="K48" s="4944"/>
      <c r="L48" s="4944"/>
      <c r="M48" s="4943" t="str">
        <f t="shared" si="4"/>
        <v/>
      </c>
      <c r="N48" s="4944"/>
      <c r="O48" s="4944"/>
      <c r="P48" s="4948"/>
      <c r="Q48" s="3792" t="str">
        <f t="shared" si="5"/>
        <v/>
      </c>
      <c r="R48" s="4938"/>
      <c r="S48" s="4938"/>
      <c r="T48" s="4103"/>
      <c r="U48" s="3792" t="str">
        <f t="shared" si="6"/>
        <v/>
      </c>
      <c r="V48" s="4938"/>
      <c r="W48" s="4938"/>
      <c r="X48" s="4103"/>
      <c r="Y48" s="4921" t="str">
        <f t="shared" si="18"/>
        <v/>
      </c>
      <c r="Z48" s="3747"/>
      <c r="AA48" s="4921" t="str">
        <f t="shared" si="19"/>
        <v/>
      </c>
      <c r="AB48" s="3747"/>
      <c r="AC48" s="4919" t="str">
        <f t="shared" si="7"/>
        <v/>
      </c>
      <c r="AD48" s="4920"/>
      <c r="AE48" s="4920"/>
      <c r="AF48" s="4920"/>
      <c r="AG48" s="2837">
        <f t="shared" si="8"/>
        <v>0</v>
      </c>
      <c r="AH48" s="1804"/>
      <c r="AI48" s="1804" t="e">
        <f t="shared" si="1"/>
        <v>#VALUE!</v>
      </c>
      <c r="AJ48" s="2650"/>
      <c r="AK48" s="2654"/>
      <c r="AL48" s="2654"/>
      <c r="AM48" s="2652"/>
      <c r="AN48" s="2652"/>
      <c r="AO48" s="2653"/>
      <c r="AP48" s="2652"/>
      <c r="AQ48" s="2651"/>
      <c r="AS48" s="2826" t="e">
        <f t="shared" si="9"/>
        <v>#VALUE!</v>
      </c>
      <c r="AT48" s="2826" t="e">
        <f t="shared" si="10"/>
        <v>#VALUE!</v>
      </c>
      <c r="AU48" s="2826" t="e">
        <f t="shared" si="11"/>
        <v>#VALUE!</v>
      </c>
      <c r="AV48" s="2826"/>
      <c r="AW48" s="2826" t="e">
        <f t="shared" si="12"/>
        <v>#VALUE!</v>
      </c>
      <c r="AX48" s="2826" t="e">
        <f t="shared" si="13"/>
        <v>#VALUE!</v>
      </c>
      <c r="AY48" s="2826" t="e">
        <f t="shared" si="14"/>
        <v>#VALUE!</v>
      </c>
      <c r="AZ48" s="2826"/>
      <c r="BA48" s="2826" t="e">
        <f t="shared" si="15"/>
        <v>#VALUE!</v>
      </c>
      <c r="BB48" s="2826" t="e">
        <f t="shared" si="16"/>
        <v>#VALUE!</v>
      </c>
      <c r="BC48" s="2826" t="e">
        <f t="shared" si="17"/>
        <v>#VALUE!</v>
      </c>
    </row>
    <row r="49" spans="1:55" s="2642" customFormat="1" ht="19.5" customHeight="1">
      <c r="A49" s="1867">
        <f t="shared" si="0"/>
        <v>0</v>
      </c>
      <c r="B49" s="4945" t="str">
        <f t="shared" si="2"/>
        <v/>
      </c>
      <c r="C49" s="4946"/>
      <c r="D49" s="4946"/>
      <c r="E49" s="4946"/>
      <c r="F49" s="4946"/>
      <c r="G49" s="4946"/>
      <c r="H49" s="4946"/>
      <c r="I49" s="4947"/>
      <c r="J49" s="4943" t="str">
        <f t="shared" si="3"/>
        <v/>
      </c>
      <c r="K49" s="4944"/>
      <c r="L49" s="4944"/>
      <c r="M49" s="4943" t="str">
        <f t="shared" si="4"/>
        <v/>
      </c>
      <c r="N49" s="4944"/>
      <c r="O49" s="4944"/>
      <c r="P49" s="4948"/>
      <c r="Q49" s="3792" t="str">
        <f t="shared" si="5"/>
        <v/>
      </c>
      <c r="R49" s="4938"/>
      <c r="S49" s="4938"/>
      <c r="T49" s="4103"/>
      <c r="U49" s="3792" t="str">
        <f t="shared" si="6"/>
        <v/>
      </c>
      <c r="V49" s="4938"/>
      <c r="W49" s="4938"/>
      <c r="X49" s="4103"/>
      <c r="Y49" s="4921" t="str">
        <f t="shared" si="18"/>
        <v/>
      </c>
      <c r="Z49" s="3747"/>
      <c r="AA49" s="4921" t="str">
        <f t="shared" si="19"/>
        <v/>
      </c>
      <c r="AB49" s="3747"/>
      <c r="AC49" s="4919" t="str">
        <f t="shared" si="7"/>
        <v/>
      </c>
      <c r="AD49" s="4920"/>
      <c r="AE49" s="4920"/>
      <c r="AF49" s="4920"/>
      <c r="AG49" s="2837">
        <f t="shared" si="8"/>
        <v>0</v>
      </c>
      <c r="AH49" s="1804"/>
      <c r="AI49" s="1804" t="e">
        <f t="shared" si="1"/>
        <v>#VALUE!</v>
      </c>
      <c r="AJ49" s="2650"/>
      <c r="AK49" s="2654"/>
      <c r="AL49" s="2654"/>
      <c r="AM49" s="2652"/>
      <c r="AN49" s="2652"/>
      <c r="AO49" s="2653"/>
      <c r="AP49" s="2652"/>
      <c r="AQ49" s="2651"/>
      <c r="AS49" s="2826" t="e">
        <f t="shared" si="9"/>
        <v>#VALUE!</v>
      </c>
      <c r="AT49" s="2826" t="e">
        <f t="shared" si="10"/>
        <v>#VALUE!</v>
      </c>
      <c r="AU49" s="2826" t="e">
        <f t="shared" si="11"/>
        <v>#VALUE!</v>
      </c>
      <c r="AV49" s="2826"/>
      <c r="AW49" s="2826" t="e">
        <f t="shared" si="12"/>
        <v>#VALUE!</v>
      </c>
      <c r="AX49" s="2826" t="e">
        <f t="shared" si="13"/>
        <v>#VALUE!</v>
      </c>
      <c r="AY49" s="2826" t="e">
        <f t="shared" si="14"/>
        <v>#VALUE!</v>
      </c>
      <c r="AZ49" s="2826"/>
      <c r="BA49" s="2826" t="e">
        <f t="shared" si="15"/>
        <v>#VALUE!</v>
      </c>
      <c r="BB49" s="2826" t="e">
        <f t="shared" si="16"/>
        <v>#VALUE!</v>
      </c>
      <c r="BC49" s="2826" t="e">
        <f t="shared" si="17"/>
        <v>#VALUE!</v>
      </c>
    </row>
    <row r="50" spans="1:55" s="2642" customFormat="1" ht="19.5" customHeight="1">
      <c r="A50" s="1867">
        <f t="shared" si="0"/>
        <v>0</v>
      </c>
      <c r="B50" s="4945" t="str">
        <f t="shared" si="2"/>
        <v/>
      </c>
      <c r="C50" s="4946"/>
      <c r="D50" s="4946"/>
      <c r="E50" s="4946"/>
      <c r="F50" s="4946"/>
      <c r="G50" s="4946"/>
      <c r="H50" s="4946"/>
      <c r="I50" s="4947"/>
      <c r="J50" s="4943" t="str">
        <f t="shared" si="3"/>
        <v/>
      </c>
      <c r="K50" s="4944"/>
      <c r="L50" s="4944"/>
      <c r="M50" s="4943" t="str">
        <f t="shared" si="4"/>
        <v/>
      </c>
      <c r="N50" s="4944"/>
      <c r="O50" s="4944"/>
      <c r="P50" s="4948"/>
      <c r="Q50" s="3792" t="str">
        <f t="shared" si="5"/>
        <v/>
      </c>
      <c r="R50" s="4938"/>
      <c r="S50" s="4938"/>
      <c r="T50" s="4103"/>
      <c r="U50" s="3792" t="str">
        <f t="shared" si="6"/>
        <v/>
      </c>
      <c r="V50" s="4938"/>
      <c r="W50" s="4938"/>
      <c r="X50" s="4103"/>
      <c r="Y50" s="4921" t="str">
        <f t="shared" si="18"/>
        <v/>
      </c>
      <c r="Z50" s="3747"/>
      <c r="AA50" s="4921" t="str">
        <f t="shared" si="19"/>
        <v/>
      </c>
      <c r="AB50" s="3747"/>
      <c r="AC50" s="4919" t="str">
        <f t="shared" si="7"/>
        <v/>
      </c>
      <c r="AD50" s="4920"/>
      <c r="AE50" s="4920"/>
      <c r="AF50" s="4920"/>
      <c r="AG50" s="2837">
        <f t="shared" si="8"/>
        <v>0</v>
      </c>
      <c r="AH50" s="1804"/>
      <c r="AI50" s="1804" t="e">
        <f t="shared" si="1"/>
        <v>#VALUE!</v>
      </c>
      <c r="AJ50" s="2650"/>
      <c r="AK50" s="2654"/>
      <c r="AL50" s="2654"/>
      <c r="AM50" s="2652"/>
      <c r="AN50" s="2652"/>
      <c r="AO50" s="2653"/>
      <c r="AP50" s="2652"/>
      <c r="AQ50" s="2651"/>
      <c r="AS50" s="2826" t="e">
        <f t="shared" si="9"/>
        <v>#VALUE!</v>
      </c>
      <c r="AT50" s="2826" t="e">
        <f t="shared" si="10"/>
        <v>#VALUE!</v>
      </c>
      <c r="AU50" s="2826" t="e">
        <f t="shared" si="11"/>
        <v>#VALUE!</v>
      </c>
      <c r="AV50" s="2826"/>
      <c r="AW50" s="2826" t="e">
        <f t="shared" si="12"/>
        <v>#VALUE!</v>
      </c>
      <c r="AX50" s="2826" t="e">
        <f t="shared" si="13"/>
        <v>#VALUE!</v>
      </c>
      <c r="AY50" s="2826" t="e">
        <f t="shared" si="14"/>
        <v>#VALUE!</v>
      </c>
      <c r="AZ50" s="2826"/>
      <c r="BA50" s="2826" t="e">
        <f t="shared" si="15"/>
        <v>#VALUE!</v>
      </c>
      <c r="BB50" s="2826" t="e">
        <f t="shared" si="16"/>
        <v>#VALUE!</v>
      </c>
      <c r="BC50" s="2826" t="e">
        <f t="shared" si="17"/>
        <v>#VALUE!</v>
      </c>
    </row>
    <row r="51" spans="1:55" s="2642" customFormat="1" ht="19.5" customHeight="1">
      <c r="A51" s="1867">
        <f t="shared" si="0"/>
        <v>0</v>
      </c>
      <c r="B51" s="4945" t="str">
        <f t="shared" si="2"/>
        <v/>
      </c>
      <c r="C51" s="4946"/>
      <c r="D51" s="4946"/>
      <c r="E51" s="4946"/>
      <c r="F51" s="4946"/>
      <c r="G51" s="4946"/>
      <c r="H51" s="4946"/>
      <c r="I51" s="4947"/>
      <c r="J51" s="4943" t="str">
        <f t="shared" si="3"/>
        <v/>
      </c>
      <c r="K51" s="4944"/>
      <c r="L51" s="4944"/>
      <c r="M51" s="4943" t="str">
        <f t="shared" si="4"/>
        <v/>
      </c>
      <c r="N51" s="4944"/>
      <c r="O51" s="4944"/>
      <c r="P51" s="4948"/>
      <c r="Q51" s="3792" t="str">
        <f t="shared" si="5"/>
        <v/>
      </c>
      <c r="R51" s="4938"/>
      <c r="S51" s="4938"/>
      <c r="T51" s="4103"/>
      <c r="U51" s="3792" t="str">
        <f t="shared" si="6"/>
        <v/>
      </c>
      <c r="V51" s="4938"/>
      <c r="W51" s="4938"/>
      <c r="X51" s="4103"/>
      <c r="Y51" s="4921" t="str">
        <f t="shared" si="18"/>
        <v/>
      </c>
      <c r="Z51" s="3747"/>
      <c r="AA51" s="4921" t="str">
        <f t="shared" si="19"/>
        <v/>
      </c>
      <c r="AB51" s="3747"/>
      <c r="AC51" s="4919" t="str">
        <f t="shared" si="7"/>
        <v/>
      </c>
      <c r="AD51" s="4920"/>
      <c r="AE51" s="4920"/>
      <c r="AF51" s="4920"/>
      <c r="AG51" s="2837">
        <f t="shared" si="8"/>
        <v>0</v>
      </c>
      <c r="AH51" s="1804"/>
      <c r="AI51" s="1804" t="e">
        <f t="shared" si="1"/>
        <v>#VALUE!</v>
      </c>
      <c r="AJ51" s="2650"/>
      <c r="AK51" s="2654"/>
      <c r="AL51" s="2654"/>
      <c r="AM51" s="2652"/>
      <c r="AN51" s="2652"/>
      <c r="AO51" s="2653"/>
      <c r="AP51" s="2652"/>
      <c r="AQ51" s="2651"/>
      <c r="AS51" s="2826" t="e">
        <f t="shared" si="9"/>
        <v>#VALUE!</v>
      </c>
      <c r="AT51" s="2826" t="e">
        <f t="shared" si="10"/>
        <v>#VALUE!</v>
      </c>
      <c r="AU51" s="2826" t="e">
        <f t="shared" si="11"/>
        <v>#VALUE!</v>
      </c>
      <c r="AV51" s="2826"/>
      <c r="AW51" s="2826" t="e">
        <f t="shared" si="12"/>
        <v>#VALUE!</v>
      </c>
      <c r="AX51" s="2826" t="e">
        <f t="shared" si="13"/>
        <v>#VALUE!</v>
      </c>
      <c r="AY51" s="2826" t="e">
        <f t="shared" si="14"/>
        <v>#VALUE!</v>
      </c>
      <c r="AZ51" s="2826"/>
      <c r="BA51" s="2826" t="e">
        <f t="shared" si="15"/>
        <v>#VALUE!</v>
      </c>
      <c r="BB51" s="2826" t="e">
        <f t="shared" si="16"/>
        <v>#VALUE!</v>
      </c>
      <c r="BC51" s="2826" t="e">
        <f t="shared" si="17"/>
        <v>#VALUE!</v>
      </c>
    </row>
    <row r="52" spans="1:55" s="2642" customFormat="1" ht="19.5" customHeight="1">
      <c r="A52" s="1867">
        <f t="shared" si="0"/>
        <v>0</v>
      </c>
      <c r="B52" s="4945" t="str">
        <f t="shared" si="2"/>
        <v/>
      </c>
      <c r="C52" s="4946"/>
      <c r="D52" s="4946"/>
      <c r="E52" s="4946"/>
      <c r="F52" s="4946"/>
      <c r="G52" s="4946"/>
      <c r="H52" s="4946"/>
      <c r="I52" s="4947"/>
      <c r="J52" s="4943" t="str">
        <f t="shared" si="3"/>
        <v/>
      </c>
      <c r="K52" s="4944"/>
      <c r="L52" s="4944"/>
      <c r="M52" s="4943" t="str">
        <f t="shared" si="4"/>
        <v/>
      </c>
      <c r="N52" s="4944"/>
      <c r="O52" s="4944"/>
      <c r="P52" s="4948"/>
      <c r="Q52" s="3792" t="str">
        <f t="shared" si="5"/>
        <v/>
      </c>
      <c r="R52" s="4938"/>
      <c r="S52" s="4938"/>
      <c r="T52" s="4103"/>
      <c r="U52" s="3792" t="str">
        <f t="shared" si="6"/>
        <v/>
      </c>
      <c r="V52" s="4938"/>
      <c r="W52" s="4938"/>
      <c r="X52" s="4103"/>
      <c r="Y52" s="4921" t="str">
        <f t="shared" si="18"/>
        <v/>
      </c>
      <c r="Z52" s="3747"/>
      <c r="AA52" s="4921" t="str">
        <f t="shared" si="19"/>
        <v/>
      </c>
      <c r="AB52" s="3747"/>
      <c r="AC52" s="4919" t="str">
        <f t="shared" si="7"/>
        <v/>
      </c>
      <c r="AD52" s="4920"/>
      <c r="AE52" s="4920"/>
      <c r="AF52" s="4920"/>
      <c r="AG52" s="2837">
        <f t="shared" si="8"/>
        <v>0</v>
      </c>
      <c r="AH52" s="1804"/>
      <c r="AI52" s="1804" t="e">
        <f t="shared" si="1"/>
        <v>#VALUE!</v>
      </c>
      <c r="AJ52" s="2650"/>
      <c r="AK52" s="2654"/>
      <c r="AL52" s="2654"/>
      <c r="AM52" s="2652"/>
      <c r="AN52" s="2652"/>
      <c r="AO52" s="2653"/>
      <c r="AP52" s="2652"/>
      <c r="AQ52" s="2651"/>
      <c r="AS52" s="2826" t="e">
        <f t="shared" si="9"/>
        <v>#VALUE!</v>
      </c>
      <c r="AT52" s="2826" t="e">
        <f t="shared" si="10"/>
        <v>#VALUE!</v>
      </c>
      <c r="AU52" s="2826" t="e">
        <f t="shared" si="11"/>
        <v>#VALUE!</v>
      </c>
      <c r="AV52" s="2826"/>
      <c r="AW52" s="2826" t="e">
        <f t="shared" si="12"/>
        <v>#VALUE!</v>
      </c>
      <c r="AX52" s="2826" t="e">
        <f t="shared" si="13"/>
        <v>#VALUE!</v>
      </c>
      <c r="AY52" s="2826" t="e">
        <f t="shared" si="14"/>
        <v>#VALUE!</v>
      </c>
      <c r="AZ52" s="2826"/>
      <c r="BA52" s="2826" t="e">
        <f t="shared" si="15"/>
        <v>#VALUE!</v>
      </c>
      <c r="BB52" s="2826" t="e">
        <f t="shared" si="16"/>
        <v>#VALUE!</v>
      </c>
      <c r="BC52" s="2826" t="e">
        <f t="shared" si="17"/>
        <v>#VALUE!</v>
      </c>
    </row>
    <row r="53" spans="1:55" s="2642" customFormat="1" ht="19.5" customHeight="1">
      <c r="A53" s="1867">
        <f t="shared" si="0"/>
        <v>0</v>
      </c>
      <c r="B53" s="4945" t="str">
        <f t="shared" si="2"/>
        <v/>
      </c>
      <c r="C53" s="4946"/>
      <c r="D53" s="4946"/>
      <c r="E53" s="4946"/>
      <c r="F53" s="4946"/>
      <c r="G53" s="4946"/>
      <c r="H53" s="4946"/>
      <c r="I53" s="4947"/>
      <c r="J53" s="4943" t="str">
        <f t="shared" si="3"/>
        <v/>
      </c>
      <c r="K53" s="4944"/>
      <c r="L53" s="4944"/>
      <c r="M53" s="4943" t="str">
        <f t="shared" si="4"/>
        <v/>
      </c>
      <c r="N53" s="4944"/>
      <c r="O53" s="4944"/>
      <c r="P53" s="4948"/>
      <c r="Q53" s="3792" t="str">
        <f t="shared" si="5"/>
        <v/>
      </c>
      <c r="R53" s="4938"/>
      <c r="S53" s="4938"/>
      <c r="T53" s="4103"/>
      <c r="U53" s="3792" t="str">
        <f t="shared" si="6"/>
        <v/>
      </c>
      <c r="V53" s="4938"/>
      <c r="W53" s="4938"/>
      <c r="X53" s="4103"/>
      <c r="Y53" s="4921" t="str">
        <f t="shared" si="18"/>
        <v/>
      </c>
      <c r="Z53" s="3747"/>
      <c r="AA53" s="4921" t="str">
        <f t="shared" si="19"/>
        <v/>
      </c>
      <c r="AB53" s="3747"/>
      <c r="AC53" s="4919" t="str">
        <f t="shared" si="7"/>
        <v/>
      </c>
      <c r="AD53" s="4920"/>
      <c r="AE53" s="4920"/>
      <c r="AF53" s="4920"/>
      <c r="AG53" s="2837">
        <f t="shared" si="8"/>
        <v>0</v>
      </c>
      <c r="AH53" s="1804"/>
      <c r="AI53" s="1804" t="e">
        <f t="shared" si="1"/>
        <v>#VALUE!</v>
      </c>
      <c r="AJ53" s="2650"/>
      <c r="AK53" s="2654"/>
      <c r="AL53" s="2654"/>
      <c r="AM53" s="2652"/>
      <c r="AN53" s="2652"/>
      <c r="AO53" s="2653"/>
      <c r="AP53" s="2652"/>
      <c r="AQ53" s="2651"/>
      <c r="AS53" s="2826" t="e">
        <f t="shared" si="9"/>
        <v>#VALUE!</v>
      </c>
      <c r="AT53" s="2826" t="e">
        <f t="shared" si="10"/>
        <v>#VALUE!</v>
      </c>
      <c r="AU53" s="2826" t="e">
        <f t="shared" si="11"/>
        <v>#VALUE!</v>
      </c>
      <c r="AV53" s="2826"/>
      <c r="AW53" s="2826" t="e">
        <f t="shared" si="12"/>
        <v>#VALUE!</v>
      </c>
      <c r="AX53" s="2826" t="e">
        <f t="shared" si="13"/>
        <v>#VALUE!</v>
      </c>
      <c r="AY53" s="2826" t="e">
        <f t="shared" si="14"/>
        <v>#VALUE!</v>
      </c>
      <c r="AZ53" s="2826"/>
      <c r="BA53" s="2826" t="e">
        <f t="shared" si="15"/>
        <v>#VALUE!</v>
      </c>
      <c r="BB53" s="2826" t="e">
        <f t="shared" si="16"/>
        <v>#VALUE!</v>
      </c>
      <c r="BC53" s="2826" t="e">
        <f t="shared" si="17"/>
        <v>#VALUE!</v>
      </c>
    </row>
    <row r="54" spans="1:55" s="2642" customFormat="1" ht="19.5" customHeight="1">
      <c r="A54" s="1867">
        <f t="shared" si="0"/>
        <v>0</v>
      </c>
      <c r="B54" s="4945" t="str">
        <f t="shared" si="2"/>
        <v/>
      </c>
      <c r="C54" s="4946"/>
      <c r="D54" s="4946"/>
      <c r="E54" s="4946"/>
      <c r="F54" s="4946"/>
      <c r="G54" s="4946"/>
      <c r="H54" s="4946"/>
      <c r="I54" s="4947"/>
      <c r="J54" s="4943" t="str">
        <f t="shared" si="3"/>
        <v/>
      </c>
      <c r="K54" s="4944"/>
      <c r="L54" s="4944"/>
      <c r="M54" s="4943" t="str">
        <f t="shared" si="4"/>
        <v/>
      </c>
      <c r="N54" s="4944"/>
      <c r="O54" s="4944"/>
      <c r="P54" s="4948"/>
      <c r="Q54" s="3792" t="str">
        <f t="shared" si="5"/>
        <v/>
      </c>
      <c r="R54" s="4938"/>
      <c r="S54" s="4938"/>
      <c r="T54" s="4103"/>
      <c r="U54" s="3792" t="str">
        <f t="shared" si="6"/>
        <v/>
      </c>
      <c r="V54" s="4938"/>
      <c r="W54" s="4938"/>
      <c r="X54" s="4103"/>
      <c r="Y54" s="4921" t="str">
        <f t="shared" si="18"/>
        <v/>
      </c>
      <c r="Z54" s="3747"/>
      <c r="AA54" s="4921" t="str">
        <f t="shared" si="19"/>
        <v/>
      </c>
      <c r="AB54" s="3747"/>
      <c r="AC54" s="4919" t="str">
        <f t="shared" si="7"/>
        <v/>
      </c>
      <c r="AD54" s="4920"/>
      <c r="AE54" s="4920"/>
      <c r="AF54" s="4920"/>
      <c r="AG54" s="2837">
        <f t="shared" si="8"/>
        <v>0</v>
      </c>
      <c r="AH54" s="1804"/>
      <c r="AI54" s="1804" t="e">
        <f t="shared" si="1"/>
        <v>#VALUE!</v>
      </c>
      <c r="AJ54" s="2650"/>
      <c r="AK54" s="2654"/>
      <c r="AL54" s="2654"/>
      <c r="AM54" s="2652"/>
      <c r="AN54" s="2652"/>
      <c r="AO54" s="2653"/>
      <c r="AP54" s="2652"/>
      <c r="AQ54" s="2651"/>
      <c r="AS54" s="2826" t="e">
        <f t="shared" si="9"/>
        <v>#VALUE!</v>
      </c>
      <c r="AT54" s="2826" t="e">
        <f t="shared" si="10"/>
        <v>#VALUE!</v>
      </c>
      <c r="AU54" s="2826" t="e">
        <f t="shared" si="11"/>
        <v>#VALUE!</v>
      </c>
      <c r="AV54" s="2826"/>
      <c r="AW54" s="2826" t="e">
        <f t="shared" si="12"/>
        <v>#VALUE!</v>
      </c>
      <c r="AX54" s="2826" t="e">
        <f t="shared" si="13"/>
        <v>#VALUE!</v>
      </c>
      <c r="AY54" s="2826" t="e">
        <f t="shared" si="14"/>
        <v>#VALUE!</v>
      </c>
      <c r="AZ54" s="2826"/>
      <c r="BA54" s="2826" t="e">
        <f t="shared" si="15"/>
        <v>#VALUE!</v>
      </c>
      <c r="BB54" s="2826" t="e">
        <f t="shared" si="16"/>
        <v>#VALUE!</v>
      </c>
      <c r="BC54" s="2826" t="e">
        <f t="shared" si="17"/>
        <v>#VALUE!</v>
      </c>
    </row>
    <row r="55" spans="1:55" ht="11.25" customHeight="1">
      <c r="A55" s="1867">
        <f>SUM(A35:A54)</f>
        <v>0</v>
      </c>
      <c r="B55" s="5032">
        <v>2</v>
      </c>
      <c r="C55" s="5034" t="s">
        <v>1539</v>
      </c>
      <c r="D55" s="5035"/>
      <c r="E55" s="5035"/>
      <c r="F55" s="5035"/>
      <c r="G55" s="5035"/>
      <c r="H55" s="5035"/>
      <c r="I55" s="5035"/>
      <c r="J55" s="5035"/>
      <c r="K55" s="5035"/>
      <c r="L55" s="5035"/>
      <c r="M55" s="5035"/>
      <c r="N55" s="5035"/>
      <c r="O55" s="5035"/>
      <c r="P55" s="5035"/>
      <c r="Q55" s="5012" t="str">
        <f>IF(A55=0,"",SUM(Q35:Q54))</f>
        <v/>
      </c>
      <c r="R55" s="5038"/>
      <c r="S55" s="5038"/>
      <c r="T55" s="5027"/>
      <c r="U55" s="5012" t="str">
        <f>IF(A55=0,"",SUM(U35:U54))</f>
        <v/>
      </c>
      <c r="V55" s="5013"/>
      <c r="W55" s="5013"/>
      <c r="X55" s="5014"/>
      <c r="Y55" s="5021"/>
      <c r="Z55" s="5022"/>
      <c r="AA55" s="5012" t="str">
        <f>IF(A55=0,"",SUM(AA35:AA54))</f>
        <v/>
      </c>
      <c r="AB55" s="5027"/>
      <c r="AC55" s="5012" t="str">
        <f>IF(A55=0,"",SUM(AC35:AC54))</f>
        <v/>
      </c>
      <c r="AD55" s="5013"/>
      <c r="AE55" s="5013"/>
      <c r="AF55" s="5013"/>
      <c r="AG55" s="1867"/>
    </row>
    <row r="56" spans="1:55" ht="11.25" customHeight="1">
      <c r="A56" s="1867"/>
      <c r="B56" s="5033"/>
      <c r="C56" s="5036"/>
      <c r="D56" s="5036"/>
      <c r="E56" s="5036"/>
      <c r="F56" s="5036"/>
      <c r="G56" s="5036"/>
      <c r="H56" s="5036"/>
      <c r="I56" s="5036"/>
      <c r="J56" s="5036"/>
      <c r="K56" s="5036"/>
      <c r="L56" s="5036"/>
      <c r="M56" s="5036"/>
      <c r="N56" s="5036"/>
      <c r="O56" s="5036"/>
      <c r="P56" s="5036"/>
      <c r="Q56" s="5028"/>
      <c r="R56" s="5039"/>
      <c r="S56" s="5039"/>
      <c r="T56" s="5029"/>
      <c r="U56" s="5015"/>
      <c r="V56" s="5016"/>
      <c r="W56" s="5016"/>
      <c r="X56" s="5017"/>
      <c r="Y56" s="5023"/>
      <c r="Z56" s="5024"/>
      <c r="AA56" s="5028"/>
      <c r="AB56" s="5029"/>
      <c r="AC56" s="5015"/>
      <c r="AD56" s="5016"/>
      <c r="AE56" s="5016"/>
      <c r="AF56" s="5016"/>
      <c r="AG56" s="1867"/>
    </row>
    <row r="57" spans="1:55" ht="11.25" customHeight="1">
      <c r="A57" s="1867"/>
      <c r="B57" s="5033"/>
      <c r="C57" s="5036"/>
      <c r="D57" s="5036"/>
      <c r="E57" s="5036"/>
      <c r="F57" s="5036"/>
      <c r="G57" s="5036"/>
      <c r="H57" s="5036"/>
      <c r="I57" s="5036"/>
      <c r="J57" s="5036"/>
      <c r="K57" s="5036"/>
      <c r="L57" s="5036"/>
      <c r="M57" s="5036"/>
      <c r="N57" s="5036"/>
      <c r="O57" s="5036"/>
      <c r="P57" s="5036"/>
      <c r="Q57" s="5028"/>
      <c r="R57" s="5039"/>
      <c r="S57" s="5039"/>
      <c r="T57" s="5029"/>
      <c r="U57" s="5015"/>
      <c r="V57" s="5016"/>
      <c r="W57" s="5016"/>
      <c r="X57" s="5017"/>
      <c r="Y57" s="5023"/>
      <c r="Z57" s="5024"/>
      <c r="AA57" s="5028"/>
      <c r="AB57" s="5029"/>
      <c r="AC57" s="5015"/>
      <c r="AD57" s="5016"/>
      <c r="AE57" s="5016"/>
      <c r="AF57" s="5016"/>
      <c r="AG57" s="1867"/>
    </row>
    <row r="58" spans="1:55" ht="11.25" customHeight="1">
      <c r="A58" s="1867"/>
      <c r="B58" s="5033"/>
      <c r="C58" s="5036"/>
      <c r="D58" s="5036"/>
      <c r="E58" s="5036"/>
      <c r="F58" s="5036"/>
      <c r="G58" s="5036"/>
      <c r="H58" s="5036"/>
      <c r="I58" s="5036"/>
      <c r="J58" s="5036"/>
      <c r="K58" s="5036"/>
      <c r="L58" s="5036"/>
      <c r="M58" s="5036"/>
      <c r="N58" s="5036"/>
      <c r="O58" s="5036"/>
      <c r="P58" s="5036"/>
      <c r="Q58" s="5028"/>
      <c r="R58" s="5039"/>
      <c r="S58" s="5039"/>
      <c r="T58" s="5029"/>
      <c r="U58" s="5015"/>
      <c r="V58" s="5016"/>
      <c r="W58" s="5016"/>
      <c r="X58" s="5017"/>
      <c r="Y58" s="5023"/>
      <c r="Z58" s="5024"/>
      <c r="AA58" s="5028"/>
      <c r="AB58" s="5029"/>
      <c r="AC58" s="5015"/>
      <c r="AD58" s="5016"/>
      <c r="AE58" s="5016"/>
      <c r="AF58" s="5016"/>
      <c r="AG58" s="1867"/>
    </row>
    <row r="59" spans="1:55" ht="9" customHeight="1" thickBot="1">
      <c r="A59" s="1867"/>
      <c r="B59" s="5033"/>
      <c r="C59" s="5037"/>
      <c r="D59" s="5037"/>
      <c r="E59" s="5037"/>
      <c r="F59" s="5037"/>
      <c r="G59" s="5037"/>
      <c r="H59" s="5037"/>
      <c r="I59" s="5037"/>
      <c r="J59" s="5037"/>
      <c r="K59" s="5037"/>
      <c r="L59" s="5037"/>
      <c r="M59" s="5037"/>
      <c r="N59" s="5037"/>
      <c r="O59" s="5037"/>
      <c r="P59" s="5037"/>
      <c r="Q59" s="5028"/>
      <c r="R59" s="5039"/>
      <c r="S59" s="5039"/>
      <c r="T59" s="5029"/>
      <c r="U59" s="5018"/>
      <c r="V59" s="5019"/>
      <c r="W59" s="5019"/>
      <c r="X59" s="5020"/>
      <c r="Y59" s="5025"/>
      <c r="Z59" s="5026"/>
      <c r="AA59" s="5030"/>
      <c r="AB59" s="3733"/>
      <c r="AC59" s="5015"/>
      <c r="AD59" s="5016"/>
      <c r="AE59" s="5016"/>
      <c r="AF59" s="5016"/>
      <c r="AG59" s="1867"/>
    </row>
    <row r="60" spans="1:55" ht="25.5" customHeight="1" thickBot="1">
      <c r="A60" s="1867"/>
      <c r="B60" s="5040" t="s">
        <v>1548</v>
      </c>
      <c r="C60" s="5041"/>
      <c r="D60" s="5041"/>
      <c r="E60" s="5041"/>
      <c r="F60" s="5041"/>
      <c r="G60" s="5041"/>
      <c r="H60" s="5041"/>
      <c r="I60" s="5041"/>
      <c r="J60" s="5041"/>
      <c r="K60" s="5041"/>
      <c r="L60" s="5041"/>
      <c r="M60" s="5041"/>
      <c r="N60" s="5041"/>
      <c r="O60" s="5041"/>
      <c r="P60" s="5041"/>
      <c r="Q60" s="5041"/>
      <c r="R60" s="5041"/>
      <c r="S60" s="5041"/>
      <c r="T60" s="5041"/>
      <c r="U60" s="5042"/>
      <c r="V60" s="5042"/>
      <c r="W60" s="5042"/>
      <c r="X60" s="5042"/>
      <c r="Y60" s="5041"/>
      <c r="Z60" s="5041"/>
      <c r="AA60" s="5041"/>
      <c r="AB60" s="5041"/>
      <c r="AC60" s="5041"/>
      <c r="AD60" s="5041"/>
      <c r="AE60" s="5041"/>
      <c r="AF60" s="5041"/>
      <c r="AG60" s="1867"/>
      <c r="AJ60" s="1618"/>
    </row>
    <row r="61" spans="1:55" ht="16.5" thickTop="1">
      <c r="A61" s="1867"/>
      <c r="B61" s="1817" t="s">
        <v>825</v>
      </c>
      <c r="C61" s="37"/>
      <c r="D61" s="37"/>
      <c r="E61" s="37"/>
      <c r="F61" s="37"/>
      <c r="G61" s="37"/>
      <c r="H61" s="37"/>
      <c r="I61" s="37"/>
      <c r="J61" s="37"/>
      <c r="K61" s="37"/>
      <c r="L61" s="37"/>
      <c r="M61" s="37"/>
      <c r="N61" s="37"/>
      <c r="O61" s="37"/>
      <c r="P61" s="37"/>
      <c r="Q61" s="37"/>
      <c r="R61" s="37"/>
      <c r="S61" s="37"/>
      <c r="T61" s="37"/>
      <c r="U61" s="1569" t="s">
        <v>1171</v>
      </c>
      <c r="V61" s="37"/>
      <c r="W61" s="37"/>
      <c r="X61" s="37"/>
      <c r="Y61" s="37"/>
      <c r="Z61" s="37"/>
      <c r="AA61" s="37"/>
      <c r="AB61" s="37"/>
      <c r="AC61" s="37"/>
      <c r="AD61" s="1816" t="s">
        <v>1222</v>
      </c>
      <c r="AE61" s="37"/>
      <c r="AF61" s="1816" t="str">
        <f>"("&amp;TaxYear&amp;")"</f>
        <v>(2014)</v>
      </c>
      <c r="AG61" s="1867"/>
    </row>
    <row r="62" spans="1:55" ht="15.75">
      <c r="A62" s="1867"/>
      <c r="B62" s="50" t="str">
        <f>"Form 8949 ("&amp;TaxYear&amp;")"</f>
        <v>Form 8949 (2014)</v>
      </c>
      <c r="C62" s="67"/>
      <c r="D62" s="67"/>
      <c r="E62" s="67"/>
      <c r="F62" s="67"/>
      <c r="G62" s="67"/>
      <c r="H62" s="67"/>
      <c r="I62" s="67"/>
      <c r="J62" s="67"/>
      <c r="K62" s="67"/>
      <c r="L62" s="67"/>
      <c r="M62" s="67"/>
      <c r="N62" s="67"/>
      <c r="O62" s="67"/>
      <c r="P62" s="67"/>
      <c r="Q62" s="67"/>
      <c r="R62" s="67"/>
      <c r="S62" s="67"/>
      <c r="T62" s="67"/>
      <c r="U62" s="67"/>
      <c r="V62" s="50" t="s">
        <v>1173</v>
      </c>
      <c r="W62" s="67"/>
      <c r="X62" s="67"/>
      <c r="Y62" s="67"/>
      <c r="Z62" s="67"/>
      <c r="AA62" s="67"/>
      <c r="AB62" s="67"/>
      <c r="AC62" s="67"/>
      <c r="AD62" s="67"/>
      <c r="AE62" s="67"/>
      <c r="AF62" s="1808" t="s">
        <v>1172</v>
      </c>
      <c r="AG62" s="1867"/>
    </row>
    <row r="63" spans="1:55">
      <c r="A63" s="1867"/>
      <c r="B63" s="60" t="s">
        <v>100</v>
      </c>
      <c r="C63" s="37"/>
      <c r="D63" s="37"/>
      <c r="E63" s="37"/>
      <c r="F63" s="37"/>
      <c r="G63" s="37"/>
      <c r="H63" s="37"/>
      <c r="I63" s="37"/>
      <c r="J63" s="37"/>
      <c r="K63" s="37"/>
      <c r="L63" s="37"/>
      <c r="M63" s="37"/>
      <c r="N63" s="37"/>
      <c r="O63" s="37"/>
      <c r="P63" s="37"/>
      <c r="Q63" s="37"/>
      <c r="R63" s="37"/>
      <c r="S63" s="37"/>
      <c r="T63" s="37"/>
      <c r="U63" s="37"/>
      <c r="V63" s="2649" t="s">
        <v>1549</v>
      </c>
      <c r="W63" s="37"/>
      <c r="X63" s="37"/>
      <c r="Y63" s="37"/>
      <c r="Z63" s="52"/>
      <c r="AA63" s="37"/>
      <c r="AB63" s="37"/>
      <c r="AC63" s="37"/>
      <c r="AD63" s="37"/>
      <c r="AE63" s="37"/>
      <c r="AF63" s="37"/>
      <c r="AG63" s="1867"/>
    </row>
    <row r="64" spans="1:55" ht="16.5" thickBot="1">
      <c r="A64" s="1867"/>
      <c r="B64" s="4973" t="str">
        <f>Names</f>
        <v/>
      </c>
      <c r="C64" s="4974"/>
      <c r="D64" s="4974"/>
      <c r="E64" s="4974"/>
      <c r="F64" s="4974"/>
      <c r="G64" s="4974"/>
      <c r="H64" s="4974"/>
      <c r="I64" s="4974"/>
      <c r="J64" s="4974"/>
      <c r="K64" s="4974"/>
      <c r="L64" s="4974"/>
      <c r="M64" s="4974"/>
      <c r="N64" s="4974"/>
      <c r="O64" s="4974"/>
      <c r="P64" s="4974"/>
      <c r="Q64" s="4974"/>
      <c r="R64" s="4974"/>
      <c r="S64" s="4974"/>
      <c r="T64" s="4974"/>
      <c r="U64" s="4975"/>
      <c r="V64" s="4971">
        <f>SS_Yours</f>
        <v>0</v>
      </c>
      <c r="W64" s="4972"/>
      <c r="X64" s="4972"/>
      <c r="Y64" s="4972"/>
      <c r="Z64" s="4972"/>
      <c r="AA64" s="4972"/>
      <c r="AB64" s="4972"/>
      <c r="AC64" s="4972"/>
      <c r="AD64" s="4972"/>
      <c r="AE64" s="4972"/>
      <c r="AF64" s="4972"/>
      <c r="AG64" s="1867"/>
    </row>
    <row r="65" spans="1:55" ht="12.75" customHeight="1">
      <c r="A65" s="1867"/>
      <c r="B65" s="4939" t="s">
        <v>2187</v>
      </c>
      <c r="C65" s="4940"/>
      <c r="D65" s="4940"/>
      <c r="E65" s="4940"/>
      <c r="F65" s="4940"/>
      <c r="G65" s="4940"/>
      <c r="H65" s="4940"/>
      <c r="I65" s="4940"/>
      <c r="J65" s="4940"/>
      <c r="K65" s="4940"/>
      <c r="L65" s="4940"/>
      <c r="M65" s="4940"/>
      <c r="N65" s="4940"/>
      <c r="O65" s="4940"/>
      <c r="P65" s="4940"/>
      <c r="Q65" s="4940"/>
      <c r="R65" s="4940"/>
      <c r="S65" s="4940"/>
      <c r="T65" s="4940"/>
      <c r="U65" s="4940"/>
      <c r="V65" s="4940"/>
      <c r="W65" s="4940"/>
      <c r="X65" s="4940"/>
      <c r="Y65" s="4940"/>
      <c r="Z65" s="4940"/>
      <c r="AA65" s="4940"/>
      <c r="AB65" s="4940"/>
      <c r="AC65" s="4940"/>
      <c r="AD65" s="4940"/>
      <c r="AE65" s="4940"/>
      <c r="AF65" s="4940"/>
      <c r="AG65" s="1867"/>
    </row>
    <row r="66" spans="1:55" ht="12.75" customHeight="1">
      <c r="A66" s="1867"/>
      <c r="B66" s="4941"/>
      <c r="C66" s="4941"/>
      <c r="D66" s="4941"/>
      <c r="E66" s="4941"/>
      <c r="F66" s="4941"/>
      <c r="G66" s="4941"/>
      <c r="H66" s="4941"/>
      <c r="I66" s="4941"/>
      <c r="J66" s="4941"/>
      <c r="K66" s="4941"/>
      <c r="L66" s="4941"/>
      <c r="M66" s="4941"/>
      <c r="N66" s="4941"/>
      <c r="O66" s="4941"/>
      <c r="P66" s="4941"/>
      <c r="Q66" s="4941"/>
      <c r="R66" s="4941"/>
      <c r="S66" s="4941"/>
      <c r="T66" s="4941"/>
      <c r="U66" s="4941"/>
      <c r="V66" s="4941"/>
      <c r="W66" s="4941"/>
      <c r="X66" s="4941"/>
      <c r="Y66" s="4941"/>
      <c r="Z66" s="4941"/>
      <c r="AA66" s="4941"/>
      <c r="AB66" s="4941"/>
      <c r="AC66" s="4941"/>
      <c r="AD66" s="4941"/>
      <c r="AE66" s="4941"/>
      <c r="AF66" s="4941"/>
      <c r="AG66" s="1867"/>
    </row>
    <row r="67" spans="1:55" ht="12.75" customHeight="1">
      <c r="A67" s="1867"/>
      <c r="B67" s="4942"/>
      <c r="C67" s="4942"/>
      <c r="D67" s="4942"/>
      <c r="E67" s="4942"/>
      <c r="F67" s="4942"/>
      <c r="G67" s="4942"/>
      <c r="H67" s="4942"/>
      <c r="I67" s="4942"/>
      <c r="J67" s="4942"/>
      <c r="K67" s="4942"/>
      <c r="L67" s="4942"/>
      <c r="M67" s="4942"/>
      <c r="N67" s="4942"/>
      <c r="O67" s="4942"/>
      <c r="P67" s="4942"/>
      <c r="Q67" s="4942"/>
      <c r="R67" s="4942"/>
      <c r="S67" s="4942"/>
      <c r="T67" s="4942"/>
      <c r="U67" s="4942"/>
      <c r="V67" s="4942"/>
      <c r="W67" s="4942"/>
      <c r="X67" s="4942"/>
      <c r="Y67" s="4942"/>
      <c r="Z67" s="4942"/>
      <c r="AA67" s="4942"/>
      <c r="AB67" s="4942"/>
      <c r="AC67" s="4942"/>
      <c r="AD67" s="4942"/>
      <c r="AE67" s="4942"/>
      <c r="AF67" s="4942"/>
      <c r="AG67" s="1867"/>
    </row>
    <row r="68" spans="1:55" ht="3.75" customHeight="1">
      <c r="A68" s="186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1867"/>
    </row>
    <row r="69" spans="1:55" ht="15">
      <c r="A69" s="1867"/>
      <c r="B69" s="4981" t="s">
        <v>197</v>
      </c>
      <c r="C69" s="3830"/>
      <c r="D69" s="37"/>
      <c r="E69" s="1802" t="s">
        <v>1527</v>
      </c>
      <c r="F69" s="37"/>
      <c r="G69" s="37"/>
      <c r="H69" s="37"/>
      <c r="I69" s="37"/>
      <c r="J69" s="37"/>
      <c r="K69" s="37"/>
      <c r="L69" s="37"/>
      <c r="M69" s="37"/>
      <c r="N69" s="37"/>
      <c r="O69" s="37"/>
      <c r="P69" s="1802"/>
      <c r="Q69" s="37"/>
      <c r="R69" s="37"/>
      <c r="S69" s="37"/>
      <c r="T69" s="614" t="s">
        <v>2188</v>
      </c>
      <c r="U69" s="37"/>
      <c r="V69" s="37"/>
      <c r="W69" s="37"/>
      <c r="X69" s="37"/>
      <c r="Y69" s="37" t="s">
        <v>1528</v>
      </c>
      <c r="Z69" s="37"/>
      <c r="AA69" s="37"/>
      <c r="AB69" s="37"/>
      <c r="AC69" s="37"/>
      <c r="AD69" s="37"/>
      <c r="AE69" s="37"/>
      <c r="AF69" s="37"/>
      <c r="AG69" s="1867" t="b">
        <f>IF(SUM(AG88:AG115)&gt;0,TRUE,FALSE)</f>
        <v>0</v>
      </c>
    </row>
    <row r="70" spans="1:55" s="3026" customFormat="1" ht="11.25" customHeight="1">
      <c r="A70" s="1867"/>
      <c r="B70" s="3023"/>
      <c r="C70" s="3023"/>
      <c r="D70" s="3023"/>
      <c r="E70" s="3025" t="s">
        <v>1526</v>
      </c>
      <c r="F70" s="3023"/>
      <c r="G70" s="3023"/>
      <c r="H70" s="3023"/>
      <c r="I70" s="3023"/>
      <c r="J70" s="3023"/>
      <c r="K70" s="3023"/>
      <c r="L70" s="3023"/>
      <c r="M70" s="3023"/>
      <c r="N70" s="3023"/>
      <c r="O70" s="3023"/>
      <c r="P70" s="3023"/>
      <c r="Q70" s="3023"/>
      <c r="R70" s="3023"/>
      <c r="S70" s="3023"/>
      <c r="T70" s="3027"/>
      <c r="U70" s="3023"/>
      <c r="V70" s="3023"/>
      <c r="W70" s="3023"/>
      <c r="X70" s="3028"/>
      <c r="Y70" s="3023"/>
      <c r="Z70" s="3023"/>
      <c r="AA70" s="3023"/>
      <c r="AB70" s="3023"/>
      <c r="AC70" s="3023"/>
      <c r="AD70" s="3023"/>
      <c r="AE70" s="3023"/>
      <c r="AF70" s="3023"/>
      <c r="AG70" s="1867"/>
      <c r="AH70" s="3024"/>
      <c r="AI70" s="3024"/>
    </row>
    <row r="71" spans="1:55" ht="11.25" customHeight="1">
      <c r="A71" s="1867"/>
      <c r="B71" s="37"/>
      <c r="C71" s="37"/>
      <c r="D71" s="37"/>
      <c r="E71" s="3029" t="s">
        <v>2780</v>
      </c>
      <c r="F71" s="37"/>
      <c r="G71" s="37"/>
      <c r="H71" s="37"/>
      <c r="I71" s="37"/>
      <c r="J71" s="37"/>
      <c r="K71" s="37"/>
      <c r="L71" s="37"/>
      <c r="M71" s="37"/>
      <c r="N71" s="37"/>
      <c r="O71" s="37"/>
      <c r="P71" s="37"/>
      <c r="Q71" s="37"/>
      <c r="R71" s="37"/>
      <c r="S71" s="37"/>
      <c r="T71" s="614"/>
      <c r="U71" s="37"/>
      <c r="V71" s="37"/>
      <c r="W71" s="37"/>
      <c r="X71" s="1609"/>
      <c r="Y71" s="37"/>
      <c r="Z71" s="37"/>
      <c r="AA71" s="37"/>
      <c r="AB71" s="37"/>
      <c r="AC71" s="37"/>
      <c r="AD71" s="37"/>
      <c r="AE71" s="37"/>
      <c r="AF71" s="37"/>
      <c r="AG71" s="1867"/>
      <c r="AH71" s="3024"/>
      <c r="AI71" s="3024"/>
    </row>
    <row r="72" spans="1:55" ht="11.25" customHeight="1">
      <c r="A72" s="1867"/>
      <c r="B72" s="37"/>
      <c r="C72" s="37"/>
      <c r="D72" s="37"/>
      <c r="E72" s="3025" t="s">
        <v>1836</v>
      </c>
      <c r="F72" s="37"/>
      <c r="G72" s="37"/>
      <c r="H72" s="37"/>
      <c r="I72" s="37"/>
      <c r="J72" s="37"/>
      <c r="K72" s="37"/>
      <c r="L72" s="37"/>
      <c r="M72" s="37"/>
      <c r="N72" s="37"/>
      <c r="O72" s="37"/>
      <c r="P72" s="37"/>
      <c r="Q72" s="37"/>
      <c r="R72" s="37"/>
      <c r="S72" s="37"/>
      <c r="T72" s="614"/>
      <c r="U72" s="37"/>
      <c r="V72" s="37"/>
      <c r="W72" s="37"/>
      <c r="X72" s="1609"/>
      <c r="Y72" s="37"/>
      <c r="Z72" s="37"/>
      <c r="AA72" s="37"/>
      <c r="AB72" s="37"/>
      <c r="AC72" s="37"/>
      <c r="AD72" s="37"/>
      <c r="AE72" s="37"/>
      <c r="AF72" s="37"/>
      <c r="AG72" s="1867"/>
      <c r="AH72" s="3024"/>
      <c r="AI72" s="3024"/>
    </row>
    <row r="73" spans="1:55" ht="11.25" customHeight="1">
      <c r="A73" s="1867"/>
      <c r="B73" s="67"/>
      <c r="C73" s="67"/>
      <c r="D73" s="67"/>
      <c r="E73" s="2647" t="s">
        <v>1837</v>
      </c>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1867"/>
      <c r="AH73" s="3024"/>
      <c r="AI73" s="3024"/>
    </row>
    <row r="74" spans="1:55">
      <c r="A74" s="1867"/>
      <c r="B74" s="375" t="s">
        <v>1841</v>
      </c>
      <c r="C74" s="371"/>
      <c r="D74" s="371"/>
      <c r="E74" s="371"/>
      <c r="F74" s="371"/>
      <c r="G74" s="371"/>
      <c r="H74" s="371"/>
      <c r="I74" s="371"/>
      <c r="J74" s="371"/>
      <c r="K74" s="375" t="s">
        <v>1532</v>
      </c>
      <c r="L74" s="371"/>
      <c r="M74" s="371"/>
      <c r="N74" s="371"/>
      <c r="O74" s="371"/>
      <c r="P74" s="371" t="s">
        <v>1536</v>
      </c>
      <c r="Q74" s="371"/>
      <c r="R74" s="371"/>
      <c r="S74" s="371"/>
      <c r="T74" s="371"/>
      <c r="U74" s="371"/>
      <c r="V74" s="371"/>
      <c r="W74" s="371"/>
      <c r="X74" s="371"/>
      <c r="Y74" s="371"/>
      <c r="Z74" s="371"/>
      <c r="AA74" s="371"/>
      <c r="AB74" s="371"/>
      <c r="AC74" s="371"/>
      <c r="AD74" s="371"/>
      <c r="AE74" s="371"/>
      <c r="AF74" s="371"/>
      <c r="AG74" s="1867"/>
    </row>
    <row r="75" spans="1:55">
      <c r="A75" s="1867"/>
      <c r="B75" s="1609" t="s">
        <v>1537</v>
      </c>
      <c r="C75" s="371"/>
      <c r="D75" s="371"/>
      <c r="E75" s="371"/>
      <c r="F75" s="371"/>
      <c r="G75" s="371"/>
      <c r="H75" s="371"/>
      <c r="I75" s="371"/>
      <c r="J75" s="371"/>
      <c r="K75" s="371"/>
      <c r="L75" s="371"/>
      <c r="M75" s="371"/>
      <c r="N75" s="371"/>
      <c r="O75" s="371"/>
      <c r="P75" s="371"/>
      <c r="Q75" s="371"/>
      <c r="R75" s="371"/>
      <c r="S75" s="371"/>
      <c r="T75" s="371"/>
      <c r="U75" s="371"/>
      <c r="V75" s="371"/>
      <c r="W75" s="371"/>
      <c r="X75" s="371"/>
      <c r="Y75" s="371"/>
      <c r="Z75" s="371"/>
      <c r="AA75" s="371"/>
      <c r="AB75" s="371"/>
      <c r="AC75" s="371"/>
      <c r="AD75" s="371"/>
      <c r="AE75" s="371"/>
      <c r="AF75" s="371"/>
      <c r="AG75" s="1867"/>
      <c r="BA75" s="4927" t="s">
        <v>1671</v>
      </c>
      <c r="BB75" s="4471"/>
      <c r="BC75" s="4928"/>
    </row>
    <row r="76" spans="1:55">
      <c r="A76" s="1867"/>
      <c r="B76" s="1609" t="s">
        <v>1538</v>
      </c>
      <c r="C76" s="371"/>
      <c r="D76" s="371"/>
      <c r="E76" s="371"/>
      <c r="F76" s="371"/>
      <c r="G76" s="371"/>
      <c r="H76" s="371"/>
      <c r="I76" s="371"/>
      <c r="J76" s="371"/>
      <c r="K76" s="371"/>
      <c r="L76" s="371"/>
      <c r="M76" s="371"/>
      <c r="N76" s="371"/>
      <c r="O76" s="371"/>
      <c r="P76" s="371"/>
      <c r="Q76" s="371"/>
      <c r="R76" s="371"/>
      <c r="S76" s="371"/>
      <c r="T76" s="371"/>
      <c r="U76" s="371"/>
      <c r="V76" s="371"/>
      <c r="W76" s="371"/>
      <c r="X76" s="371"/>
      <c r="Y76" s="371"/>
      <c r="Z76" s="371"/>
      <c r="AA76" s="371"/>
      <c r="AB76" s="371"/>
      <c r="AC76" s="371"/>
      <c r="AD76" s="371"/>
      <c r="AE76" s="371"/>
      <c r="AF76" s="371"/>
      <c r="AG76" s="1867"/>
      <c r="BA76" s="4929" t="s">
        <v>1670</v>
      </c>
      <c r="BB76" s="4929" t="s">
        <v>1660</v>
      </c>
      <c r="BC76" s="4929" t="s">
        <v>1661</v>
      </c>
    </row>
    <row r="77" spans="1:55" ht="4.5" customHeight="1" thickBot="1">
      <c r="A77" s="1867"/>
      <c r="B77" s="371"/>
      <c r="C77" s="371"/>
      <c r="D77" s="371"/>
      <c r="E77" s="371"/>
      <c r="F77" s="371"/>
      <c r="G77" s="371"/>
      <c r="H77" s="371"/>
      <c r="I77" s="371"/>
      <c r="J77" s="371"/>
      <c r="K77" s="371"/>
      <c r="L77" s="371"/>
      <c r="M77" s="371"/>
      <c r="N77" s="371"/>
      <c r="O77" s="371"/>
      <c r="P77" s="371"/>
      <c r="Q77" s="371"/>
      <c r="R77" s="371"/>
      <c r="S77" s="371"/>
      <c r="T77" s="371"/>
      <c r="U77" s="371"/>
      <c r="V77" s="371"/>
      <c r="W77" s="371"/>
      <c r="X77" s="371"/>
      <c r="Y77" s="371"/>
      <c r="Z77" s="371"/>
      <c r="AA77" s="371"/>
      <c r="AB77" s="371"/>
      <c r="AC77" s="371"/>
      <c r="AD77" s="371"/>
      <c r="AE77" s="371"/>
      <c r="AF77" s="371"/>
      <c r="AG77" s="1867"/>
      <c r="BA77" s="4930"/>
      <c r="BB77" s="4930"/>
      <c r="BC77" s="4930"/>
    </row>
    <row r="78" spans="1:55" ht="12" customHeight="1" thickBot="1">
      <c r="A78" s="1867"/>
      <c r="B78" s="2780">
        <f>IF(C78&lt;&gt;"",1,0)</f>
        <v>0</v>
      </c>
      <c r="C78" s="2779"/>
      <c r="D78" s="729" t="s">
        <v>1838</v>
      </c>
      <c r="E78" s="371"/>
      <c r="F78" s="371"/>
      <c r="G78" s="371"/>
      <c r="H78" s="371"/>
      <c r="I78" s="371"/>
      <c r="J78" s="371"/>
      <c r="K78" s="371"/>
      <c r="L78" s="371"/>
      <c r="M78" s="371"/>
      <c r="N78" s="371"/>
      <c r="O78" s="371"/>
      <c r="P78" s="371"/>
      <c r="Q78" s="371"/>
      <c r="R78" s="371"/>
      <c r="S78" s="371"/>
      <c r="T78" s="371"/>
      <c r="U78" s="371"/>
      <c r="V78" s="371"/>
      <c r="W78" s="371"/>
      <c r="X78" s="371"/>
      <c r="Y78" s="371"/>
      <c r="Z78" s="371"/>
      <c r="AA78" s="371"/>
      <c r="AB78" s="371"/>
      <c r="AC78" s="371"/>
      <c r="AD78" s="371"/>
      <c r="AE78" s="371"/>
      <c r="AF78" s="371"/>
      <c r="AG78" s="1867"/>
      <c r="AJ78" s="4922"/>
      <c r="AK78" s="4923"/>
      <c r="AL78" s="4923"/>
      <c r="AM78" s="4923"/>
      <c r="AN78" s="4923"/>
      <c r="AO78" s="4923"/>
      <c r="AP78" s="4923"/>
      <c r="AQ78" s="4923"/>
      <c r="BA78" s="4930"/>
      <c r="BB78" s="4930"/>
      <c r="BC78" s="4930"/>
    </row>
    <row r="79" spans="1:55" ht="4.5" customHeight="1" thickBot="1">
      <c r="A79" s="1867"/>
      <c r="B79" s="2648"/>
      <c r="C79" s="371"/>
      <c r="D79" s="371"/>
      <c r="E79" s="371"/>
      <c r="F79" s="371"/>
      <c r="G79" s="371"/>
      <c r="H79" s="371"/>
      <c r="I79" s="371"/>
      <c r="J79" s="371"/>
      <c r="K79" s="371"/>
      <c r="L79" s="371"/>
      <c r="M79" s="371"/>
      <c r="N79" s="371"/>
      <c r="O79" s="371"/>
      <c r="P79" s="371"/>
      <c r="Q79" s="371"/>
      <c r="R79" s="371"/>
      <c r="S79" s="371"/>
      <c r="T79" s="371"/>
      <c r="U79" s="371"/>
      <c r="V79" s="371"/>
      <c r="W79" s="371"/>
      <c r="X79" s="371"/>
      <c r="Y79" s="371"/>
      <c r="Z79" s="371"/>
      <c r="AA79" s="371"/>
      <c r="AB79" s="371"/>
      <c r="AC79" s="371"/>
      <c r="AD79" s="371"/>
      <c r="AE79" s="371"/>
      <c r="AF79" s="371"/>
      <c r="AG79" s="1867"/>
      <c r="BA79" s="4930"/>
      <c r="BB79" s="4930"/>
      <c r="BC79" s="4930"/>
    </row>
    <row r="80" spans="1:55" ht="11.25" customHeight="1" thickBot="1">
      <c r="A80" s="1867"/>
      <c r="B80" s="2780">
        <f>IF(C80&lt;&gt;"",1,0)</f>
        <v>0</v>
      </c>
      <c r="C80" s="2779"/>
      <c r="D80" s="729" t="s">
        <v>1843</v>
      </c>
      <c r="E80" s="371"/>
      <c r="F80" s="371"/>
      <c r="G80" s="371"/>
      <c r="H80" s="371"/>
      <c r="I80" s="371"/>
      <c r="J80" s="371"/>
      <c r="K80" s="371"/>
      <c r="L80" s="371"/>
      <c r="M80" s="371"/>
      <c r="N80" s="371"/>
      <c r="O80" s="371"/>
      <c r="P80" s="371"/>
      <c r="Q80" s="2785"/>
      <c r="R80" s="2785"/>
      <c r="S80" s="2785"/>
      <c r="T80" s="2785"/>
      <c r="U80" s="2785"/>
      <c r="V80" s="2785"/>
      <c r="W80" s="2785"/>
      <c r="X80" s="2785"/>
      <c r="Y80" s="2785"/>
      <c r="Z80" s="2785"/>
      <c r="AA80" s="2785"/>
      <c r="AB80" s="2785"/>
      <c r="AC80" s="2785"/>
      <c r="AD80" s="2785"/>
      <c r="AE80" s="371"/>
      <c r="AF80" s="371"/>
      <c r="AG80" s="1867"/>
      <c r="AJ80" s="4922"/>
      <c r="AK80" s="4923"/>
      <c r="AL80" s="4923"/>
      <c r="AM80" s="4923"/>
      <c r="AN80" s="4923"/>
      <c r="AO80" s="4923"/>
      <c r="AP80" s="4923"/>
      <c r="AQ80" s="4923"/>
      <c r="BA80" s="4930"/>
      <c r="BB80" s="4930"/>
      <c r="BC80" s="4930"/>
    </row>
    <row r="81" spans="1:55" ht="4.5" customHeight="1" thickBot="1">
      <c r="A81" s="1867"/>
      <c r="B81" s="2648"/>
      <c r="C81" s="371"/>
      <c r="D81" s="371"/>
      <c r="E81" s="371"/>
      <c r="F81" s="371"/>
      <c r="G81" s="371"/>
      <c r="H81" s="371"/>
      <c r="I81" s="371"/>
      <c r="J81" s="371"/>
      <c r="K81" s="371"/>
      <c r="L81" s="371"/>
      <c r="M81" s="371"/>
      <c r="N81" s="371"/>
      <c r="O81" s="371"/>
      <c r="P81" s="371"/>
      <c r="Q81" s="2785"/>
      <c r="R81" s="2785"/>
      <c r="S81" s="2785"/>
      <c r="T81" s="2785"/>
      <c r="U81" s="2785"/>
      <c r="V81" s="2785"/>
      <c r="W81" s="2785"/>
      <c r="X81" s="2785"/>
      <c r="Y81" s="2785"/>
      <c r="Z81" s="2785"/>
      <c r="AA81" s="2785"/>
      <c r="AB81" s="2785"/>
      <c r="AC81" s="2785"/>
      <c r="AD81" s="2785"/>
      <c r="AE81" s="371"/>
      <c r="AF81" s="371"/>
      <c r="AG81" s="1867"/>
      <c r="BA81" s="4930"/>
      <c r="BB81" s="4930"/>
      <c r="BC81" s="4930"/>
    </row>
    <row r="82" spans="1:55" ht="12" customHeight="1" thickBot="1">
      <c r="A82" s="1867">
        <f>SUM(B78:B82)</f>
        <v>0</v>
      </c>
      <c r="B82" s="2780">
        <f>IF(C82&lt;&gt;"",1,0)</f>
        <v>0</v>
      </c>
      <c r="C82" s="2779"/>
      <c r="D82" s="729" t="s">
        <v>1840</v>
      </c>
      <c r="E82" s="371"/>
      <c r="F82" s="371"/>
      <c r="G82" s="371"/>
      <c r="H82" s="371"/>
      <c r="I82" s="371"/>
      <c r="J82" s="371"/>
      <c r="K82" s="371"/>
      <c r="L82" s="371"/>
      <c r="M82" s="371"/>
      <c r="N82" s="371"/>
      <c r="O82" s="371"/>
      <c r="P82" s="371"/>
      <c r="Q82" s="2786"/>
      <c r="R82" s="4959" t="str">
        <f>IF(SpaceUsed_8949A_LT,"ERROR: DO NOT use space. Use 'Delete'.",IF(A82&gt;1,"Check only ONE box.",IF($A$31&gt;0,"",IF(A82&lt;1,"Check ONE box.",""))))</f>
        <v>Check ONE box.</v>
      </c>
      <c r="S82" s="4960"/>
      <c r="T82" s="4960"/>
      <c r="U82" s="4960"/>
      <c r="V82" s="4960"/>
      <c r="W82" s="4960"/>
      <c r="X82" s="4960"/>
      <c r="Y82" s="4960"/>
      <c r="Z82" s="4960"/>
      <c r="AA82" s="4960"/>
      <c r="AB82" s="4960"/>
      <c r="AC82" s="4960"/>
      <c r="AD82" s="4960"/>
      <c r="AE82" s="4960"/>
      <c r="AF82" s="371"/>
      <c r="AG82" s="1867"/>
      <c r="AH82" s="3123" t="b">
        <f>IF(OR(F8949ALBOXA=CHAR(32),F8949ALBOXB=CHAR(32),F8949ALBOXC=CHAR(32)),TRUE,FALSE)</f>
        <v>0</v>
      </c>
      <c r="AJ82" s="4922" t="s">
        <v>1485</v>
      </c>
      <c r="AK82" s="4923"/>
      <c r="AL82" s="4923"/>
      <c r="AM82" s="4923"/>
      <c r="AN82" s="4923"/>
      <c r="AO82" s="4923"/>
      <c r="AP82" s="4923"/>
      <c r="AQ82" s="4923"/>
      <c r="BA82" s="4930"/>
      <c r="BB82" s="4930"/>
      <c r="BC82" s="4930"/>
    </row>
    <row r="83" spans="1:55" ht="3.75" customHeight="1">
      <c r="A83" s="1867"/>
      <c r="B83" s="372"/>
      <c r="C83" s="1807"/>
      <c r="D83" s="372"/>
      <c r="E83" s="372"/>
      <c r="F83" s="372"/>
      <c r="G83" s="372"/>
      <c r="H83" s="372"/>
      <c r="I83" s="372"/>
      <c r="J83" s="372"/>
      <c r="K83" s="372"/>
      <c r="L83" s="372"/>
      <c r="M83" s="372"/>
      <c r="N83" s="1807"/>
      <c r="O83" s="372"/>
      <c r="P83" s="372"/>
      <c r="Q83" s="372"/>
      <c r="R83" s="372"/>
      <c r="S83" s="372"/>
      <c r="T83" s="372"/>
      <c r="U83" s="372"/>
      <c r="V83" s="372"/>
      <c r="W83" s="372"/>
      <c r="X83" s="372"/>
      <c r="Y83" s="1807"/>
      <c r="Z83" s="372"/>
      <c r="AA83" s="372"/>
      <c r="AB83" s="372"/>
      <c r="AC83" s="372"/>
      <c r="AD83" s="372"/>
      <c r="AE83" s="372"/>
      <c r="AF83" s="372"/>
      <c r="AG83" s="1867"/>
      <c r="BA83" s="4930"/>
      <c r="BB83" s="4930"/>
      <c r="BC83" s="4930"/>
    </row>
    <row r="84" spans="1:55" ht="21" customHeight="1">
      <c r="A84" s="1867"/>
      <c r="B84" s="4982">
        <v>1</v>
      </c>
      <c r="C84" s="4991" t="s">
        <v>1170</v>
      </c>
      <c r="D84" s="4992"/>
      <c r="E84" s="4992"/>
      <c r="F84" s="4992"/>
      <c r="G84" s="4992"/>
      <c r="H84" s="4992"/>
      <c r="I84" s="4993"/>
      <c r="J84" s="4949" t="s">
        <v>1540</v>
      </c>
      <c r="K84" s="4950"/>
      <c r="L84" s="4951"/>
      <c r="M84" s="4949" t="s">
        <v>1541</v>
      </c>
      <c r="N84" s="4950"/>
      <c r="O84" s="4950"/>
      <c r="P84" s="4951"/>
      <c r="Q84" s="4949" t="s">
        <v>1542</v>
      </c>
      <c r="R84" s="4950"/>
      <c r="S84" s="4950"/>
      <c r="T84" s="4951"/>
      <c r="U84" s="4924" t="s">
        <v>1547</v>
      </c>
      <c r="V84" s="4297"/>
      <c r="W84" s="4297"/>
      <c r="X84" s="5006"/>
      <c r="Y84" s="4932" t="s">
        <v>1543</v>
      </c>
      <c r="Z84" s="5000"/>
      <c r="AA84" s="5000"/>
      <c r="AB84" s="5001"/>
      <c r="AC84" s="4924" t="s">
        <v>1546</v>
      </c>
      <c r="AD84" s="4297"/>
      <c r="AE84" s="4297"/>
      <c r="AF84" s="4297"/>
      <c r="AG84" s="1867"/>
      <c r="AJ84" s="4934" t="s">
        <v>1484</v>
      </c>
      <c r="AK84" s="4934" t="s">
        <v>1550</v>
      </c>
      <c r="AL84" s="4934" t="s">
        <v>1551</v>
      </c>
      <c r="AM84" s="4934" t="s">
        <v>1552</v>
      </c>
      <c r="AN84" s="4936" t="s">
        <v>1553</v>
      </c>
      <c r="AO84" s="4932" t="s">
        <v>1543</v>
      </c>
      <c r="AP84" s="4310"/>
      <c r="AQ84" s="4934" t="s">
        <v>1555</v>
      </c>
      <c r="BA84" s="4930"/>
      <c r="BB84" s="4930"/>
      <c r="BC84" s="4930"/>
    </row>
    <row r="85" spans="1:55" ht="21" customHeight="1">
      <c r="A85" s="1867"/>
      <c r="B85" s="3888"/>
      <c r="C85" s="4994"/>
      <c r="D85" s="4995"/>
      <c r="E85" s="4995"/>
      <c r="F85" s="4995"/>
      <c r="G85" s="4995"/>
      <c r="H85" s="4995"/>
      <c r="I85" s="4996"/>
      <c r="J85" s="4952"/>
      <c r="K85" s="4953"/>
      <c r="L85" s="4954"/>
      <c r="M85" s="4952"/>
      <c r="N85" s="4953"/>
      <c r="O85" s="4953"/>
      <c r="P85" s="4954"/>
      <c r="Q85" s="4952"/>
      <c r="R85" s="4953"/>
      <c r="S85" s="4953"/>
      <c r="T85" s="4954"/>
      <c r="U85" s="4925"/>
      <c r="V85" s="4926"/>
      <c r="W85" s="4926"/>
      <c r="X85" s="5031"/>
      <c r="Y85" s="5002"/>
      <c r="Z85" s="5003"/>
      <c r="AA85" s="5003"/>
      <c r="AB85" s="5004"/>
      <c r="AC85" s="4925"/>
      <c r="AD85" s="4926"/>
      <c r="AE85" s="4926"/>
      <c r="AF85" s="4926"/>
      <c r="AG85" s="1867"/>
      <c r="AJ85" s="4934"/>
      <c r="AK85" s="4934"/>
      <c r="AL85" s="4934"/>
      <c r="AM85" s="4934"/>
      <c r="AN85" s="4936"/>
      <c r="AO85" s="4468"/>
      <c r="AP85" s="4316"/>
      <c r="AQ85" s="4934"/>
      <c r="BA85" s="4930"/>
      <c r="BB85" s="4930"/>
      <c r="BC85" s="4930"/>
    </row>
    <row r="86" spans="1:55" ht="18" customHeight="1">
      <c r="A86" s="1867"/>
      <c r="B86" s="4983"/>
      <c r="C86" s="4997"/>
      <c r="D86" s="4997"/>
      <c r="E86" s="4997"/>
      <c r="F86" s="4997"/>
      <c r="G86" s="4997"/>
      <c r="H86" s="4997"/>
      <c r="I86" s="4996"/>
      <c r="J86" s="4955"/>
      <c r="K86" s="4953"/>
      <c r="L86" s="4954"/>
      <c r="M86" s="4955"/>
      <c r="N86" s="4953"/>
      <c r="O86" s="4953"/>
      <c r="P86" s="4954"/>
      <c r="Q86" s="4955"/>
      <c r="R86" s="4953"/>
      <c r="S86" s="4953"/>
      <c r="T86" s="4954"/>
      <c r="U86" s="4298"/>
      <c r="V86" s="4926"/>
      <c r="W86" s="4926"/>
      <c r="X86" s="5031"/>
      <c r="Y86" s="5005" t="s">
        <v>1544</v>
      </c>
      <c r="Z86" s="5006"/>
      <c r="AA86" s="5008" t="s">
        <v>1545</v>
      </c>
      <c r="AB86" s="5009"/>
      <c r="AC86" s="4298"/>
      <c r="AD86" s="4926"/>
      <c r="AE86" s="4926"/>
      <c r="AF86" s="4926"/>
      <c r="AG86" s="1867"/>
      <c r="AJ86" s="4935"/>
      <c r="AK86" s="4935"/>
      <c r="AL86" s="4935"/>
      <c r="AM86" s="4935"/>
      <c r="AN86" s="4937"/>
      <c r="AO86" s="4931" t="s">
        <v>1554</v>
      </c>
      <c r="AP86" s="4933" t="s">
        <v>1545</v>
      </c>
      <c r="AQ86" s="4935"/>
      <c r="BA86" s="4930"/>
      <c r="BB86" s="4930"/>
      <c r="BC86" s="4930"/>
    </row>
    <row r="87" spans="1:55" ht="18" customHeight="1">
      <c r="A87" s="1867"/>
      <c r="B87" s="4984"/>
      <c r="C87" s="4998"/>
      <c r="D87" s="4998"/>
      <c r="E87" s="4998"/>
      <c r="F87" s="4998"/>
      <c r="G87" s="4998"/>
      <c r="H87" s="4998"/>
      <c r="I87" s="4999"/>
      <c r="J87" s="4956"/>
      <c r="K87" s="4957"/>
      <c r="L87" s="4958"/>
      <c r="M87" s="4956"/>
      <c r="N87" s="4957"/>
      <c r="O87" s="4957"/>
      <c r="P87" s="4958"/>
      <c r="Q87" s="4956"/>
      <c r="R87" s="4957"/>
      <c r="S87" s="4957"/>
      <c r="T87" s="4958"/>
      <c r="U87" s="4300"/>
      <c r="V87" s="4301"/>
      <c r="W87" s="4301"/>
      <c r="X87" s="5007"/>
      <c r="Y87" s="4300"/>
      <c r="Z87" s="5007"/>
      <c r="AA87" s="4564"/>
      <c r="AB87" s="4452"/>
      <c r="AC87" s="4300"/>
      <c r="AD87" s="4301"/>
      <c r="AE87" s="4301"/>
      <c r="AF87" s="4301"/>
      <c r="AG87" s="1867"/>
      <c r="AJ87" s="4935"/>
      <c r="AK87" s="4935"/>
      <c r="AL87" s="4935"/>
      <c r="AM87" s="4935"/>
      <c r="AN87" s="4937"/>
      <c r="AO87" s="4244"/>
      <c r="AP87" s="4244"/>
      <c r="AQ87" s="4935"/>
      <c r="BA87" s="4930"/>
      <c r="BB87" s="4930"/>
      <c r="BC87" s="4930"/>
    </row>
    <row r="88" spans="1:55" s="2642" customFormat="1" ht="19.5" customHeight="1">
      <c r="A88" s="1867">
        <f>IF(OR(U88&lt;&gt;"",Y88&lt;&gt;""),1,0)</f>
        <v>0</v>
      </c>
      <c r="B88" s="4945" t="str">
        <f>IF(AJ88="","",AJ88)</f>
        <v/>
      </c>
      <c r="C88" s="4946"/>
      <c r="D88" s="4946"/>
      <c r="E88" s="4946"/>
      <c r="F88" s="4946"/>
      <c r="G88" s="4946"/>
      <c r="H88" s="4946"/>
      <c r="I88" s="4947"/>
      <c r="J88" s="4943" t="str">
        <f>IF(AK88="","",AK88)</f>
        <v/>
      </c>
      <c r="K88" s="4944"/>
      <c r="L88" s="4944"/>
      <c r="M88" s="4943" t="str">
        <f>IF(AL88="","",AL88)</f>
        <v/>
      </c>
      <c r="N88" s="4944"/>
      <c r="O88" s="4944"/>
      <c r="P88" s="4948"/>
      <c r="Q88" s="3792" t="str">
        <f>IF(AM88="","",AM88)</f>
        <v/>
      </c>
      <c r="R88" s="4938"/>
      <c r="S88" s="4938"/>
      <c r="T88" s="4103"/>
      <c r="U88" s="3792" t="str">
        <f>IF(AN88="","",AN88)</f>
        <v/>
      </c>
      <c r="V88" s="4938"/>
      <c r="W88" s="4938"/>
      <c r="X88" s="4103"/>
      <c r="Y88" s="4921" t="str">
        <f>IF(AO88&lt;&gt;"",AO88,"")</f>
        <v/>
      </c>
      <c r="Z88" s="3747"/>
      <c r="AA88" s="4921" t="str">
        <f>IF(AP88="","",AP88)</f>
        <v/>
      </c>
      <c r="AB88" s="3747"/>
      <c r="AC88" s="4919" t="str">
        <f>IF(AQ88&lt;&gt;"",AQ88,IF(AND(Q88&lt;&gt;"",U88&lt;&gt;""),SUM(Q88,-U88,AA88),""))</f>
        <v/>
      </c>
      <c r="AD88" s="4920"/>
      <c r="AE88" s="4920"/>
      <c r="AF88" s="4920"/>
      <c r="AG88" s="2837">
        <f>IF(OR(J88="",M88=""),0,IF(OR(BA88,BB88,BC88),1,0))</f>
        <v>0</v>
      </c>
      <c r="AH88" s="1804"/>
      <c r="AI88" s="1804" t="e">
        <f>M88-J88</f>
        <v>#VALUE!</v>
      </c>
      <c r="AJ88" s="2650"/>
      <c r="AK88" s="2654"/>
      <c r="AL88" s="2654"/>
      <c r="AM88" s="2652"/>
      <c r="AN88" s="2652"/>
      <c r="AO88" s="2653"/>
      <c r="AP88" s="2652"/>
      <c r="AQ88" s="2651"/>
      <c r="AS88" s="2826" t="e">
        <f>YEAR(J88)</f>
        <v>#VALUE!</v>
      </c>
      <c r="AT88" s="2826" t="e">
        <f>MONTH(J88)</f>
        <v>#VALUE!</v>
      </c>
      <c r="AU88" s="2826" t="e">
        <f>DAY(J88)</f>
        <v>#VALUE!</v>
      </c>
      <c r="AV88" s="2826"/>
      <c r="AW88" s="2826" t="e">
        <f>YEAR(M88)</f>
        <v>#VALUE!</v>
      </c>
      <c r="AX88" s="2826" t="e">
        <f>MONTH(M88)</f>
        <v>#VALUE!</v>
      </c>
      <c r="AY88" s="2826" t="e">
        <f>DAY(M88)</f>
        <v>#VALUE!</v>
      </c>
      <c r="AZ88" s="2826"/>
      <c r="BA88" s="2826" t="e">
        <f>IF(AW88=AS88,TRUE,FALSE)</f>
        <v>#VALUE!</v>
      </c>
      <c r="BB88" s="2826" t="e">
        <f>IF(AND(AW88=AS88+1,AX88&lt;AT88),TRUE,FALSE)</f>
        <v>#VALUE!</v>
      </c>
      <c r="BC88" s="2826" t="e">
        <f>IF(AND(AW88=AS88+1,AX88=AT88,AY88&lt;=AU88),TRUE,FALSE)</f>
        <v>#VALUE!</v>
      </c>
    </row>
    <row r="89" spans="1:55" s="2642" customFormat="1" ht="19.5" customHeight="1">
      <c r="A89" s="1867">
        <f t="shared" ref="A89:A115" si="20">IF(OR(U89&lt;&gt;"",Y89&lt;&gt;""),1,0)</f>
        <v>0</v>
      </c>
      <c r="B89" s="4945" t="str">
        <f t="shared" ref="B89:B115" si="21">IF(AJ89="","",AJ89)</f>
        <v/>
      </c>
      <c r="C89" s="4946"/>
      <c r="D89" s="4946"/>
      <c r="E89" s="4946"/>
      <c r="F89" s="4946"/>
      <c r="G89" s="4946"/>
      <c r="H89" s="4946"/>
      <c r="I89" s="4947"/>
      <c r="J89" s="4943" t="str">
        <f t="shared" ref="J89:J115" si="22">IF(AK89="","",AK89)</f>
        <v/>
      </c>
      <c r="K89" s="4944"/>
      <c r="L89" s="4944"/>
      <c r="M89" s="4943" t="str">
        <f t="shared" ref="M89:M115" si="23">IF(AL89="","",AL89)</f>
        <v/>
      </c>
      <c r="N89" s="4944"/>
      <c r="O89" s="4944"/>
      <c r="P89" s="4948"/>
      <c r="Q89" s="3792" t="str">
        <f t="shared" ref="Q89:Q115" si="24">IF(AM89="","",AM89)</f>
        <v/>
      </c>
      <c r="R89" s="4938"/>
      <c r="S89" s="4938"/>
      <c r="T89" s="4103"/>
      <c r="U89" s="3792" t="str">
        <f t="shared" ref="U89:U115" si="25">IF(AN89="","",AN89)</f>
        <v/>
      </c>
      <c r="V89" s="4938"/>
      <c r="W89" s="4938"/>
      <c r="X89" s="4103"/>
      <c r="Y89" s="4921" t="str">
        <f t="shared" ref="Y89:Y115" si="26">IF(AO89&lt;&gt;"",AO89,"")</f>
        <v/>
      </c>
      <c r="Z89" s="3747"/>
      <c r="AA89" s="4921" t="str">
        <f t="shared" ref="AA89:AA115" si="27">IF(AP89="","",AP89)</f>
        <v/>
      </c>
      <c r="AB89" s="3747"/>
      <c r="AC89" s="4919" t="str">
        <f t="shared" ref="AC89:AC115" si="28">IF(AQ89&lt;&gt;"",AQ89,IF(AND(Q89&lt;&gt;"",U89&lt;&gt;""),SUM(Q89,-U89,AA89),""))</f>
        <v/>
      </c>
      <c r="AD89" s="4920"/>
      <c r="AE89" s="4920"/>
      <c r="AF89" s="4920"/>
      <c r="AG89" s="2837">
        <f t="shared" ref="AG89:AG115" si="29">IF(OR(J89="",M89=""),0,IF(OR(BA89,BB89,BC89),1,0))</f>
        <v>0</v>
      </c>
      <c r="AH89" s="1804"/>
      <c r="AI89" s="1804" t="e">
        <f t="shared" ref="AI89:AI115" si="30">M89-J89</f>
        <v>#VALUE!</v>
      </c>
      <c r="AJ89" s="2650"/>
      <c r="AK89" s="2654"/>
      <c r="AL89" s="2654"/>
      <c r="AM89" s="2652"/>
      <c r="AN89" s="2652"/>
      <c r="AO89" s="2653"/>
      <c r="AP89" s="2652"/>
      <c r="AQ89" s="2651"/>
      <c r="AS89" s="2826" t="e">
        <f t="shared" ref="AS89:AS115" si="31">YEAR(J89)</f>
        <v>#VALUE!</v>
      </c>
      <c r="AT89" s="2826" t="e">
        <f t="shared" ref="AT89:AT115" si="32">MONTH(J89)</f>
        <v>#VALUE!</v>
      </c>
      <c r="AU89" s="2826" t="e">
        <f t="shared" ref="AU89:AU115" si="33">DAY(J89)</f>
        <v>#VALUE!</v>
      </c>
      <c r="AV89" s="2826"/>
      <c r="AW89" s="2826" t="e">
        <f t="shared" ref="AW89:AW115" si="34">YEAR(M89)</f>
        <v>#VALUE!</v>
      </c>
      <c r="AX89" s="2826" t="e">
        <f t="shared" ref="AX89:AX115" si="35">MONTH(M89)</f>
        <v>#VALUE!</v>
      </c>
      <c r="AY89" s="2826" t="e">
        <f t="shared" ref="AY89:AY115" si="36">DAY(M89)</f>
        <v>#VALUE!</v>
      </c>
      <c r="AZ89" s="2826"/>
      <c r="BA89" s="2826" t="e">
        <f t="shared" ref="BA89:BA115" si="37">IF(AW89=AS89,TRUE,FALSE)</f>
        <v>#VALUE!</v>
      </c>
      <c r="BB89" s="2826" t="e">
        <f t="shared" ref="BB89:BB115" si="38">IF(AND(AW89=AS89+1,AX89&lt;AT89),TRUE,FALSE)</f>
        <v>#VALUE!</v>
      </c>
      <c r="BC89" s="2826" t="e">
        <f t="shared" ref="BC89:BC115" si="39">IF(AND(AW89=AS89+1,AX89=AT89,AY89&lt;=AU89),TRUE,FALSE)</f>
        <v>#VALUE!</v>
      </c>
    </row>
    <row r="90" spans="1:55" s="2642" customFormat="1" ht="19.5" customHeight="1">
      <c r="A90" s="1867">
        <f t="shared" si="20"/>
        <v>0</v>
      </c>
      <c r="B90" s="4945" t="str">
        <f t="shared" si="21"/>
        <v/>
      </c>
      <c r="C90" s="4946"/>
      <c r="D90" s="4946"/>
      <c r="E90" s="4946"/>
      <c r="F90" s="4946"/>
      <c r="G90" s="4946"/>
      <c r="H90" s="4946"/>
      <c r="I90" s="4947"/>
      <c r="J90" s="4943" t="str">
        <f t="shared" si="22"/>
        <v/>
      </c>
      <c r="K90" s="4944"/>
      <c r="L90" s="4944"/>
      <c r="M90" s="4943" t="str">
        <f t="shared" si="23"/>
        <v/>
      </c>
      <c r="N90" s="4944"/>
      <c r="O90" s="4944"/>
      <c r="P90" s="4948"/>
      <c r="Q90" s="3792" t="str">
        <f t="shared" si="24"/>
        <v/>
      </c>
      <c r="R90" s="4938"/>
      <c r="S90" s="4938"/>
      <c r="T90" s="4103"/>
      <c r="U90" s="3792" t="str">
        <f t="shared" si="25"/>
        <v/>
      </c>
      <c r="V90" s="4938"/>
      <c r="W90" s="4938"/>
      <c r="X90" s="4103"/>
      <c r="Y90" s="4921" t="str">
        <f t="shared" si="26"/>
        <v/>
      </c>
      <c r="Z90" s="3747"/>
      <c r="AA90" s="4921" t="str">
        <f t="shared" si="27"/>
        <v/>
      </c>
      <c r="AB90" s="3747"/>
      <c r="AC90" s="4919" t="str">
        <f t="shared" si="28"/>
        <v/>
      </c>
      <c r="AD90" s="4920"/>
      <c r="AE90" s="4920"/>
      <c r="AF90" s="4920"/>
      <c r="AG90" s="2837">
        <f t="shared" si="29"/>
        <v>0</v>
      </c>
      <c r="AH90" s="1804"/>
      <c r="AI90" s="1804" t="e">
        <f t="shared" si="30"/>
        <v>#VALUE!</v>
      </c>
      <c r="AJ90" s="2650"/>
      <c r="AK90" s="2654"/>
      <c r="AL90" s="2654"/>
      <c r="AM90" s="2652"/>
      <c r="AN90" s="2652"/>
      <c r="AO90" s="2653"/>
      <c r="AP90" s="2652"/>
      <c r="AQ90" s="2651"/>
      <c r="AS90" s="2826" t="e">
        <f t="shared" si="31"/>
        <v>#VALUE!</v>
      </c>
      <c r="AT90" s="2826" t="e">
        <f t="shared" si="32"/>
        <v>#VALUE!</v>
      </c>
      <c r="AU90" s="2826" t="e">
        <f t="shared" si="33"/>
        <v>#VALUE!</v>
      </c>
      <c r="AV90" s="2826"/>
      <c r="AW90" s="2826" t="e">
        <f t="shared" si="34"/>
        <v>#VALUE!</v>
      </c>
      <c r="AX90" s="2826" t="e">
        <f t="shared" si="35"/>
        <v>#VALUE!</v>
      </c>
      <c r="AY90" s="2826" t="e">
        <f t="shared" si="36"/>
        <v>#VALUE!</v>
      </c>
      <c r="AZ90" s="2826"/>
      <c r="BA90" s="2826" t="e">
        <f t="shared" si="37"/>
        <v>#VALUE!</v>
      </c>
      <c r="BB90" s="2826" t="e">
        <f t="shared" si="38"/>
        <v>#VALUE!</v>
      </c>
      <c r="BC90" s="2826" t="e">
        <f t="shared" si="39"/>
        <v>#VALUE!</v>
      </c>
    </row>
    <row r="91" spans="1:55" s="2642" customFormat="1" ht="19.5" customHeight="1">
      <c r="A91" s="1867">
        <f t="shared" si="20"/>
        <v>0</v>
      </c>
      <c r="B91" s="4945" t="str">
        <f t="shared" si="21"/>
        <v/>
      </c>
      <c r="C91" s="4946"/>
      <c r="D91" s="4946"/>
      <c r="E91" s="4946"/>
      <c r="F91" s="4946"/>
      <c r="G91" s="4946"/>
      <c r="H91" s="4946"/>
      <c r="I91" s="4947"/>
      <c r="J91" s="4943" t="str">
        <f t="shared" si="22"/>
        <v/>
      </c>
      <c r="K91" s="4944"/>
      <c r="L91" s="4944"/>
      <c r="M91" s="4943" t="str">
        <f t="shared" si="23"/>
        <v/>
      </c>
      <c r="N91" s="4944"/>
      <c r="O91" s="4944"/>
      <c r="P91" s="4948"/>
      <c r="Q91" s="3792" t="str">
        <f t="shared" si="24"/>
        <v/>
      </c>
      <c r="R91" s="4938"/>
      <c r="S91" s="4938"/>
      <c r="T91" s="4103"/>
      <c r="U91" s="3792" t="str">
        <f t="shared" si="25"/>
        <v/>
      </c>
      <c r="V91" s="4938"/>
      <c r="W91" s="4938"/>
      <c r="X91" s="4103"/>
      <c r="Y91" s="4921" t="str">
        <f t="shared" si="26"/>
        <v/>
      </c>
      <c r="Z91" s="3747"/>
      <c r="AA91" s="4921" t="str">
        <f t="shared" si="27"/>
        <v/>
      </c>
      <c r="AB91" s="3747"/>
      <c r="AC91" s="4919" t="str">
        <f t="shared" si="28"/>
        <v/>
      </c>
      <c r="AD91" s="4920"/>
      <c r="AE91" s="4920"/>
      <c r="AF91" s="4920"/>
      <c r="AG91" s="2837">
        <f t="shared" si="29"/>
        <v>0</v>
      </c>
      <c r="AH91" s="1804"/>
      <c r="AI91" s="1804" t="e">
        <f t="shared" si="30"/>
        <v>#VALUE!</v>
      </c>
      <c r="AJ91" s="2650"/>
      <c r="AK91" s="2654"/>
      <c r="AL91" s="2654"/>
      <c r="AM91" s="2652"/>
      <c r="AN91" s="2652"/>
      <c r="AO91" s="2653"/>
      <c r="AP91" s="2652"/>
      <c r="AQ91" s="2651"/>
      <c r="AS91" s="2826" t="e">
        <f t="shared" si="31"/>
        <v>#VALUE!</v>
      </c>
      <c r="AT91" s="2826" t="e">
        <f t="shared" si="32"/>
        <v>#VALUE!</v>
      </c>
      <c r="AU91" s="2826" t="e">
        <f t="shared" si="33"/>
        <v>#VALUE!</v>
      </c>
      <c r="AV91" s="2826"/>
      <c r="AW91" s="2826" t="e">
        <f t="shared" si="34"/>
        <v>#VALUE!</v>
      </c>
      <c r="AX91" s="2826" t="e">
        <f t="shared" si="35"/>
        <v>#VALUE!</v>
      </c>
      <c r="AY91" s="2826" t="e">
        <f t="shared" si="36"/>
        <v>#VALUE!</v>
      </c>
      <c r="AZ91" s="2826"/>
      <c r="BA91" s="2826" t="e">
        <f t="shared" si="37"/>
        <v>#VALUE!</v>
      </c>
      <c r="BB91" s="2826" t="e">
        <f t="shared" si="38"/>
        <v>#VALUE!</v>
      </c>
      <c r="BC91" s="2826" t="e">
        <f t="shared" si="39"/>
        <v>#VALUE!</v>
      </c>
    </row>
    <row r="92" spans="1:55" s="2642" customFormat="1" ht="19.5" customHeight="1">
      <c r="A92" s="1867">
        <f t="shared" si="20"/>
        <v>0</v>
      </c>
      <c r="B92" s="4945" t="str">
        <f t="shared" si="21"/>
        <v/>
      </c>
      <c r="C92" s="4946"/>
      <c r="D92" s="4946"/>
      <c r="E92" s="4946"/>
      <c r="F92" s="4946"/>
      <c r="G92" s="4946"/>
      <c r="H92" s="4946"/>
      <c r="I92" s="4947"/>
      <c r="J92" s="4943" t="str">
        <f t="shared" si="22"/>
        <v/>
      </c>
      <c r="K92" s="4944"/>
      <c r="L92" s="4944"/>
      <c r="M92" s="4943" t="str">
        <f t="shared" si="23"/>
        <v/>
      </c>
      <c r="N92" s="4944"/>
      <c r="O92" s="4944"/>
      <c r="P92" s="4948"/>
      <c r="Q92" s="3792" t="str">
        <f t="shared" si="24"/>
        <v/>
      </c>
      <c r="R92" s="4938"/>
      <c r="S92" s="4938"/>
      <c r="T92" s="4103"/>
      <c r="U92" s="3792" t="str">
        <f t="shared" si="25"/>
        <v/>
      </c>
      <c r="V92" s="4938"/>
      <c r="W92" s="4938"/>
      <c r="X92" s="4103"/>
      <c r="Y92" s="4921" t="str">
        <f t="shared" si="26"/>
        <v/>
      </c>
      <c r="Z92" s="3747"/>
      <c r="AA92" s="4921" t="str">
        <f t="shared" si="27"/>
        <v/>
      </c>
      <c r="AB92" s="3747"/>
      <c r="AC92" s="4919" t="str">
        <f t="shared" si="28"/>
        <v/>
      </c>
      <c r="AD92" s="4920"/>
      <c r="AE92" s="4920"/>
      <c r="AF92" s="4920"/>
      <c r="AG92" s="2837">
        <f t="shared" si="29"/>
        <v>0</v>
      </c>
      <c r="AH92" s="1804"/>
      <c r="AI92" s="1804" t="e">
        <f t="shared" si="30"/>
        <v>#VALUE!</v>
      </c>
      <c r="AJ92" s="2650"/>
      <c r="AK92" s="2654"/>
      <c r="AL92" s="2654"/>
      <c r="AM92" s="2652"/>
      <c r="AN92" s="2652"/>
      <c r="AO92" s="2653"/>
      <c r="AP92" s="2652"/>
      <c r="AQ92" s="2651"/>
      <c r="AS92" s="2826" t="e">
        <f t="shared" si="31"/>
        <v>#VALUE!</v>
      </c>
      <c r="AT92" s="2826" t="e">
        <f t="shared" si="32"/>
        <v>#VALUE!</v>
      </c>
      <c r="AU92" s="2826" t="e">
        <f t="shared" si="33"/>
        <v>#VALUE!</v>
      </c>
      <c r="AV92" s="2826"/>
      <c r="AW92" s="2826" t="e">
        <f t="shared" si="34"/>
        <v>#VALUE!</v>
      </c>
      <c r="AX92" s="2826" t="e">
        <f t="shared" si="35"/>
        <v>#VALUE!</v>
      </c>
      <c r="AY92" s="2826" t="e">
        <f t="shared" si="36"/>
        <v>#VALUE!</v>
      </c>
      <c r="AZ92" s="2826"/>
      <c r="BA92" s="2826" t="e">
        <f t="shared" si="37"/>
        <v>#VALUE!</v>
      </c>
      <c r="BB92" s="2826" t="e">
        <f t="shared" si="38"/>
        <v>#VALUE!</v>
      </c>
      <c r="BC92" s="2826" t="e">
        <f t="shared" si="39"/>
        <v>#VALUE!</v>
      </c>
    </row>
    <row r="93" spans="1:55" s="2642" customFormat="1" ht="19.5" customHeight="1">
      <c r="A93" s="1867">
        <f t="shared" si="20"/>
        <v>0</v>
      </c>
      <c r="B93" s="4945" t="str">
        <f t="shared" si="21"/>
        <v/>
      </c>
      <c r="C93" s="4946"/>
      <c r="D93" s="4946"/>
      <c r="E93" s="4946"/>
      <c r="F93" s="4946"/>
      <c r="G93" s="4946"/>
      <c r="H93" s="4946"/>
      <c r="I93" s="4947"/>
      <c r="J93" s="4943" t="str">
        <f t="shared" si="22"/>
        <v/>
      </c>
      <c r="K93" s="4944"/>
      <c r="L93" s="4944"/>
      <c r="M93" s="4943" t="str">
        <f t="shared" si="23"/>
        <v/>
      </c>
      <c r="N93" s="4944"/>
      <c r="O93" s="4944"/>
      <c r="P93" s="4948"/>
      <c r="Q93" s="3792" t="str">
        <f t="shared" si="24"/>
        <v/>
      </c>
      <c r="R93" s="4938"/>
      <c r="S93" s="4938"/>
      <c r="T93" s="4103"/>
      <c r="U93" s="3792" t="str">
        <f t="shared" si="25"/>
        <v/>
      </c>
      <c r="V93" s="4938"/>
      <c r="W93" s="4938"/>
      <c r="X93" s="4103"/>
      <c r="Y93" s="4921" t="str">
        <f t="shared" si="26"/>
        <v/>
      </c>
      <c r="Z93" s="3747"/>
      <c r="AA93" s="4921" t="str">
        <f t="shared" si="27"/>
        <v/>
      </c>
      <c r="AB93" s="3747"/>
      <c r="AC93" s="4919" t="str">
        <f t="shared" si="28"/>
        <v/>
      </c>
      <c r="AD93" s="4920"/>
      <c r="AE93" s="4920"/>
      <c r="AF93" s="4920"/>
      <c r="AG93" s="2837">
        <f t="shared" si="29"/>
        <v>0</v>
      </c>
      <c r="AH93" s="1804"/>
      <c r="AI93" s="1804" t="e">
        <f t="shared" si="30"/>
        <v>#VALUE!</v>
      </c>
      <c r="AJ93" s="2650"/>
      <c r="AK93" s="2654"/>
      <c r="AL93" s="2654"/>
      <c r="AM93" s="2652"/>
      <c r="AN93" s="2652"/>
      <c r="AO93" s="2653"/>
      <c r="AP93" s="2652"/>
      <c r="AQ93" s="2651"/>
      <c r="AS93" s="2826" t="e">
        <f t="shared" si="31"/>
        <v>#VALUE!</v>
      </c>
      <c r="AT93" s="2826" t="e">
        <f t="shared" si="32"/>
        <v>#VALUE!</v>
      </c>
      <c r="AU93" s="2826" t="e">
        <f t="shared" si="33"/>
        <v>#VALUE!</v>
      </c>
      <c r="AV93" s="2826"/>
      <c r="AW93" s="2826" t="e">
        <f t="shared" si="34"/>
        <v>#VALUE!</v>
      </c>
      <c r="AX93" s="2826" t="e">
        <f t="shared" si="35"/>
        <v>#VALUE!</v>
      </c>
      <c r="AY93" s="2826" t="e">
        <f t="shared" si="36"/>
        <v>#VALUE!</v>
      </c>
      <c r="AZ93" s="2826"/>
      <c r="BA93" s="2826" t="e">
        <f t="shared" si="37"/>
        <v>#VALUE!</v>
      </c>
      <c r="BB93" s="2826" t="e">
        <f t="shared" si="38"/>
        <v>#VALUE!</v>
      </c>
      <c r="BC93" s="2826" t="e">
        <f t="shared" si="39"/>
        <v>#VALUE!</v>
      </c>
    </row>
    <row r="94" spans="1:55" s="2642" customFormat="1" ht="19.5" customHeight="1">
      <c r="A94" s="1867">
        <f t="shared" si="20"/>
        <v>0</v>
      </c>
      <c r="B94" s="4945" t="str">
        <f t="shared" si="21"/>
        <v/>
      </c>
      <c r="C94" s="4946"/>
      <c r="D94" s="4946"/>
      <c r="E94" s="4946"/>
      <c r="F94" s="4946"/>
      <c r="G94" s="4946"/>
      <c r="H94" s="4946"/>
      <c r="I94" s="4947"/>
      <c r="J94" s="4943" t="str">
        <f t="shared" si="22"/>
        <v/>
      </c>
      <c r="K94" s="4944"/>
      <c r="L94" s="4944"/>
      <c r="M94" s="4943" t="str">
        <f t="shared" si="23"/>
        <v/>
      </c>
      <c r="N94" s="4944"/>
      <c r="O94" s="4944"/>
      <c r="P94" s="4948"/>
      <c r="Q94" s="3792" t="str">
        <f t="shared" si="24"/>
        <v/>
      </c>
      <c r="R94" s="4938"/>
      <c r="S94" s="4938"/>
      <c r="T94" s="4103"/>
      <c r="U94" s="3792" t="str">
        <f t="shared" si="25"/>
        <v/>
      </c>
      <c r="V94" s="4938"/>
      <c r="W94" s="4938"/>
      <c r="X94" s="4103"/>
      <c r="Y94" s="4921" t="str">
        <f t="shared" si="26"/>
        <v/>
      </c>
      <c r="Z94" s="3747"/>
      <c r="AA94" s="4921" t="str">
        <f t="shared" si="27"/>
        <v/>
      </c>
      <c r="AB94" s="3747"/>
      <c r="AC94" s="4919" t="str">
        <f t="shared" si="28"/>
        <v/>
      </c>
      <c r="AD94" s="4920"/>
      <c r="AE94" s="4920"/>
      <c r="AF94" s="4920"/>
      <c r="AG94" s="2837">
        <f t="shared" si="29"/>
        <v>0</v>
      </c>
      <c r="AH94" s="1804"/>
      <c r="AI94" s="1804" t="e">
        <f t="shared" si="30"/>
        <v>#VALUE!</v>
      </c>
      <c r="AJ94" s="2650"/>
      <c r="AK94" s="2654"/>
      <c r="AL94" s="2654"/>
      <c r="AM94" s="2652"/>
      <c r="AN94" s="2652"/>
      <c r="AO94" s="2653"/>
      <c r="AP94" s="2652"/>
      <c r="AQ94" s="2651"/>
      <c r="AS94" s="2826" t="e">
        <f t="shared" si="31"/>
        <v>#VALUE!</v>
      </c>
      <c r="AT94" s="2826" t="e">
        <f t="shared" si="32"/>
        <v>#VALUE!</v>
      </c>
      <c r="AU94" s="2826" t="e">
        <f t="shared" si="33"/>
        <v>#VALUE!</v>
      </c>
      <c r="AV94" s="2826"/>
      <c r="AW94" s="2826" t="e">
        <f t="shared" si="34"/>
        <v>#VALUE!</v>
      </c>
      <c r="AX94" s="2826" t="e">
        <f t="shared" si="35"/>
        <v>#VALUE!</v>
      </c>
      <c r="AY94" s="2826" t="e">
        <f t="shared" si="36"/>
        <v>#VALUE!</v>
      </c>
      <c r="AZ94" s="2826"/>
      <c r="BA94" s="2826" t="e">
        <f t="shared" si="37"/>
        <v>#VALUE!</v>
      </c>
      <c r="BB94" s="2826" t="e">
        <f t="shared" si="38"/>
        <v>#VALUE!</v>
      </c>
      <c r="BC94" s="2826" t="e">
        <f t="shared" si="39"/>
        <v>#VALUE!</v>
      </c>
    </row>
    <row r="95" spans="1:55" s="2642" customFormat="1" ht="19.5" customHeight="1">
      <c r="A95" s="1867">
        <f t="shared" si="20"/>
        <v>0</v>
      </c>
      <c r="B95" s="4945" t="str">
        <f t="shared" si="21"/>
        <v/>
      </c>
      <c r="C95" s="4946"/>
      <c r="D95" s="4946"/>
      <c r="E95" s="4946"/>
      <c r="F95" s="4946"/>
      <c r="G95" s="4946"/>
      <c r="H95" s="4946"/>
      <c r="I95" s="4947"/>
      <c r="J95" s="4943" t="str">
        <f t="shared" si="22"/>
        <v/>
      </c>
      <c r="K95" s="4944"/>
      <c r="L95" s="4944"/>
      <c r="M95" s="4943" t="str">
        <f t="shared" si="23"/>
        <v/>
      </c>
      <c r="N95" s="4944"/>
      <c r="O95" s="4944"/>
      <c r="P95" s="4948"/>
      <c r="Q95" s="3792" t="str">
        <f t="shared" si="24"/>
        <v/>
      </c>
      <c r="R95" s="4938"/>
      <c r="S95" s="4938"/>
      <c r="T95" s="4103"/>
      <c r="U95" s="3792" t="str">
        <f t="shared" si="25"/>
        <v/>
      </c>
      <c r="V95" s="4938"/>
      <c r="W95" s="4938"/>
      <c r="X95" s="4103"/>
      <c r="Y95" s="4921" t="str">
        <f t="shared" si="26"/>
        <v/>
      </c>
      <c r="Z95" s="3747"/>
      <c r="AA95" s="4921" t="str">
        <f t="shared" si="27"/>
        <v/>
      </c>
      <c r="AB95" s="3747"/>
      <c r="AC95" s="4919" t="str">
        <f t="shared" si="28"/>
        <v/>
      </c>
      <c r="AD95" s="4920"/>
      <c r="AE95" s="4920"/>
      <c r="AF95" s="4920"/>
      <c r="AG95" s="2837">
        <f t="shared" si="29"/>
        <v>0</v>
      </c>
      <c r="AH95" s="1804"/>
      <c r="AI95" s="1804" t="e">
        <f t="shared" si="30"/>
        <v>#VALUE!</v>
      </c>
      <c r="AJ95" s="2650"/>
      <c r="AK95" s="2654"/>
      <c r="AL95" s="2654"/>
      <c r="AM95" s="2652"/>
      <c r="AN95" s="2652"/>
      <c r="AO95" s="2653"/>
      <c r="AP95" s="2652"/>
      <c r="AQ95" s="2651"/>
      <c r="AS95" s="2826" t="e">
        <f t="shared" si="31"/>
        <v>#VALUE!</v>
      </c>
      <c r="AT95" s="2826" t="e">
        <f t="shared" si="32"/>
        <v>#VALUE!</v>
      </c>
      <c r="AU95" s="2826" t="e">
        <f t="shared" si="33"/>
        <v>#VALUE!</v>
      </c>
      <c r="AV95" s="2826"/>
      <c r="AW95" s="2826" t="e">
        <f t="shared" si="34"/>
        <v>#VALUE!</v>
      </c>
      <c r="AX95" s="2826" t="e">
        <f t="shared" si="35"/>
        <v>#VALUE!</v>
      </c>
      <c r="AY95" s="2826" t="e">
        <f t="shared" si="36"/>
        <v>#VALUE!</v>
      </c>
      <c r="AZ95" s="2826"/>
      <c r="BA95" s="2826" t="e">
        <f t="shared" si="37"/>
        <v>#VALUE!</v>
      </c>
      <c r="BB95" s="2826" t="e">
        <f t="shared" si="38"/>
        <v>#VALUE!</v>
      </c>
      <c r="BC95" s="2826" t="e">
        <f t="shared" si="39"/>
        <v>#VALUE!</v>
      </c>
    </row>
    <row r="96" spans="1:55" s="2642" customFormat="1" ht="19.5" customHeight="1">
      <c r="A96" s="1867">
        <f t="shared" si="20"/>
        <v>0</v>
      </c>
      <c r="B96" s="4945" t="str">
        <f t="shared" si="21"/>
        <v/>
      </c>
      <c r="C96" s="4946"/>
      <c r="D96" s="4946"/>
      <c r="E96" s="4946"/>
      <c r="F96" s="4946"/>
      <c r="G96" s="4946"/>
      <c r="H96" s="4946"/>
      <c r="I96" s="4947"/>
      <c r="J96" s="4943" t="str">
        <f t="shared" si="22"/>
        <v/>
      </c>
      <c r="K96" s="4944"/>
      <c r="L96" s="4944"/>
      <c r="M96" s="4943" t="str">
        <f t="shared" si="23"/>
        <v/>
      </c>
      <c r="N96" s="4944"/>
      <c r="O96" s="4944"/>
      <c r="P96" s="4948"/>
      <c r="Q96" s="3792" t="str">
        <f t="shared" si="24"/>
        <v/>
      </c>
      <c r="R96" s="4938"/>
      <c r="S96" s="4938"/>
      <c r="T96" s="4103"/>
      <c r="U96" s="3792" t="str">
        <f t="shared" si="25"/>
        <v/>
      </c>
      <c r="V96" s="4938"/>
      <c r="W96" s="4938"/>
      <c r="X96" s="4103"/>
      <c r="Y96" s="4921" t="str">
        <f t="shared" si="26"/>
        <v/>
      </c>
      <c r="Z96" s="3747"/>
      <c r="AA96" s="4921" t="str">
        <f t="shared" si="27"/>
        <v/>
      </c>
      <c r="AB96" s="3747"/>
      <c r="AC96" s="4919" t="str">
        <f t="shared" si="28"/>
        <v/>
      </c>
      <c r="AD96" s="4920"/>
      <c r="AE96" s="4920"/>
      <c r="AF96" s="4920"/>
      <c r="AG96" s="2837">
        <f t="shared" si="29"/>
        <v>0</v>
      </c>
      <c r="AH96" s="1804"/>
      <c r="AI96" s="1804" t="e">
        <f t="shared" si="30"/>
        <v>#VALUE!</v>
      </c>
      <c r="AJ96" s="2650"/>
      <c r="AK96" s="2654"/>
      <c r="AL96" s="2654"/>
      <c r="AM96" s="2652"/>
      <c r="AN96" s="2652"/>
      <c r="AO96" s="2653"/>
      <c r="AP96" s="2652"/>
      <c r="AQ96" s="2651"/>
      <c r="AS96" s="2826" t="e">
        <f t="shared" si="31"/>
        <v>#VALUE!</v>
      </c>
      <c r="AT96" s="2826" t="e">
        <f t="shared" si="32"/>
        <v>#VALUE!</v>
      </c>
      <c r="AU96" s="2826" t="e">
        <f t="shared" si="33"/>
        <v>#VALUE!</v>
      </c>
      <c r="AV96" s="2826"/>
      <c r="AW96" s="2826" t="e">
        <f t="shared" si="34"/>
        <v>#VALUE!</v>
      </c>
      <c r="AX96" s="2826" t="e">
        <f t="shared" si="35"/>
        <v>#VALUE!</v>
      </c>
      <c r="AY96" s="2826" t="e">
        <f t="shared" si="36"/>
        <v>#VALUE!</v>
      </c>
      <c r="AZ96" s="2826"/>
      <c r="BA96" s="2826" t="e">
        <f t="shared" si="37"/>
        <v>#VALUE!</v>
      </c>
      <c r="BB96" s="2826" t="e">
        <f t="shared" si="38"/>
        <v>#VALUE!</v>
      </c>
      <c r="BC96" s="2826" t="e">
        <f t="shared" si="39"/>
        <v>#VALUE!</v>
      </c>
    </row>
    <row r="97" spans="1:55" s="2642" customFormat="1" ht="19.5" customHeight="1">
      <c r="A97" s="1867">
        <f t="shared" si="20"/>
        <v>0</v>
      </c>
      <c r="B97" s="4945" t="str">
        <f t="shared" si="21"/>
        <v/>
      </c>
      <c r="C97" s="4946"/>
      <c r="D97" s="4946"/>
      <c r="E97" s="4946"/>
      <c r="F97" s="4946"/>
      <c r="G97" s="4946"/>
      <c r="H97" s="4946"/>
      <c r="I97" s="4947"/>
      <c r="J97" s="4943" t="str">
        <f t="shared" si="22"/>
        <v/>
      </c>
      <c r="K97" s="4944"/>
      <c r="L97" s="4944"/>
      <c r="M97" s="4943" t="str">
        <f t="shared" si="23"/>
        <v/>
      </c>
      <c r="N97" s="4944"/>
      <c r="O97" s="4944"/>
      <c r="P97" s="4948"/>
      <c r="Q97" s="3792" t="str">
        <f t="shared" si="24"/>
        <v/>
      </c>
      <c r="R97" s="4938"/>
      <c r="S97" s="4938"/>
      <c r="T97" s="4103"/>
      <c r="U97" s="3792" t="str">
        <f t="shared" si="25"/>
        <v/>
      </c>
      <c r="V97" s="4938"/>
      <c r="W97" s="4938"/>
      <c r="X97" s="4103"/>
      <c r="Y97" s="4921" t="str">
        <f t="shared" si="26"/>
        <v/>
      </c>
      <c r="Z97" s="3747"/>
      <c r="AA97" s="4921" t="str">
        <f t="shared" si="27"/>
        <v/>
      </c>
      <c r="AB97" s="3747"/>
      <c r="AC97" s="4919" t="str">
        <f t="shared" si="28"/>
        <v/>
      </c>
      <c r="AD97" s="4920"/>
      <c r="AE97" s="4920"/>
      <c r="AF97" s="4920"/>
      <c r="AG97" s="2837">
        <f t="shared" si="29"/>
        <v>0</v>
      </c>
      <c r="AH97" s="1804"/>
      <c r="AI97" s="1804" t="e">
        <f t="shared" si="30"/>
        <v>#VALUE!</v>
      </c>
      <c r="AJ97" s="2650"/>
      <c r="AK97" s="2654"/>
      <c r="AL97" s="2654"/>
      <c r="AM97" s="2652"/>
      <c r="AN97" s="2652"/>
      <c r="AO97" s="2653"/>
      <c r="AP97" s="2652"/>
      <c r="AQ97" s="2651"/>
      <c r="AS97" s="2826" t="e">
        <f t="shared" si="31"/>
        <v>#VALUE!</v>
      </c>
      <c r="AT97" s="2826" t="e">
        <f t="shared" si="32"/>
        <v>#VALUE!</v>
      </c>
      <c r="AU97" s="2826" t="e">
        <f t="shared" si="33"/>
        <v>#VALUE!</v>
      </c>
      <c r="AV97" s="2826"/>
      <c r="AW97" s="2826" t="e">
        <f t="shared" si="34"/>
        <v>#VALUE!</v>
      </c>
      <c r="AX97" s="2826" t="e">
        <f t="shared" si="35"/>
        <v>#VALUE!</v>
      </c>
      <c r="AY97" s="2826" t="e">
        <f t="shared" si="36"/>
        <v>#VALUE!</v>
      </c>
      <c r="AZ97" s="2826"/>
      <c r="BA97" s="2826" t="e">
        <f t="shared" si="37"/>
        <v>#VALUE!</v>
      </c>
      <c r="BB97" s="2826" t="e">
        <f t="shared" si="38"/>
        <v>#VALUE!</v>
      </c>
      <c r="BC97" s="2826" t="e">
        <f t="shared" si="39"/>
        <v>#VALUE!</v>
      </c>
    </row>
    <row r="98" spans="1:55" s="2642" customFormat="1" ht="19.5" customHeight="1">
      <c r="A98" s="1867">
        <f t="shared" si="20"/>
        <v>0</v>
      </c>
      <c r="B98" s="4945" t="str">
        <f t="shared" si="21"/>
        <v/>
      </c>
      <c r="C98" s="4946"/>
      <c r="D98" s="4946"/>
      <c r="E98" s="4946"/>
      <c r="F98" s="4946"/>
      <c r="G98" s="4946"/>
      <c r="H98" s="4946"/>
      <c r="I98" s="4947"/>
      <c r="J98" s="4943" t="str">
        <f t="shared" si="22"/>
        <v/>
      </c>
      <c r="K98" s="4944"/>
      <c r="L98" s="4944"/>
      <c r="M98" s="4943" t="str">
        <f t="shared" si="23"/>
        <v/>
      </c>
      <c r="N98" s="4944"/>
      <c r="O98" s="4944"/>
      <c r="P98" s="4948"/>
      <c r="Q98" s="3792" t="str">
        <f t="shared" si="24"/>
        <v/>
      </c>
      <c r="R98" s="4938"/>
      <c r="S98" s="4938"/>
      <c r="T98" s="4103"/>
      <c r="U98" s="3792" t="str">
        <f t="shared" si="25"/>
        <v/>
      </c>
      <c r="V98" s="4938"/>
      <c r="W98" s="4938"/>
      <c r="X98" s="4103"/>
      <c r="Y98" s="4921" t="str">
        <f t="shared" si="26"/>
        <v/>
      </c>
      <c r="Z98" s="3747"/>
      <c r="AA98" s="4921" t="str">
        <f t="shared" si="27"/>
        <v/>
      </c>
      <c r="AB98" s="3747"/>
      <c r="AC98" s="4919" t="str">
        <f t="shared" si="28"/>
        <v/>
      </c>
      <c r="AD98" s="4920"/>
      <c r="AE98" s="4920"/>
      <c r="AF98" s="4920"/>
      <c r="AG98" s="2837">
        <f t="shared" si="29"/>
        <v>0</v>
      </c>
      <c r="AH98" s="1804"/>
      <c r="AI98" s="1804" t="e">
        <f t="shared" si="30"/>
        <v>#VALUE!</v>
      </c>
      <c r="AJ98" s="2650"/>
      <c r="AK98" s="2654"/>
      <c r="AL98" s="2654"/>
      <c r="AM98" s="2652"/>
      <c r="AN98" s="2652"/>
      <c r="AO98" s="2653"/>
      <c r="AP98" s="2652"/>
      <c r="AQ98" s="2651"/>
      <c r="AS98" s="2826" t="e">
        <f t="shared" si="31"/>
        <v>#VALUE!</v>
      </c>
      <c r="AT98" s="2826" t="e">
        <f t="shared" si="32"/>
        <v>#VALUE!</v>
      </c>
      <c r="AU98" s="2826" t="e">
        <f t="shared" si="33"/>
        <v>#VALUE!</v>
      </c>
      <c r="AV98" s="2826"/>
      <c r="AW98" s="2826" t="e">
        <f t="shared" si="34"/>
        <v>#VALUE!</v>
      </c>
      <c r="AX98" s="2826" t="e">
        <f t="shared" si="35"/>
        <v>#VALUE!</v>
      </c>
      <c r="AY98" s="2826" t="e">
        <f t="shared" si="36"/>
        <v>#VALUE!</v>
      </c>
      <c r="AZ98" s="2826"/>
      <c r="BA98" s="2826" t="e">
        <f t="shared" si="37"/>
        <v>#VALUE!</v>
      </c>
      <c r="BB98" s="2826" t="e">
        <f t="shared" si="38"/>
        <v>#VALUE!</v>
      </c>
      <c r="BC98" s="2826" t="e">
        <f t="shared" si="39"/>
        <v>#VALUE!</v>
      </c>
    </row>
    <row r="99" spans="1:55" s="2642" customFormat="1" ht="19.5" customHeight="1">
      <c r="A99" s="1867">
        <f t="shared" si="20"/>
        <v>0</v>
      </c>
      <c r="B99" s="4945" t="str">
        <f t="shared" si="21"/>
        <v/>
      </c>
      <c r="C99" s="4946"/>
      <c r="D99" s="4946"/>
      <c r="E99" s="4946"/>
      <c r="F99" s="4946"/>
      <c r="G99" s="4946"/>
      <c r="H99" s="4946"/>
      <c r="I99" s="4947"/>
      <c r="J99" s="4943" t="str">
        <f t="shared" si="22"/>
        <v/>
      </c>
      <c r="K99" s="4944"/>
      <c r="L99" s="4944"/>
      <c r="M99" s="4943" t="str">
        <f t="shared" si="23"/>
        <v/>
      </c>
      <c r="N99" s="4944"/>
      <c r="O99" s="4944"/>
      <c r="P99" s="4948"/>
      <c r="Q99" s="3792" t="str">
        <f t="shared" si="24"/>
        <v/>
      </c>
      <c r="R99" s="4938"/>
      <c r="S99" s="4938"/>
      <c r="T99" s="4103"/>
      <c r="U99" s="3792" t="str">
        <f t="shared" si="25"/>
        <v/>
      </c>
      <c r="V99" s="4938"/>
      <c r="W99" s="4938"/>
      <c r="X99" s="4103"/>
      <c r="Y99" s="4921" t="str">
        <f t="shared" si="26"/>
        <v/>
      </c>
      <c r="Z99" s="3747"/>
      <c r="AA99" s="4921" t="str">
        <f t="shared" si="27"/>
        <v/>
      </c>
      <c r="AB99" s="3747"/>
      <c r="AC99" s="4919" t="str">
        <f t="shared" si="28"/>
        <v/>
      </c>
      <c r="AD99" s="4920"/>
      <c r="AE99" s="4920"/>
      <c r="AF99" s="4920"/>
      <c r="AG99" s="2837">
        <f t="shared" si="29"/>
        <v>0</v>
      </c>
      <c r="AH99" s="1804"/>
      <c r="AI99" s="1804" t="e">
        <f t="shared" si="30"/>
        <v>#VALUE!</v>
      </c>
      <c r="AJ99" s="2650"/>
      <c r="AK99" s="2654"/>
      <c r="AL99" s="2654"/>
      <c r="AM99" s="2652"/>
      <c r="AN99" s="2652"/>
      <c r="AO99" s="2653"/>
      <c r="AP99" s="2652"/>
      <c r="AQ99" s="2651"/>
      <c r="AS99" s="2826" t="e">
        <f t="shared" si="31"/>
        <v>#VALUE!</v>
      </c>
      <c r="AT99" s="2826" t="e">
        <f t="shared" si="32"/>
        <v>#VALUE!</v>
      </c>
      <c r="AU99" s="2826" t="e">
        <f t="shared" si="33"/>
        <v>#VALUE!</v>
      </c>
      <c r="AV99" s="2826"/>
      <c r="AW99" s="2826" t="e">
        <f t="shared" si="34"/>
        <v>#VALUE!</v>
      </c>
      <c r="AX99" s="2826" t="e">
        <f t="shared" si="35"/>
        <v>#VALUE!</v>
      </c>
      <c r="AY99" s="2826" t="e">
        <f t="shared" si="36"/>
        <v>#VALUE!</v>
      </c>
      <c r="AZ99" s="2826"/>
      <c r="BA99" s="2826" t="e">
        <f t="shared" si="37"/>
        <v>#VALUE!</v>
      </c>
      <c r="BB99" s="2826" t="e">
        <f t="shared" si="38"/>
        <v>#VALUE!</v>
      </c>
      <c r="BC99" s="2826" t="e">
        <f t="shared" si="39"/>
        <v>#VALUE!</v>
      </c>
    </row>
    <row r="100" spans="1:55" s="2642" customFormat="1" ht="19.5" customHeight="1">
      <c r="A100" s="1867">
        <f t="shared" si="20"/>
        <v>0</v>
      </c>
      <c r="B100" s="4945" t="str">
        <f t="shared" si="21"/>
        <v/>
      </c>
      <c r="C100" s="4946"/>
      <c r="D100" s="4946"/>
      <c r="E100" s="4946"/>
      <c r="F100" s="4946"/>
      <c r="G100" s="4946"/>
      <c r="H100" s="4946"/>
      <c r="I100" s="4947"/>
      <c r="J100" s="4943" t="str">
        <f t="shared" si="22"/>
        <v/>
      </c>
      <c r="K100" s="4944"/>
      <c r="L100" s="4944"/>
      <c r="M100" s="4943" t="str">
        <f t="shared" si="23"/>
        <v/>
      </c>
      <c r="N100" s="4944"/>
      <c r="O100" s="4944"/>
      <c r="P100" s="4948"/>
      <c r="Q100" s="3792" t="str">
        <f t="shared" si="24"/>
        <v/>
      </c>
      <c r="R100" s="4938"/>
      <c r="S100" s="4938"/>
      <c r="T100" s="4103"/>
      <c r="U100" s="3792" t="str">
        <f t="shared" si="25"/>
        <v/>
      </c>
      <c r="V100" s="4938"/>
      <c r="W100" s="4938"/>
      <c r="X100" s="4103"/>
      <c r="Y100" s="4921" t="str">
        <f t="shared" si="26"/>
        <v/>
      </c>
      <c r="Z100" s="3747"/>
      <c r="AA100" s="4921" t="str">
        <f t="shared" si="27"/>
        <v/>
      </c>
      <c r="AB100" s="3747"/>
      <c r="AC100" s="4919" t="str">
        <f t="shared" si="28"/>
        <v/>
      </c>
      <c r="AD100" s="4920"/>
      <c r="AE100" s="4920"/>
      <c r="AF100" s="4920"/>
      <c r="AG100" s="2837">
        <f t="shared" si="29"/>
        <v>0</v>
      </c>
      <c r="AH100" s="1804"/>
      <c r="AI100" s="1804" t="e">
        <f t="shared" si="30"/>
        <v>#VALUE!</v>
      </c>
      <c r="AJ100" s="2650"/>
      <c r="AK100" s="2654"/>
      <c r="AL100" s="2654"/>
      <c r="AM100" s="2652"/>
      <c r="AN100" s="2652"/>
      <c r="AO100" s="2653"/>
      <c r="AP100" s="2652"/>
      <c r="AQ100" s="2651"/>
      <c r="AS100" s="2826" t="e">
        <f t="shared" si="31"/>
        <v>#VALUE!</v>
      </c>
      <c r="AT100" s="2826" t="e">
        <f t="shared" si="32"/>
        <v>#VALUE!</v>
      </c>
      <c r="AU100" s="2826" t="e">
        <f t="shared" si="33"/>
        <v>#VALUE!</v>
      </c>
      <c r="AV100" s="2826"/>
      <c r="AW100" s="2826" t="e">
        <f t="shared" si="34"/>
        <v>#VALUE!</v>
      </c>
      <c r="AX100" s="2826" t="e">
        <f t="shared" si="35"/>
        <v>#VALUE!</v>
      </c>
      <c r="AY100" s="2826" t="e">
        <f t="shared" si="36"/>
        <v>#VALUE!</v>
      </c>
      <c r="AZ100" s="2826"/>
      <c r="BA100" s="2826" t="e">
        <f t="shared" si="37"/>
        <v>#VALUE!</v>
      </c>
      <c r="BB100" s="2826" t="e">
        <f t="shared" si="38"/>
        <v>#VALUE!</v>
      </c>
      <c r="BC100" s="2826" t="e">
        <f t="shared" si="39"/>
        <v>#VALUE!</v>
      </c>
    </row>
    <row r="101" spans="1:55" s="2642" customFormat="1" ht="19.5" customHeight="1">
      <c r="A101" s="1867">
        <f t="shared" si="20"/>
        <v>0</v>
      </c>
      <c r="B101" s="4945" t="str">
        <f t="shared" si="21"/>
        <v/>
      </c>
      <c r="C101" s="4946"/>
      <c r="D101" s="4946"/>
      <c r="E101" s="4946"/>
      <c r="F101" s="4946"/>
      <c r="G101" s="4946"/>
      <c r="H101" s="4946"/>
      <c r="I101" s="4947"/>
      <c r="J101" s="4943" t="str">
        <f t="shared" si="22"/>
        <v/>
      </c>
      <c r="K101" s="4944"/>
      <c r="L101" s="4944"/>
      <c r="M101" s="4943" t="str">
        <f t="shared" si="23"/>
        <v/>
      </c>
      <c r="N101" s="4944"/>
      <c r="O101" s="4944"/>
      <c r="P101" s="4948"/>
      <c r="Q101" s="3792" t="str">
        <f t="shared" si="24"/>
        <v/>
      </c>
      <c r="R101" s="4938"/>
      <c r="S101" s="4938"/>
      <c r="T101" s="4103"/>
      <c r="U101" s="3792" t="str">
        <f t="shared" si="25"/>
        <v/>
      </c>
      <c r="V101" s="4938"/>
      <c r="W101" s="4938"/>
      <c r="X101" s="4103"/>
      <c r="Y101" s="4921" t="str">
        <f t="shared" si="26"/>
        <v/>
      </c>
      <c r="Z101" s="3747"/>
      <c r="AA101" s="4921" t="str">
        <f t="shared" si="27"/>
        <v/>
      </c>
      <c r="AB101" s="3747"/>
      <c r="AC101" s="4919" t="str">
        <f t="shared" si="28"/>
        <v/>
      </c>
      <c r="AD101" s="4920"/>
      <c r="AE101" s="4920"/>
      <c r="AF101" s="4920"/>
      <c r="AG101" s="2837">
        <f t="shared" si="29"/>
        <v>0</v>
      </c>
      <c r="AH101" s="1804"/>
      <c r="AI101" s="1804" t="e">
        <f t="shared" si="30"/>
        <v>#VALUE!</v>
      </c>
      <c r="AJ101" s="2650"/>
      <c r="AK101" s="2654"/>
      <c r="AL101" s="2654"/>
      <c r="AM101" s="2652"/>
      <c r="AN101" s="2652"/>
      <c r="AO101" s="2653"/>
      <c r="AP101" s="2652"/>
      <c r="AQ101" s="2651"/>
      <c r="AS101" s="2826" t="e">
        <f t="shared" si="31"/>
        <v>#VALUE!</v>
      </c>
      <c r="AT101" s="2826" t="e">
        <f t="shared" si="32"/>
        <v>#VALUE!</v>
      </c>
      <c r="AU101" s="2826" t="e">
        <f t="shared" si="33"/>
        <v>#VALUE!</v>
      </c>
      <c r="AV101" s="2826"/>
      <c r="AW101" s="2826" t="e">
        <f t="shared" si="34"/>
        <v>#VALUE!</v>
      </c>
      <c r="AX101" s="2826" t="e">
        <f t="shared" si="35"/>
        <v>#VALUE!</v>
      </c>
      <c r="AY101" s="2826" t="e">
        <f t="shared" si="36"/>
        <v>#VALUE!</v>
      </c>
      <c r="AZ101" s="2826"/>
      <c r="BA101" s="2826" t="e">
        <f t="shared" si="37"/>
        <v>#VALUE!</v>
      </c>
      <c r="BB101" s="2826" t="e">
        <f t="shared" si="38"/>
        <v>#VALUE!</v>
      </c>
      <c r="BC101" s="2826" t="e">
        <f t="shared" si="39"/>
        <v>#VALUE!</v>
      </c>
    </row>
    <row r="102" spans="1:55" s="2642" customFormat="1" ht="19.5" customHeight="1">
      <c r="A102" s="1867">
        <f t="shared" si="20"/>
        <v>0</v>
      </c>
      <c r="B102" s="4945" t="str">
        <f t="shared" si="21"/>
        <v/>
      </c>
      <c r="C102" s="4946"/>
      <c r="D102" s="4946"/>
      <c r="E102" s="4946"/>
      <c r="F102" s="4946"/>
      <c r="G102" s="4946"/>
      <c r="H102" s="4946"/>
      <c r="I102" s="4947"/>
      <c r="J102" s="4943" t="str">
        <f t="shared" si="22"/>
        <v/>
      </c>
      <c r="K102" s="4944"/>
      <c r="L102" s="4944"/>
      <c r="M102" s="4943" t="str">
        <f t="shared" si="23"/>
        <v/>
      </c>
      <c r="N102" s="4944"/>
      <c r="O102" s="4944"/>
      <c r="P102" s="4948"/>
      <c r="Q102" s="3792" t="str">
        <f t="shared" si="24"/>
        <v/>
      </c>
      <c r="R102" s="4938"/>
      <c r="S102" s="4938"/>
      <c r="T102" s="4103"/>
      <c r="U102" s="3792" t="str">
        <f t="shared" si="25"/>
        <v/>
      </c>
      <c r="V102" s="4938"/>
      <c r="W102" s="4938"/>
      <c r="X102" s="4103"/>
      <c r="Y102" s="4921" t="str">
        <f t="shared" si="26"/>
        <v/>
      </c>
      <c r="Z102" s="3747"/>
      <c r="AA102" s="4921" t="str">
        <f t="shared" si="27"/>
        <v/>
      </c>
      <c r="AB102" s="3747"/>
      <c r="AC102" s="4919" t="str">
        <f t="shared" si="28"/>
        <v/>
      </c>
      <c r="AD102" s="4920"/>
      <c r="AE102" s="4920"/>
      <c r="AF102" s="4920"/>
      <c r="AG102" s="2837">
        <f t="shared" si="29"/>
        <v>0</v>
      </c>
      <c r="AH102" s="1804"/>
      <c r="AI102" s="1804" t="e">
        <f t="shared" si="30"/>
        <v>#VALUE!</v>
      </c>
      <c r="AJ102" s="2650"/>
      <c r="AK102" s="2654"/>
      <c r="AL102" s="2654"/>
      <c r="AM102" s="2652"/>
      <c r="AN102" s="2652"/>
      <c r="AO102" s="2653"/>
      <c r="AP102" s="2652"/>
      <c r="AQ102" s="2651"/>
      <c r="AS102" s="2826" t="e">
        <f t="shared" si="31"/>
        <v>#VALUE!</v>
      </c>
      <c r="AT102" s="2826" t="e">
        <f t="shared" si="32"/>
        <v>#VALUE!</v>
      </c>
      <c r="AU102" s="2826" t="e">
        <f t="shared" si="33"/>
        <v>#VALUE!</v>
      </c>
      <c r="AV102" s="2826"/>
      <c r="AW102" s="2826" t="e">
        <f t="shared" si="34"/>
        <v>#VALUE!</v>
      </c>
      <c r="AX102" s="2826" t="e">
        <f t="shared" si="35"/>
        <v>#VALUE!</v>
      </c>
      <c r="AY102" s="2826" t="e">
        <f t="shared" si="36"/>
        <v>#VALUE!</v>
      </c>
      <c r="AZ102" s="2826"/>
      <c r="BA102" s="2826" t="e">
        <f t="shared" si="37"/>
        <v>#VALUE!</v>
      </c>
      <c r="BB102" s="2826" t="e">
        <f t="shared" si="38"/>
        <v>#VALUE!</v>
      </c>
      <c r="BC102" s="2826" t="e">
        <f t="shared" si="39"/>
        <v>#VALUE!</v>
      </c>
    </row>
    <row r="103" spans="1:55" s="2642" customFormat="1" ht="19.5" customHeight="1">
      <c r="A103" s="1867">
        <f t="shared" si="20"/>
        <v>0</v>
      </c>
      <c r="B103" s="4945" t="str">
        <f t="shared" si="21"/>
        <v/>
      </c>
      <c r="C103" s="4946"/>
      <c r="D103" s="4946"/>
      <c r="E103" s="4946"/>
      <c r="F103" s="4946"/>
      <c r="G103" s="4946"/>
      <c r="H103" s="4946"/>
      <c r="I103" s="4947"/>
      <c r="J103" s="4943" t="str">
        <f t="shared" si="22"/>
        <v/>
      </c>
      <c r="K103" s="4944"/>
      <c r="L103" s="4944"/>
      <c r="M103" s="4943" t="str">
        <f t="shared" si="23"/>
        <v/>
      </c>
      <c r="N103" s="4944"/>
      <c r="O103" s="4944"/>
      <c r="P103" s="4948"/>
      <c r="Q103" s="3792" t="str">
        <f t="shared" si="24"/>
        <v/>
      </c>
      <c r="R103" s="4938"/>
      <c r="S103" s="4938"/>
      <c r="T103" s="4103"/>
      <c r="U103" s="3792" t="str">
        <f t="shared" si="25"/>
        <v/>
      </c>
      <c r="V103" s="4938"/>
      <c r="W103" s="4938"/>
      <c r="X103" s="4103"/>
      <c r="Y103" s="4921" t="str">
        <f t="shared" si="26"/>
        <v/>
      </c>
      <c r="Z103" s="3747"/>
      <c r="AA103" s="4921" t="str">
        <f t="shared" si="27"/>
        <v/>
      </c>
      <c r="AB103" s="3747"/>
      <c r="AC103" s="4919" t="str">
        <f t="shared" si="28"/>
        <v/>
      </c>
      <c r="AD103" s="4920"/>
      <c r="AE103" s="4920"/>
      <c r="AF103" s="4920"/>
      <c r="AG103" s="2837">
        <f t="shared" si="29"/>
        <v>0</v>
      </c>
      <c r="AH103" s="1804"/>
      <c r="AI103" s="1804" t="e">
        <f t="shared" si="30"/>
        <v>#VALUE!</v>
      </c>
      <c r="AJ103" s="2650"/>
      <c r="AK103" s="2654"/>
      <c r="AL103" s="2654"/>
      <c r="AM103" s="2652"/>
      <c r="AN103" s="2652"/>
      <c r="AO103" s="2653"/>
      <c r="AP103" s="2652"/>
      <c r="AQ103" s="2651"/>
      <c r="AS103" s="2826" t="e">
        <f t="shared" si="31"/>
        <v>#VALUE!</v>
      </c>
      <c r="AT103" s="2826" t="e">
        <f t="shared" si="32"/>
        <v>#VALUE!</v>
      </c>
      <c r="AU103" s="2826" t="e">
        <f t="shared" si="33"/>
        <v>#VALUE!</v>
      </c>
      <c r="AV103" s="2826"/>
      <c r="AW103" s="2826" t="e">
        <f t="shared" si="34"/>
        <v>#VALUE!</v>
      </c>
      <c r="AX103" s="2826" t="e">
        <f t="shared" si="35"/>
        <v>#VALUE!</v>
      </c>
      <c r="AY103" s="2826" t="e">
        <f t="shared" si="36"/>
        <v>#VALUE!</v>
      </c>
      <c r="AZ103" s="2826"/>
      <c r="BA103" s="2826" t="e">
        <f t="shared" si="37"/>
        <v>#VALUE!</v>
      </c>
      <c r="BB103" s="2826" t="e">
        <f t="shared" si="38"/>
        <v>#VALUE!</v>
      </c>
      <c r="BC103" s="2826" t="e">
        <f t="shared" si="39"/>
        <v>#VALUE!</v>
      </c>
    </row>
    <row r="104" spans="1:55" s="2642" customFormat="1" ht="19.5" customHeight="1">
      <c r="A104" s="1867">
        <f t="shared" si="20"/>
        <v>0</v>
      </c>
      <c r="B104" s="4945" t="str">
        <f t="shared" si="21"/>
        <v/>
      </c>
      <c r="C104" s="4946"/>
      <c r="D104" s="4946"/>
      <c r="E104" s="4946"/>
      <c r="F104" s="4946"/>
      <c r="G104" s="4946"/>
      <c r="H104" s="4946"/>
      <c r="I104" s="4947"/>
      <c r="J104" s="4943" t="str">
        <f t="shared" si="22"/>
        <v/>
      </c>
      <c r="K104" s="4944"/>
      <c r="L104" s="4944"/>
      <c r="M104" s="4943" t="str">
        <f t="shared" si="23"/>
        <v/>
      </c>
      <c r="N104" s="4944"/>
      <c r="O104" s="4944"/>
      <c r="P104" s="4948"/>
      <c r="Q104" s="3792" t="str">
        <f t="shared" si="24"/>
        <v/>
      </c>
      <c r="R104" s="4938"/>
      <c r="S104" s="4938"/>
      <c r="T104" s="4103"/>
      <c r="U104" s="3792" t="str">
        <f t="shared" si="25"/>
        <v/>
      </c>
      <c r="V104" s="4938"/>
      <c r="W104" s="4938"/>
      <c r="X104" s="4103"/>
      <c r="Y104" s="4921" t="str">
        <f t="shared" si="26"/>
        <v/>
      </c>
      <c r="Z104" s="3747"/>
      <c r="AA104" s="4921" t="str">
        <f t="shared" si="27"/>
        <v/>
      </c>
      <c r="AB104" s="3747"/>
      <c r="AC104" s="4919" t="str">
        <f t="shared" si="28"/>
        <v/>
      </c>
      <c r="AD104" s="4920"/>
      <c r="AE104" s="4920"/>
      <c r="AF104" s="4920"/>
      <c r="AG104" s="2837">
        <f t="shared" si="29"/>
        <v>0</v>
      </c>
      <c r="AH104" s="1804"/>
      <c r="AI104" s="1804" t="e">
        <f t="shared" si="30"/>
        <v>#VALUE!</v>
      </c>
      <c r="AJ104" s="2650"/>
      <c r="AK104" s="2654"/>
      <c r="AL104" s="2654"/>
      <c r="AM104" s="2652"/>
      <c r="AN104" s="2652"/>
      <c r="AO104" s="2653"/>
      <c r="AP104" s="2652"/>
      <c r="AQ104" s="2651"/>
      <c r="AS104" s="2826" t="e">
        <f t="shared" si="31"/>
        <v>#VALUE!</v>
      </c>
      <c r="AT104" s="2826" t="e">
        <f t="shared" si="32"/>
        <v>#VALUE!</v>
      </c>
      <c r="AU104" s="2826" t="e">
        <f t="shared" si="33"/>
        <v>#VALUE!</v>
      </c>
      <c r="AV104" s="2826"/>
      <c r="AW104" s="2826" t="e">
        <f t="shared" si="34"/>
        <v>#VALUE!</v>
      </c>
      <c r="AX104" s="2826" t="e">
        <f t="shared" si="35"/>
        <v>#VALUE!</v>
      </c>
      <c r="AY104" s="2826" t="e">
        <f t="shared" si="36"/>
        <v>#VALUE!</v>
      </c>
      <c r="AZ104" s="2826"/>
      <c r="BA104" s="2826" t="e">
        <f t="shared" si="37"/>
        <v>#VALUE!</v>
      </c>
      <c r="BB104" s="2826" t="e">
        <f t="shared" si="38"/>
        <v>#VALUE!</v>
      </c>
      <c r="BC104" s="2826" t="e">
        <f t="shared" si="39"/>
        <v>#VALUE!</v>
      </c>
    </row>
    <row r="105" spans="1:55" s="2642" customFormat="1" ht="19.5" customHeight="1">
      <c r="A105" s="1867">
        <f t="shared" si="20"/>
        <v>0</v>
      </c>
      <c r="B105" s="4945" t="str">
        <f t="shared" si="21"/>
        <v/>
      </c>
      <c r="C105" s="4946"/>
      <c r="D105" s="4946"/>
      <c r="E105" s="4946"/>
      <c r="F105" s="4946"/>
      <c r="G105" s="4946"/>
      <c r="H105" s="4946"/>
      <c r="I105" s="4947"/>
      <c r="J105" s="4943" t="str">
        <f t="shared" si="22"/>
        <v/>
      </c>
      <c r="K105" s="4944"/>
      <c r="L105" s="4944"/>
      <c r="M105" s="4943" t="str">
        <f t="shared" si="23"/>
        <v/>
      </c>
      <c r="N105" s="4944"/>
      <c r="O105" s="4944"/>
      <c r="P105" s="4948"/>
      <c r="Q105" s="3792" t="str">
        <f t="shared" si="24"/>
        <v/>
      </c>
      <c r="R105" s="4938"/>
      <c r="S105" s="4938"/>
      <c r="T105" s="4103"/>
      <c r="U105" s="3792" t="str">
        <f t="shared" si="25"/>
        <v/>
      </c>
      <c r="V105" s="4938"/>
      <c r="W105" s="4938"/>
      <c r="X105" s="4103"/>
      <c r="Y105" s="4921" t="str">
        <f t="shared" si="26"/>
        <v/>
      </c>
      <c r="Z105" s="3747"/>
      <c r="AA105" s="4921" t="str">
        <f t="shared" si="27"/>
        <v/>
      </c>
      <c r="AB105" s="3747"/>
      <c r="AC105" s="4919" t="str">
        <f t="shared" si="28"/>
        <v/>
      </c>
      <c r="AD105" s="4920"/>
      <c r="AE105" s="4920"/>
      <c r="AF105" s="4920"/>
      <c r="AG105" s="2837">
        <f t="shared" si="29"/>
        <v>0</v>
      </c>
      <c r="AH105" s="1804"/>
      <c r="AI105" s="1804" t="e">
        <f t="shared" si="30"/>
        <v>#VALUE!</v>
      </c>
      <c r="AJ105" s="2650"/>
      <c r="AK105" s="2654"/>
      <c r="AL105" s="2654"/>
      <c r="AM105" s="2652"/>
      <c r="AN105" s="2652"/>
      <c r="AO105" s="2653"/>
      <c r="AP105" s="2652"/>
      <c r="AQ105" s="2651"/>
      <c r="AS105" s="2826" t="e">
        <f t="shared" si="31"/>
        <v>#VALUE!</v>
      </c>
      <c r="AT105" s="2826" t="e">
        <f t="shared" si="32"/>
        <v>#VALUE!</v>
      </c>
      <c r="AU105" s="2826" t="e">
        <f t="shared" si="33"/>
        <v>#VALUE!</v>
      </c>
      <c r="AV105" s="2826"/>
      <c r="AW105" s="2826" t="e">
        <f t="shared" si="34"/>
        <v>#VALUE!</v>
      </c>
      <c r="AX105" s="2826" t="e">
        <f t="shared" si="35"/>
        <v>#VALUE!</v>
      </c>
      <c r="AY105" s="2826" t="e">
        <f t="shared" si="36"/>
        <v>#VALUE!</v>
      </c>
      <c r="AZ105" s="2826"/>
      <c r="BA105" s="2826" t="e">
        <f t="shared" si="37"/>
        <v>#VALUE!</v>
      </c>
      <c r="BB105" s="2826" t="e">
        <f t="shared" si="38"/>
        <v>#VALUE!</v>
      </c>
      <c r="BC105" s="2826" t="e">
        <f t="shared" si="39"/>
        <v>#VALUE!</v>
      </c>
    </row>
    <row r="106" spans="1:55" s="2642" customFormat="1" ht="19.5" customHeight="1">
      <c r="A106" s="1867">
        <f t="shared" si="20"/>
        <v>0</v>
      </c>
      <c r="B106" s="4945" t="str">
        <f t="shared" si="21"/>
        <v/>
      </c>
      <c r="C106" s="4946"/>
      <c r="D106" s="4946"/>
      <c r="E106" s="4946"/>
      <c r="F106" s="4946"/>
      <c r="G106" s="4946"/>
      <c r="H106" s="4946"/>
      <c r="I106" s="4947"/>
      <c r="J106" s="4943" t="str">
        <f t="shared" si="22"/>
        <v/>
      </c>
      <c r="K106" s="4944"/>
      <c r="L106" s="4944"/>
      <c r="M106" s="4943" t="str">
        <f t="shared" si="23"/>
        <v/>
      </c>
      <c r="N106" s="4944"/>
      <c r="O106" s="4944"/>
      <c r="P106" s="4948"/>
      <c r="Q106" s="3792" t="str">
        <f t="shared" si="24"/>
        <v/>
      </c>
      <c r="R106" s="4938"/>
      <c r="S106" s="4938"/>
      <c r="T106" s="4103"/>
      <c r="U106" s="3792" t="str">
        <f t="shared" si="25"/>
        <v/>
      </c>
      <c r="V106" s="4938"/>
      <c r="W106" s="4938"/>
      <c r="X106" s="4103"/>
      <c r="Y106" s="4921" t="str">
        <f t="shared" si="26"/>
        <v/>
      </c>
      <c r="Z106" s="3747"/>
      <c r="AA106" s="4921" t="str">
        <f t="shared" si="27"/>
        <v/>
      </c>
      <c r="AB106" s="3747"/>
      <c r="AC106" s="4919" t="str">
        <f t="shared" si="28"/>
        <v/>
      </c>
      <c r="AD106" s="4920"/>
      <c r="AE106" s="4920"/>
      <c r="AF106" s="4920"/>
      <c r="AG106" s="2837">
        <f t="shared" si="29"/>
        <v>0</v>
      </c>
      <c r="AH106" s="1804"/>
      <c r="AI106" s="1804" t="e">
        <f t="shared" si="30"/>
        <v>#VALUE!</v>
      </c>
      <c r="AJ106" s="2650"/>
      <c r="AK106" s="2654"/>
      <c r="AL106" s="2654"/>
      <c r="AM106" s="2652"/>
      <c r="AN106" s="2652"/>
      <c r="AO106" s="2653"/>
      <c r="AP106" s="2652"/>
      <c r="AQ106" s="2651"/>
      <c r="AS106" s="2826" t="e">
        <f t="shared" si="31"/>
        <v>#VALUE!</v>
      </c>
      <c r="AT106" s="2826" t="e">
        <f t="shared" si="32"/>
        <v>#VALUE!</v>
      </c>
      <c r="AU106" s="2826" t="e">
        <f t="shared" si="33"/>
        <v>#VALUE!</v>
      </c>
      <c r="AV106" s="2826"/>
      <c r="AW106" s="2826" t="e">
        <f t="shared" si="34"/>
        <v>#VALUE!</v>
      </c>
      <c r="AX106" s="2826" t="e">
        <f t="shared" si="35"/>
        <v>#VALUE!</v>
      </c>
      <c r="AY106" s="2826" t="e">
        <f t="shared" si="36"/>
        <v>#VALUE!</v>
      </c>
      <c r="AZ106" s="2826"/>
      <c r="BA106" s="2826" t="e">
        <f t="shared" si="37"/>
        <v>#VALUE!</v>
      </c>
      <c r="BB106" s="2826" t="e">
        <f t="shared" si="38"/>
        <v>#VALUE!</v>
      </c>
      <c r="BC106" s="2826" t="e">
        <f t="shared" si="39"/>
        <v>#VALUE!</v>
      </c>
    </row>
    <row r="107" spans="1:55" s="2642" customFormat="1" ht="19.5" customHeight="1">
      <c r="A107" s="1867">
        <f t="shared" si="20"/>
        <v>0</v>
      </c>
      <c r="B107" s="4945" t="str">
        <f t="shared" si="21"/>
        <v/>
      </c>
      <c r="C107" s="4946"/>
      <c r="D107" s="4946"/>
      <c r="E107" s="4946"/>
      <c r="F107" s="4946"/>
      <c r="G107" s="4946"/>
      <c r="H107" s="4946"/>
      <c r="I107" s="4947"/>
      <c r="J107" s="4943" t="str">
        <f t="shared" si="22"/>
        <v/>
      </c>
      <c r="K107" s="4944"/>
      <c r="L107" s="4944"/>
      <c r="M107" s="4943" t="str">
        <f t="shared" si="23"/>
        <v/>
      </c>
      <c r="N107" s="4944"/>
      <c r="O107" s="4944"/>
      <c r="P107" s="4948"/>
      <c r="Q107" s="3792" t="str">
        <f t="shared" si="24"/>
        <v/>
      </c>
      <c r="R107" s="4938"/>
      <c r="S107" s="4938"/>
      <c r="T107" s="4103"/>
      <c r="U107" s="3792" t="str">
        <f t="shared" si="25"/>
        <v/>
      </c>
      <c r="V107" s="4938"/>
      <c r="W107" s="4938"/>
      <c r="X107" s="4103"/>
      <c r="Y107" s="4921" t="str">
        <f t="shared" si="26"/>
        <v/>
      </c>
      <c r="Z107" s="3747"/>
      <c r="AA107" s="4921" t="str">
        <f t="shared" si="27"/>
        <v/>
      </c>
      <c r="AB107" s="3747"/>
      <c r="AC107" s="4919" t="str">
        <f t="shared" si="28"/>
        <v/>
      </c>
      <c r="AD107" s="4920"/>
      <c r="AE107" s="4920"/>
      <c r="AF107" s="4920"/>
      <c r="AG107" s="2837">
        <f t="shared" si="29"/>
        <v>0</v>
      </c>
      <c r="AH107" s="1804"/>
      <c r="AI107" s="1804" t="e">
        <f t="shared" si="30"/>
        <v>#VALUE!</v>
      </c>
      <c r="AJ107" s="2650"/>
      <c r="AK107" s="2654"/>
      <c r="AL107" s="2654"/>
      <c r="AM107" s="2652"/>
      <c r="AN107" s="2652"/>
      <c r="AO107" s="2653"/>
      <c r="AP107" s="2652"/>
      <c r="AQ107" s="2651"/>
      <c r="AS107" s="2826" t="e">
        <f t="shared" si="31"/>
        <v>#VALUE!</v>
      </c>
      <c r="AT107" s="2826" t="e">
        <f t="shared" si="32"/>
        <v>#VALUE!</v>
      </c>
      <c r="AU107" s="2826" t="e">
        <f t="shared" si="33"/>
        <v>#VALUE!</v>
      </c>
      <c r="AV107" s="2826"/>
      <c r="AW107" s="2826" t="e">
        <f t="shared" si="34"/>
        <v>#VALUE!</v>
      </c>
      <c r="AX107" s="2826" t="e">
        <f t="shared" si="35"/>
        <v>#VALUE!</v>
      </c>
      <c r="AY107" s="2826" t="e">
        <f t="shared" si="36"/>
        <v>#VALUE!</v>
      </c>
      <c r="AZ107" s="2826"/>
      <c r="BA107" s="2826" t="e">
        <f t="shared" si="37"/>
        <v>#VALUE!</v>
      </c>
      <c r="BB107" s="2826" t="e">
        <f t="shared" si="38"/>
        <v>#VALUE!</v>
      </c>
      <c r="BC107" s="2826" t="e">
        <f t="shared" si="39"/>
        <v>#VALUE!</v>
      </c>
    </row>
    <row r="108" spans="1:55" s="2642" customFormat="1" ht="19.5" customHeight="1">
      <c r="A108" s="1867">
        <f t="shared" si="20"/>
        <v>0</v>
      </c>
      <c r="B108" s="4945" t="str">
        <f t="shared" si="21"/>
        <v/>
      </c>
      <c r="C108" s="4946"/>
      <c r="D108" s="4946"/>
      <c r="E108" s="4946"/>
      <c r="F108" s="4946"/>
      <c r="G108" s="4946"/>
      <c r="H108" s="4946"/>
      <c r="I108" s="4947"/>
      <c r="J108" s="4943" t="str">
        <f t="shared" si="22"/>
        <v/>
      </c>
      <c r="K108" s="4944"/>
      <c r="L108" s="4944"/>
      <c r="M108" s="4943" t="str">
        <f t="shared" si="23"/>
        <v/>
      </c>
      <c r="N108" s="4944"/>
      <c r="O108" s="4944"/>
      <c r="P108" s="4948"/>
      <c r="Q108" s="3792" t="str">
        <f t="shared" si="24"/>
        <v/>
      </c>
      <c r="R108" s="4938"/>
      <c r="S108" s="4938"/>
      <c r="T108" s="4103"/>
      <c r="U108" s="3792" t="str">
        <f t="shared" si="25"/>
        <v/>
      </c>
      <c r="V108" s="4938"/>
      <c r="W108" s="4938"/>
      <c r="X108" s="4103"/>
      <c r="Y108" s="4921" t="str">
        <f t="shared" si="26"/>
        <v/>
      </c>
      <c r="Z108" s="3747"/>
      <c r="AA108" s="4921" t="str">
        <f t="shared" si="27"/>
        <v/>
      </c>
      <c r="AB108" s="3747"/>
      <c r="AC108" s="4919" t="str">
        <f t="shared" si="28"/>
        <v/>
      </c>
      <c r="AD108" s="4920"/>
      <c r="AE108" s="4920"/>
      <c r="AF108" s="4920"/>
      <c r="AG108" s="2837">
        <f t="shared" si="29"/>
        <v>0</v>
      </c>
      <c r="AH108" s="1804"/>
      <c r="AI108" s="1804" t="e">
        <f t="shared" si="30"/>
        <v>#VALUE!</v>
      </c>
      <c r="AJ108" s="2650"/>
      <c r="AK108" s="2654"/>
      <c r="AL108" s="2654"/>
      <c r="AM108" s="2652"/>
      <c r="AN108" s="2652"/>
      <c r="AO108" s="2653"/>
      <c r="AP108" s="2652"/>
      <c r="AQ108" s="2651"/>
      <c r="AS108" s="2826" t="e">
        <f t="shared" si="31"/>
        <v>#VALUE!</v>
      </c>
      <c r="AT108" s="2826" t="e">
        <f t="shared" si="32"/>
        <v>#VALUE!</v>
      </c>
      <c r="AU108" s="2826" t="e">
        <f t="shared" si="33"/>
        <v>#VALUE!</v>
      </c>
      <c r="AV108" s="2826"/>
      <c r="AW108" s="2826" t="e">
        <f t="shared" si="34"/>
        <v>#VALUE!</v>
      </c>
      <c r="AX108" s="2826" t="e">
        <f t="shared" si="35"/>
        <v>#VALUE!</v>
      </c>
      <c r="AY108" s="2826" t="e">
        <f t="shared" si="36"/>
        <v>#VALUE!</v>
      </c>
      <c r="AZ108" s="2826"/>
      <c r="BA108" s="2826" t="e">
        <f t="shared" si="37"/>
        <v>#VALUE!</v>
      </c>
      <c r="BB108" s="2826" t="e">
        <f t="shared" si="38"/>
        <v>#VALUE!</v>
      </c>
      <c r="BC108" s="2826" t="e">
        <f t="shared" si="39"/>
        <v>#VALUE!</v>
      </c>
    </row>
    <row r="109" spans="1:55" s="2642" customFormat="1" ht="19.5" customHeight="1">
      <c r="A109" s="1867">
        <f t="shared" si="20"/>
        <v>0</v>
      </c>
      <c r="B109" s="4945" t="str">
        <f t="shared" si="21"/>
        <v/>
      </c>
      <c r="C109" s="4946"/>
      <c r="D109" s="4946"/>
      <c r="E109" s="4946"/>
      <c r="F109" s="4946"/>
      <c r="G109" s="4946"/>
      <c r="H109" s="4946"/>
      <c r="I109" s="4947"/>
      <c r="J109" s="4943" t="str">
        <f t="shared" si="22"/>
        <v/>
      </c>
      <c r="K109" s="4944"/>
      <c r="L109" s="4944"/>
      <c r="M109" s="4943" t="str">
        <f t="shared" si="23"/>
        <v/>
      </c>
      <c r="N109" s="4944"/>
      <c r="O109" s="4944"/>
      <c r="P109" s="4948"/>
      <c r="Q109" s="3792" t="str">
        <f t="shared" si="24"/>
        <v/>
      </c>
      <c r="R109" s="4938"/>
      <c r="S109" s="4938"/>
      <c r="T109" s="4103"/>
      <c r="U109" s="3792" t="str">
        <f t="shared" si="25"/>
        <v/>
      </c>
      <c r="V109" s="4938"/>
      <c r="W109" s="4938"/>
      <c r="X109" s="4103"/>
      <c r="Y109" s="4921" t="str">
        <f t="shared" si="26"/>
        <v/>
      </c>
      <c r="Z109" s="3747"/>
      <c r="AA109" s="4921" t="str">
        <f t="shared" si="27"/>
        <v/>
      </c>
      <c r="AB109" s="3747"/>
      <c r="AC109" s="4919" t="str">
        <f t="shared" si="28"/>
        <v/>
      </c>
      <c r="AD109" s="4920"/>
      <c r="AE109" s="4920"/>
      <c r="AF109" s="4920"/>
      <c r="AG109" s="2837">
        <f t="shared" si="29"/>
        <v>0</v>
      </c>
      <c r="AH109" s="1804"/>
      <c r="AI109" s="1804" t="e">
        <f t="shared" si="30"/>
        <v>#VALUE!</v>
      </c>
      <c r="AJ109" s="2650"/>
      <c r="AK109" s="2654"/>
      <c r="AL109" s="2654"/>
      <c r="AM109" s="2652"/>
      <c r="AN109" s="2652"/>
      <c r="AO109" s="2653"/>
      <c r="AP109" s="2652"/>
      <c r="AQ109" s="2651"/>
      <c r="AS109" s="2826" t="e">
        <f t="shared" si="31"/>
        <v>#VALUE!</v>
      </c>
      <c r="AT109" s="2826" t="e">
        <f t="shared" si="32"/>
        <v>#VALUE!</v>
      </c>
      <c r="AU109" s="2826" t="e">
        <f t="shared" si="33"/>
        <v>#VALUE!</v>
      </c>
      <c r="AV109" s="2826"/>
      <c r="AW109" s="2826" t="e">
        <f t="shared" si="34"/>
        <v>#VALUE!</v>
      </c>
      <c r="AX109" s="2826" t="e">
        <f t="shared" si="35"/>
        <v>#VALUE!</v>
      </c>
      <c r="AY109" s="2826" t="e">
        <f t="shared" si="36"/>
        <v>#VALUE!</v>
      </c>
      <c r="AZ109" s="2826"/>
      <c r="BA109" s="2826" t="e">
        <f t="shared" si="37"/>
        <v>#VALUE!</v>
      </c>
      <c r="BB109" s="2826" t="e">
        <f t="shared" si="38"/>
        <v>#VALUE!</v>
      </c>
      <c r="BC109" s="2826" t="e">
        <f t="shared" si="39"/>
        <v>#VALUE!</v>
      </c>
    </row>
    <row r="110" spans="1:55" s="2642" customFormat="1" ht="19.5" customHeight="1">
      <c r="A110" s="1867">
        <f t="shared" si="20"/>
        <v>0</v>
      </c>
      <c r="B110" s="4945" t="str">
        <f t="shared" si="21"/>
        <v/>
      </c>
      <c r="C110" s="4946"/>
      <c r="D110" s="4946"/>
      <c r="E110" s="4946"/>
      <c r="F110" s="4946"/>
      <c r="G110" s="4946"/>
      <c r="H110" s="4946"/>
      <c r="I110" s="4947"/>
      <c r="J110" s="4943" t="str">
        <f t="shared" si="22"/>
        <v/>
      </c>
      <c r="K110" s="4944"/>
      <c r="L110" s="4944"/>
      <c r="M110" s="4943" t="str">
        <f t="shared" si="23"/>
        <v/>
      </c>
      <c r="N110" s="4944"/>
      <c r="O110" s="4944"/>
      <c r="P110" s="4948"/>
      <c r="Q110" s="3792" t="str">
        <f t="shared" si="24"/>
        <v/>
      </c>
      <c r="R110" s="4938"/>
      <c r="S110" s="4938"/>
      <c r="T110" s="4103"/>
      <c r="U110" s="3792" t="str">
        <f t="shared" si="25"/>
        <v/>
      </c>
      <c r="V110" s="4938"/>
      <c r="W110" s="4938"/>
      <c r="X110" s="4103"/>
      <c r="Y110" s="4921" t="str">
        <f t="shared" si="26"/>
        <v/>
      </c>
      <c r="Z110" s="3747"/>
      <c r="AA110" s="4921" t="str">
        <f t="shared" si="27"/>
        <v/>
      </c>
      <c r="AB110" s="3747"/>
      <c r="AC110" s="4919" t="str">
        <f t="shared" si="28"/>
        <v/>
      </c>
      <c r="AD110" s="4920"/>
      <c r="AE110" s="4920"/>
      <c r="AF110" s="4920"/>
      <c r="AG110" s="2837">
        <f t="shared" si="29"/>
        <v>0</v>
      </c>
      <c r="AH110" s="1804"/>
      <c r="AI110" s="1804" t="e">
        <f t="shared" si="30"/>
        <v>#VALUE!</v>
      </c>
      <c r="AJ110" s="2650"/>
      <c r="AK110" s="2654"/>
      <c r="AL110" s="2654"/>
      <c r="AM110" s="2652"/>
      <c r="AN110" s="2652"/>
      <c r="AO110" s="2653"/>
      <c r="AP110" s="2652"/>
      <c r="AQ110" s="2651"/>
      <c r="AS110" s="2826" t="e">
        <f t="shared" si="31"/>
        <v>#VALUE!</v>
      </c>
      <c r="AT110" s="2826" t="e">
        <f t="shared" si="32"/>
        <v>#VALUE!</v>
      </c>
      <c r="AU110" s="2826" t="e">
        <f t="shared" si="33"/>
        <v>#VALUE!</v>
      </c>
      <c r="AV110" s="2826"/>
      <c r="AW110" s="2826" t="e">
        <f t="shared" si="34"/>
        <v>#VALUE!</v>
      </c>
      <c r="AX110" s="2826" t="e">
        <f t="shared" si="35"/>
        <v>#VALUE!</v>
      </c>
      <c r="AY110" s="2826" t="e">
        <f t="shared" si="36"/>
        <v>#VALUE!</v>
      </c>
      <c r="AZ110" s="2826"/>
      <c r="BA110" s="2826" t="e">
        <f t="shared" si="37"/>
        <v>#VALUE!</v>
      </c>
      <c r="BB110" s="2826" t="e">
        <f t="shared" si="38"/>
        <v>#VALUE!</v>
      </c>
      <c r="BC110" s="2826" t="e">
        <f t="shared" si="39"/>
        <v>#VALUE!</v>
      </c>
    </row>
    <row r="111" spans="1:55" s="2642" customFormat="1" ht="19.5" customHeight="1">
      <c r="A111" s="1867">
        <f t="shared" si="20"/>
        <v>0</v>
      </c>
      <c r="B111" s="4945" t="str">
        <f t="shared" si="21"/>
        <v/>
      </c>
      <c r="C111" s="4946"/>
      <c r="D111" s="4946"/>
      <c r="E111" s="4946"/>
      <c r="F111" s="4946"/>
      <c r="G111" s="4946"/>
      <c r="H111" s="4946"/>
      <c r="I111" s="4947"/>
      <c r="J111" s="4943" t="str">
        <f t="shared" si="22"/>
        <v/>
      </c>
      <c r="K111" s="4944"/>
      <c r="L111" s="4944"/>
      <c r="M111" s="4943" t="str">
        <f t="shared" si="23"/>
        <v/>
      </c>
      <c r="N111" s="4944"/>
      <c r="O111" s="4944"/>
      <c r="P111" s="4948"/>
      <c r="Q111" s="3792" t="str">
        <f t="shared" si="24"/>
        <v/>
      </c>
      <c r="R111" s="4938"/>
      <c r="S111" s="4938"/>
      <c r="T111" s="4103"/>
      <c r="U111" s="3792" t="str">
        <f t="shared" si="25"/>
        <v/>
      </c>
      <c r="V111" s="4938"/>
      <c r="W111" s="4938"/>
      <c r="X111" s="4103"/>
      <c r="Y111" s="4921" t="str">
        <f t="shared" si="26"/>
        <v/>
      </c>
      <c r="Z111" s="3747"/>
      <c r="AA111" s="4921" t="str">
        <f t="shared" si="27"/>
        <v/>
      </c>
      <c r="AB111" s="3747"/>
      <c r="AC111" s="4919" t="str">
        <f t="shared" si="28"/>
        <v/>
      </c>
      <c r="AD111" s="4920"/>
      <c r="AE111" s="4920"/>
      <c r="AF111" s="4920"/>
      <c r="AG111" s="2837">
        <f t="shared" si="29"/>
        <v>0</v>
      </c>
      <c r="AH111" s="1804"/>
      <c r="AI111" s="1804" t="e">
        <f t="shared" si="30"/>
        <v>#VALUE!</v>
      </c>
      <c r="AJ111" s="2650"/>
      <c r="AK111" s="2654"/>
      <c r="AL111" s="2654"/>
      <c r="AM111" s="2652"/>
      <c r="AN111" s="2652"/>
      <c r="AO111" s="2653"/>
      <c r="AP111" s="2652"/>
      <c r="AQ111" s="2651"/>
      <c r="AS111" s="2826" t="e">
        <f t="shared" si="31"/>
        <v>#VALUE!</v>
      </c>
      <c r="AT111" s="2826" t="e">
        <f t="shared" si="32"/>
        <v>#VALUE!</v>
      </c>
      <c r="AU111" s="2826" t="e">
        <f t="shared" si="33"/>
        <v>#VALUE!</v>
      </c>
      <c r="AV111" s="2826"/>
      <c r="AW111" s="2826" t="e">
        <f t="shared" si="34"/>
        <v>#VALUE!</v>
      </c>
      <c r="AX111" s="2826" t="e">
        <f t="shared" si="35"/>
        <v>#VALUE!</v>
      </c>
      <c r="AY111" s="2826" t="e">
        <f t="shared" si="36"/>
        <v>#VALUE!</v>
      </c>
      <c r="AZ111" s="2826"/>
      <c r="BA111" s="2826" t="e">
        <f t="shared" si="37"/>
        <v>#VALUE!</v>
      </c>
      <c r="BB111" s="2826" t="e">
        <f t="shared" si="38"/>
        <v>#VALUE!</v>
      </c>
      <c r="BC111" s="2826" t="e">
        <f t="shared" si="39"/>
        <v>#VALUE!</v>
      </c>
    </row>
    <row r="112" spans="1:55" s="2642" customFormat="1" ht="19.5" customHeight="1">
      <c r="A112" s="1867">
        <f t="shared" si="20"/>
        <v>0</v>
      </c>
      <c r="B112" s="4945" t="str">
        <f t="shared" si="21"/>
        <v/>
      </c>
      <c r="C112" s="4946"/>
      <c r="D112" s="4946"/>
      <c r="E112" s="4946"/>
      <c r="F112" s="4946"/>
      <c r="G112" s="4946"/>
      <c r="H112" s="4946"/>
      <c r="I112" s="4947"/>
      <c r="J112" s="4943" t="str">
        <f t="shared" si="22"/>
        <v/>
      </c>
      <c r="K112" s="4944"/>
      <c r="L112" s="4944"/>
      <c r="M112" s="4943" t="str">
        <f t="shared" si="23"/>
        <v/>
      </c>
      <c r="N112" s="4944"/>
      <c r="O112" s="4944"/>
      <c r="P112" s="4948"/>
      <c r="Q112" s="3792" t="str">
        <f t="shared" si="24"/>
        <v/>
      </c>
      <c r="R112" s="4938"/>
      <c r="S112" s="4938"/>
      <c r="T112" s="4103"/>
      <c r="U112" s="3792" t="str">
        <f t="shared" si="25"/>
        <v/>
      </c>
      <c r="V112" s="4938"/>
      <c r="W112" s="4938"/>
      <c r="X112" s="4103"/>
      <c r="Y112" s="4921" t="str">
        <f t="shared" si="26"/>
        <v/>
      </c>
      <c r="Z112" s="3747"/>
      <c r="AA112" s="4921" t="str">
        <f t="shared" si="27"/>
        <v/>
      </c>
      <c r="AB112" s="3747"/>
      <c r="AC112" s="4919" t="str">
        <f t="shared" si="28"/>
        <v/>
      </c>
      <c r="AD112" s="4920"/>
      <c r="AE112" s="4920"/>
      <c r="AF112" s="4920"/>
      <c r="AG112" s="2837">
        <f t="shared" si="29"/>
        <v>0</v>
      </c>
      <c r="AH112" s="1804"/>
      <c r="AI112" s="1804" t="e">
        <f t="shared" si="30"/>
        <v>#VALUE!</v>
      </c>
      <c r="AJ112" s="2650"/>
      <c r="AK112" s="2654"/>
      <c r="AL112" s="2654"/>
      <c r="AM112" s="2652"/>
      <c r="AN112" s="2652"/>
      <c r="AO112" s="2653"/>
      <c r="AP112" s="2652"/>
      <c r="AQ112" s="2651"/>
      <c r="AS112" s="2826" t="e">
        <f t="shared" si="31"/>
        <v>#VALUE!</v>
      </c>
      <c r="AT112" s="2826" t="e">
        <f t="shared" si="32"/>
        <v>#VALUE!</v>
      </c>
      <c r="AU112" s="2826" t="e">
        <f t="shared" si="33"/>
        <v>#VALUE!</v>
      </c>
      <c r="AV112" s="2826"/>
      <c r="AW112" s="2826" t="e">
        <f t="shared" si="34"/>
        <v>#VALUE!</v>
      </c>
      <c r="AX112" s="2826" t="e">
        <f t="shared" si="35"/>
        <v>#VALUE!</v>
      </c>
      <c r="AY112" s="2826" t="e">
        <f t="shared" si="36"/>
        <v>#VALUE!</v>
      </c>
      <c r="AZ112" s="2826"/>
      <c r="BA112" s="2826" t="e">
        <f t="shared" si="37"/>
        <v>#VALUE!</v>
      </c>
      <c r="BB112" s="2826" t="e">
        <f t="shared" si="38"/>
        <v>#VALUE!</v>
      </c>
      <c r="BC112" s="2826" t="e">
        <f t="shared" si="39"/>
        <v>#VALUE!</v>
      </c>
    </row>
    <row r="113" spans="1:55" s="2642" customFormat="1" ht="19.5" customHeight="1">
      <c r="A113" s="1867">
        <f t="shared" si="20"/>
        <v>0</v>
      </c>
      <c r="B113" s="4945" t="str">
        <f t="shared" si="21"/>
        <v/>
      </c>
      <c r="C113" s="4946"/>
      <c r="D113" s="4946"/>
      <c r="E113" s="4946"/>
      <c r="F113" s="4946"/>
      <c r="G113" s="4946"/>
      <c r="H113" s="4946"/>
      <c r="I113" s="4947"/>
      <c r="J113" s="4943" t="str">
        <f t="shared" si="22"/>
        <v/>
      </c>
      <c r="K113" s="4944"/>
      <c r="L113" s="4944"/>
      <c r="M113" s="4943" t="str">
        <f t="shared" si="23"/>
        <v/>
      </c>
      <c r="N113" s="4944"/>
      <c r="O113" s="4944"/>
      <c r="P113" s="4948"/>
      <c r="Q113" s="3792" t="str">
        <f t="shared" si="24"/>
        <v/>
      </c>
      <c r="R113" s="4938"/>
      <c r="S113" s="4938"/>
      <c r="T113" s="4103"/>
      <c r="U113" s="3792" t="str">
        <f t="shared" si="25"/>
        <v/>
      </c>
      <c r="V113" s="4938"/>
      <c r="W113" s="4938"/>
      <c r="X113" s="4103"/>
      <c r="Y113" s="4921" t="str">
        <f t="shared" si="26"/>
        <v/>
      </c>
      <c r="Z113" s="3747"/>
      <c r="AA113" s="4921" t="str">
        <f t="shared" si="27"/>
        <v/>
      </c>
      <c r="AB113" s="3747"/>
      <c r="AC113" s="4919" t="str">
        <f t="shared" si="28"/>
        <v/>
      </c>
      <c r="AD113" s="4920"/>
      <c r="AE113" s="4920"/>
      <c r="AF113" s="4920"/>
      <c r="AG113" s="2837">
        <f t="shared" si="29"/>
        <v>0</v>
      </c>
      <c r="AH113" s="1804"/>
      <c r="AI113" s="1804" t="e">
        <f t="shared" si="30"/>
        <v>#VALUE!</v>
      </c>
      <c r="AJ113" s="2650"/>
      <c r="AK113" s="2654"/>
      <c r="AL113" s="2654"/>
      <c r="AM113" s="2652"/>
      <c r="AN113" s="2652"/>
      <c r="AO113" s="2653"/>
      <c r="AP113" s="2652"/>
      <c r="AQ113" s="2651"/>
      <c r="AS113" s="2826" t="e">
        <f t="shared" si="31"/>
        <v>#VALUE!</v>
      </c>
      <c r="AT113" s="2826" t="e">
        <f t="shared" si="32"/>
        <v>#VALUE!</v>
      </c>
      <c r="AU113" s="2826" t="e">
        <f t="shared" si="33"/>
        <v>#VALUE!</v>
      </c>
      <c r="AV113" s="2826"/>
      <c r="AW113" s="2826" t="e">
        <f t="shared" si="34"/>
        <v>#VALUE!</v>
      </c>
      <c r="AX113" s="2826" t="e">
        <f t="shared" si="35"/>
        <v>#VALUE!</v>
      </c>
      <c r="AY113" s="2826" t="e">
        <f t="shared" si="36"/>
        <v>#VALUE!</v>
      </c>
      <c r="AZ113" s="2826"/>
      <c r="BA113" s="2826" t="e">
        <f t="shared" si="37"/>
        <v>#VALUE!</v>
      </c>
      <c r="BB113" s="2826" t="e">
        <f t="shared" si="38"/>
        <v>#VALUE!</v>
      </c>
      <c r="BC113" s="2826" t="e">
        <f t="shared" si="39"/>
        <v>#VALUE!</v>
      </c>
    </row>
    <row r="114" spans="1:55" s="2642" customFormat="1" ht="19.5" customHeight="1">
      <c r="A114" s="1867">
        <f t="shared" si="20"/>
        <v>0</v>
      </c>
      <c r="B114" s="4945" t="str">
        <f t="shared" si="21"/>
        <v/>
      </c>
      <c r="C114" s="4946"/>
      <c r="D114" s="4946"/>
      <c r="E114" s="4946"/>
      <c r="F114" s="4946"/>
      <c r="G114" s="4946"/>
      <c r="H114" s="4946"/>
      <c r="I114" s="4947"/>
      <c r="J114" s="4943" t="str">
        <f t="shared" si="22"/>
        <v/>
      </c>
      <c r="K114" s="4944"/>
      <c r="L114" s="4944"/>
      <c r="M114" s="4943" t="str">
        <f t="shared" si="23"/>
        <v/>
      </c>
      <c r="N114" s="4944"/>
      <c r="O114" s="4944"/>
      <c r="P114" s="4948"/>
      <c r="Q114" s="3792" t="str">
        <f t="shared" si="24"/>
        <v/>
      </c>
      <c r="R114" s="4938"/>
      <c r="S114" s="4938"/>
      <c r="T114" s="4103"/>
      <c r="U114" s="3792" t="str">
        <f t="shared" si="25"/>
        <v/>
      </c>
      <c r="V114" s="4938"/>
      <c r="W114" s="4938"/>
      <c r="X114" s="4103"/>
      <c r="Y114" s="4921" t="str">
        <f t="shared" si="26"/>
        <v/>
      </c>
      <c r="Z114" s="3747"/>
      <c r="AA114" s="4921" t="str">
        <f t="shared" si="27"/>
        <v/>
      </c>
      <c r="AB114" s="3747"/>
      <c r="AC114" s="4919" t="str">
        <f t="shared" si="28"/>
        <v/>
      </c>
      <c r="AD114" s="4920"/>
      <c r="AE114" s="4920"/>
      <c r="AF114" s="4920"/>
      <c r="AG114" s="2837">
        <f t="shared" si="29"/>
        <v>0</v>
      </c>
      <c r="AH114" s="1804"/>
      <c r="AI114" s="1804" t="e">
        <f t="shared" si="30"/>
        <v>#VALUE!</v>
      </c>
      <c r="AJ114" s="2650"/>
      <c r="AK114" s="2654"/>
      <c r="AL114" s="2654"/>
      <c r="AM114" s="2652"/>
      <c r="AN114" s="2652"/>
      <c r="AO114" s="2653"/>
      <c r="AP114" s="2652"/>
      <c r="AQ114" s="2651"/>
      <c r="AS114" s="2826" t="e">
        <f t="shared" si="31"/>
        <v>#VALUE!</v>
      </c>
      <c r="AT114" s="2826" t="e">
        <f t="shared" si="32"/>
        <v>#VALUE!</v>
      </c>
      <c r="AU114" s="2826" t="e">
        <f t="shared" si="33"/>
        <v>#VALUE!</v>
      </c>
      <c r="AV114" s="2826"/>
      <c r="AW114" s="2826" t="e">
        <f t="shared" si="34"/>
        <v>#VALUE!</v>
      </c>
      <c r="AX114" s="2826" t="e">
        <f t="shared" si="35"/>
        <v>#VALUE!</v>
      </c>
      <c r="AY114" s="2826" t="e">
        <f t="shared" si="36"/>
        <v>#VALUE!</v>
      </c>
      <c r="AZ114" s="2826"/>
      <c r="BA114" s="2826" t="e">
        <f t="shared" si="37"/>
        <v>#VALUE!</v>
      </c>
      <c r="BB114" s="2826" t="e">
        <f t="shared" si="38"/>
        <v>#VALUE!</v>
      </c>
      <c r="BC114" s="2826" t="e">
        <f t="shared" si="39"/>
        <v>#VALUE!</v>
      </c>
    </row>
    <row r="115" spans="1:55" s="2642" customFormat="1" ht="19.5" customHeight="1">
      <c r="A115" s="1867">
        <f t="shared" si="20"/>
        <v>0</v>
      </c>
      <c r="B115" s="4945" t="str">
        <f t="shared" si="21"/>
        <v/>
      </c>
      <c r="C115" s="4946"/>
      <c r="D115" s="4946"/>
      <c r="E115" s="4946"/>
      <c r="F115" s="4946"/>
      <c r="G115" s="4946"/>
      <c r="H115" s="4946"/>
      <c r="I115" s="4947"/>
      <c r="J115" s="4943" t="str">
        <f t="shared" si="22"/>
        <v/>
      </c>
      <c r="K115" s="4944"/>
      <c r="L115" s="4944"/>
      <c r="M115" s="4943" t="str">
        <f t="shared" si="23"/>
        <v/>
      </c>
      <c r="N115" s="4944"/>
      <c r="O115" s="4944"/>
      <c r="P115" s="4948"/>
      <c r="Q115" s="3792" t="str">
        <f t="shared" si="24"/>
        <v/>
      </c>
      <c r="R115" s="4938"/>
      <c r="S115" s="4938"/>
      <c r="T115" s="4103"/>
      <c r="U115" s="3792" t="str">
        <f t="shared" si="25"/>
        <v/>
      </c>
      <c r="V115" s="4938"/>
      <c r="W115" s="4938"/>
      <c r="X115" s="4103"/>
      <c r="Y115" s="4921" t="str">
        <f t="shared" si="26"/>
        <v/>
      </c>
      <c r="Z115" s="3747"/>
      <c r="AA115" s="4921" t="str">
        <f t="shared" si="27"/>
        <v/>
      </c>
      <c r="AB115" s="3747"/>
      <c r="AC115" s="4919" t="str">
        <f t="shared" si="28"/>
        <v/>
      </c>
      <c r="AD115" s="4920"/>
      <c r="AE115" s="4920"/>
      <c r="AF115" s="4920"/>
      <c r="AG115" s="2837">
        <f t="shared" si="29"/>
        <v>0</v>
      </c>
      <c r="AH115" s="1804"/>
      <c r="AI115" s="1804" t="e">
        <f t="shared" si="30"/>
        <v>#VALUE!</v>
      </c>
      <c r="AJ115" s="2650"/>
      <c r="AK115" s="2654"/>
      <c r="AL115" s="2654"/>
      <c r="AM115" s="2652"/>
      <c r="AN115" s="2652"/>
      <c r="AO115" s="2653"/>
      <c r="AP115" s="2652"/>
      <c r="AQ115" s="2651"/>
      <c r="AS115" s="2826" t="e">
        <f t="shared" si="31"/>
        <v>#VALUE!</v>
      </c>
      <c r="AT115" s="2826" t="e">
        <f t="shared" si="32"/>
        <v>#VALUE!</v>
      </c>
      <c r="AU115" s="2826" t="e">
        <f t="shared" si="33"/>
        <v>#VALUE!</v>
      </c>
      <c r="AV115" s="2826"/>
      <c r="AW115" s="2826" t="e">
        <f t="shared" si="34"/>
        <v>#VALUE!</v>
      </c>
      <c r="AX115" s="2826" t="e">
        <f t="shared" si="35"/>
        <v>#VALUE!</v>
      </c>
      <c r="AY115" s="2826" t="e">
        <f t="shared" si="36"/>
        <v>#VALUE!</v>
      </c>
      <c r="AZ115" s="2826"/>
      <c r="BA115" s="2826" t="e">
        <f t="shared" si="37"/>
        <v>#VALUE!</v>
      </c>
      <c r="BB115" s="2826" t="e">
        <f t="shared" si="38"/>
        <v>#VALUE!</v>
      </c>
      <c r="BC115" s="2826" t="e">
        <f t="shared" si="39"/>
        <v>#VALUE!</v>
      </c>
    </row>
    <row r="116" spans="1:55" ht="11.25" customHeight="1">
      <c r="A116" s="1867">
        <f>SUM(A88:A115)</f>
        <v>0</v>
      </c>
      <c r="B116" s="5010">
        <v>2</v>
      </c>
      <c r="C116" s="5034" t="s">
        <v>2002</v>
      </c>
      <c r="D116" s="5035"/>
      <c r="E116" s="5035"/>
      <c r="F116" s="5035"/>
      <c r="G116" s="5035"/>
      <c r="H116" s="5035"/>
      <c r="I116" s="5035"/>
      <c r="J116" s="5035"/>
      <c r="K116" s="5035"/>
      <c r="L116" s="5035"/>
      <c r="M116" s="5035"/>
      <c r="N116" s="5035"/>
      <c r="O116" s="5035"/>
      <c r="P116" s="5035"/>
      <c r="Q116" s="5012" t="str">
        <f>IF(A116=0,"",SUM(Q88:Q115))</f>
        <v/>
      </c>
      <c r="R116" s="5038"/>
      <c r="S116" s="5038"/>
      <c r="T116" s="5027"/>
      <c r="U116" s="5012" t="str">
        <f>IF(A116=0,"",SUM(U88:U115))</f>
        <v/>
      </c>
      <c r="V116" s="5013"/>
      <c r="W116" s="5013"/>
      <c r="X116" s="5014"/>
      <c r="Y116" s="5021"/>
      <c r="Z116" s="5022"/>
      <c r="AA116" s="5012" t="str">
        <f>IF(A116=0,"",SUM(AA88:AA115))</f>
        <v/>
      </c>
      <c r="AB116" s="5027"/>
      <c r="AC116" s="5012" t="str">
        <f>IF(A116=0,"",SUM(AC88:AC115))</f>
        <v/>
      </c>
      <c r="AD116" s="5013"/>
      <c r="AE116" s="5013"/>
      <c r="AF116" s="5013"/>
      <c r="AG116" s="1867"/>
    </row>
    <row r="117" spans="1:55" ht="11.25" customHeight="1">
      <c r="A117" s="1867"/>
      <c r="B117" s="5011"/>
      <c r="C117" s="5036"/>
      <c r="D117" s="5036"/>
      <c r="E117" s="5036"/>
      <c r="F117" s="5036"/>
      <c r="G117" s="5036"/>
      <c r="H117" s="5036"/>
      <c r="I117" s="5036"/>
      <c r="J117" s="5036"/>
      <c r="K117" s="5036"/>
      <c r="L117" s="5036"/>
      <c r="M117" s="5036"/>
      <c r="N117" s="5036"/>
      <c r="O117" s="5036"/>
      <c r="P117" s="5036"/>
      <c r="Q117" s="5028"/>
      <c r="R117" s="5039"/>
      <c r="S117" s="5039"/>
      <c r="T117" s="5029"/>
      <c r="U117" s="5015"/>
      <c r="V117" s="5016"/>
      <c r="W117" s="5016"/>
      <c r="X117" s="5017"/>
      <c r="Y117" s="5023"/>
      <c r="Z117" s="5024"/>
      <c r="AA117" s="5028"/>
      <c r="AB117" s="5029"/>
      <c r="AC117" s="5015"/>
      <c r="AD117" s="5016"/>
      <c r="AE117" s="5016"/>
      <c r="AF117" s="5016"/>
      <c r="AG117" s="1867"/>
    </row>
    <row r="118" spans="1:55" ht="11.25" customHeight="1">
      <c r="A118" s="1867"/>
      <c r="B118" s="5011"/>
      <c r="C118" s="5036"/>
      <c r="D118" s="5036"/>
      <c r="E118" s="5036"/>
      <c r="F118" s="5036"/>
      <c r="G118" s="5036"/>
      <c r="H118" s="5036"/>
      <c r="I118" s="5036"/>
      <c r="J118" s="5036"/>
      <c r="K118" s="5036"/>
      <c r="L118" s="5036"/>
      <c r="M118" s="5036"/>
      <c r="N118" s="5036"/>
      <c r="O118" s="5036"/>
      <c r="P118" s="5036"/>
      <c r="Q118" s="5028"/>
      <c r="R118" s="5039"/>
      <c r="S118" s="5039"/>
      <c r="T118" s="5029"/>
      <c r="U118" s="5015"/>
      <c r="V118" s="5016"/>
      <c r="W118" s="5016"/>
      <c r="X118" s="5017"/>
      <c r="Y118" s="5023"/>
      <c r="Z118" s="5024"/>
      <c r="AA118" s="5028"/>
      <c r="AB118" s="5029"/>
      <c r="AC118" s="5015"/>
      <c r="AD118" s="5016"/>
      <c r="AE118" s="5016"/>
      <c r="AF118" s="5016"/>
      <c r="AG118" s="1867"/>
    </row>
    <row r="119" spans="1:55" ht="11.25" customHeight="1">
      <c r="A119" s="1867"/>
      <c r="B119" s="5011"/>
      <c r="C119" s="5036"/>
      <c r="D119" s="5036"/>
      <c r="E119" s="5036"/>
      <c r="F119" s="5036"/>
      <c r="G119" s="5036"/>
      <c r="H119" s="5036"/>
      <c r="I119" s="5036"/>
      <c r="J119" s="5036"/>
      <c r="K119" s="5036"/>
      <c r="L119" s="5036"/>
      <c r="M119" s="5036"/>
      <c r="N119" s="5036"/>
      <c r="O119" s="5036"/>
      <c r="P119" s="5036"/>
      <c r="Q119" s="5028"/>
      <c r="R119" s="5039"/>
      <c r="S119" s="5039"/>
      <c r="T119" s="5029"/>
      <c r="U119" s="5015"/>
      <c r="V119" s="5016"/>
      <c r="W119" s="5016"/>
      <c r="X119" s="5017"/>
      <c r="Y119" s="5023"/>
      <c r="Z119" s="5024"/>
      <c r="AA119" s="5028"/>
      <c r="AB119" s="5029"/>
      <c r="AC119" s="5015"/>
      <c r="AD119" s="5016"/>
      <c r="AE119" s="5016"/>
      <c r="AF119" s="5016"/>
      <c r="AG119" s="1867"/>
    </row>
    <row r="120" spans="1:55" ht="6" customHeight="1" thickBot="1">
      <c r="A120" s="1867"/>
      <c r="B120" s="5011"/>
      <c r="C120" s="5037"/>
      <c r="D120" s="5037"/>
      <c r="E120" s="5037"/>
      <c r="F120" s="5037"/>
      <c r="G120" s="5037"/>
      <c r="H120" s="5037"/>
      <c r="I120" s="5037"/>
      <c r="J120" s="5037"/>
      <c r="K120" s="5037"/>
      <c r="L120" s="5037"/>
      <c r="M120" s="5037"/>
      <c r="N120" s="5037"/>
      <c r="O120" s="5037"/>
      <c r="P120" s="5037"/>
      <c r="Q120" s="5028"/>
      <c r="R120" s="5039"/>
      <c r="S120" s="5039"/>
      <c r="T120" s="5029"/>
      <c r="U120" s="5018"/>
      <c r="V120" s="5019"/>
      <c r="W120" s="5019"/>
      <c r="X120" s="5020"/>
      <c r="Y120" s="5025"/>
      <c r="Z120" s="5026"/>
      <c r="AA120" s="5030"/>
      <c r="AB120" s="3733"/>
      <c r="AC120" s="5015"/>
      <c r="AD120" s="5016"/>
      <c r="AE120" s="5016"/>
      <c r="AF120" s="5016"/>
      <c r="AG120" s="1867"/>
    </row>
    <row r="121" spans="1:55" ht="25.5" customHeight="1" thickBot="1">
      <c r="A121" s="1867"/>
      <c r="B121" s="5040" t="s">
        <v>1548</v>
      </c>
      <c r="C121" s="5041"/>
      <c r="D121" s="5041"/>
      <c r="E121" s="5041"/>
      <c r="F121" s="5041"/>
      <c r="G121" s="5041"/>
      <c r="H121" s="5041"/>
      <c r="I121" s="5041"/>
      <c r="J121" s="5041"/>
      <c r="K121" s="5041"/>
      <c r="L121" s="5041"/>
      <c r="M121" s="5041"/>
      <c r="N121" s="5041"/>
      <c r="O121" s="5041"/>
      <c r="P121" s="5041"/>
      <c r="Q121" s="5041"/>
      <c r="R121" s="5041"/>
      <c r="S121" s="5041"/>
      <c r="T121" s="5041"/>
      <c r="U121" s="5042"/>
      <c r="V121" s="5042"/>
      <c r="W121" s="5042"/>
      <c r="X121" s="5042"/>
      <c r="Y121" s="5041"/>
      <c r="Z121" s="5041"/>
      <c r="AA121" s="5041"/>
      <c r="AB121" s="5041"/>
      <c r="AC121" s="5041"/>
      <c r="AD121" s="5041"/>
      <c r="AE121" s="5041"/>
      <c r="AF121" s="5041"/>
      <c r="AG121" s="1867"/>
    </row>
    <row r="122" spans="1:55" ht="14.25" customHeight="1" thickTop="1">
      <c r="A122" s="186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1816"/>
      <c r="AD122" s="1816" t="s">
        <v>1222</v>
      </c>
      <c r="AE122" s="37"/>
      <c r="AF122" s="1816" t="str">
        <f>"("&amp;TaxYear&amp;")"</f>
        <v>(2014)</v>
      </c>
      <c r="AG122" s="1867"/>
    </row>
    <row r="123" spans="1:55">
      <c r="A123" s="1867"/>
      <c r="B123" s="1867"/>
      <c r="C123" s="1867"/>
      <c r="D123" s="1867"/>
      <c r="E123" s="1867"/>
      <c r="F123" s="1867"/>
      <c r="G123" s="1867"/>
      <c r="H123" s="1867"/>
      <c r="I123" s="1867"/>
      <c r="J123" s="1867"/>
      <c r="K123" s="1867"/>
      <c r="L123" s="1867"/>
      <c r="M123" s="1867"/>
      <c r="N123" s="1867"/>
      <c r="O123" s="1867"/>
      <c r="P123" s="1867"/>
      <c r="Q123" s="1867"/>
      <c r="R123" s="1867"/>
      <c r="S123" s="1867"/>
      <c r="T123" s="1867"/>
      <c r="U123" s="1867"/>
      <c r="V123" s="1867"/>
      <c r="W123" s="1867"/>
      <c r="X123" s="1867"/>
      <c r="Y123" s="1867"/>
      <c r="Z123" s="1867"/>
      <c r="AA123" s="1867"/>
      <c r="AB123" s="1867"/>
      <c r="AC123" s="1867"/>
      <c r="AD123" s="1867"/>
      <c r="AE123" s="1867"/>
      <c r="AF123" s="1867"/>
      <c r="AG123" s="1867"/>
    </row>
  </sheetData>
  <sheetProtection password="F07E" sheet="1" objects="1" scenarios="1"/>
  <mergeCells count="470">
    <mergeCell ref="AA108:AB108"/>
    <mergeCell ref="AA112:AB112"/>
    <mergeCell ref="B88:I88"/>
    <mergeCell ref="J88:L88"/>
    <mergeCell ref="M88:P88"/>
    <mergeCell ref="B89:I89"/>
    <mergeCell ref="J89:L89"/>
    <mergeCell ref="M89:P89"/>
    <mergeCell ref="U106:X106"/>
    <mergeCell ref="Y106:Z106"/>
    <mergeCell ref="AA106:AB106"/>
    <mergeCell ref="Q98:T98"/>
    <mergeCell ref="U98:X98"/>
    <mergeCell ref="Y98:Z98"/>
    <mergeCell ref="B91:I91"/>
    <mergeCell ref="J91:L91"/>
    <mergeCell ref="M91:P91"/>
    <mergeCell ref="Q91:T91"/>
    <mergeCell ref="U91:X91"/>
    <mergeCell ref="Y91:Z91"/>
    <mergeCell ref="AA91:AB91"/>
    <mergeCell ref="AA88:AB88"/>
    <mergeCell ref="AA89:AB89"/>
    <mergeCell ref="B90:I90"/>
    <mergeCell ref="J52:L52"/>
    <mergeCell ref="M52:P52"/>
    <mergeCell ref="Q52:T52"/>
    <mergeCell ref="U52:X52"/>
    <mergeCell ref="AC52:AF52"/>
    <mergeCell ref="B51:I51"/>
    <mergeCell ref="J51:L51"/>
    <mergeCell ref="M51:P51"/>
    <mergeCell ref="Q51:T51"/>
    <mergeCell ref="U51:X51"/>
    <mergeCell ref="AA52:AB52"/>
    <mergeCell ref="AA51:AB51"/>
    <mergeCell ref="AC51:AF51"/>
    <mergeCell ref="B52:I52"/>
    <mergeCell ref="Y86:Z87"/>
    <mergeCell ref="AA86:AB87"/>
    <mergeCell ref="B60:AF60"/>
    <mergeCell ref="B84:B87"/>
    <mergeCell ref="C84:I87"/>
    <mergeCell ref="J84:L87"/>
    <mergeCell ref="B69:C69"/>
    <mergeCell ref="B64:U64"/>
    <mergeCell ref="V64:AF64"/>
    <mergeCell ref="B121:AF121"/>
    <mergeCell ref="C116:P120"/>
    <mergeCell ref="Q116:T120"/>
    <mergeCell ref="Y35:Z35"/>
    <mergeCell ref="Y36:Z36"/>
    <mergeCell ref="Y37:Z37"/>
    <mergeCell ref="Y38:Z38"/>
    <mergeCell ref="Y39:Z39"/>
    <mergeCell ref="Y40:Z40"/>
    <mergeCell ref="Y45:Z45"/>
    <mergeCell ref="Y46:Z46"/>
    <mergeCell ref="Y47:Z47"/>
    <mergeCell ref="Y48:Z48"/>
    <mergeCell ref="Y49:Z49"/>
    <mergeCell ref="Y50:Z50"/>
    <mergeCell ref="Y51:Z51"/>
    <mergeCell ref="Y52:Z52"/>
    <mergeCell ref="Y53:Z53"/>
    <mergeCell ref="AC37:AF37"/>
    <mergeCell ref="AA111:AB111"/>
    <mergeCell ref="AA109:AB109"/>
    <mergeCell ref="B44:I44"/>
    <mergeCell ref="J44:L44"/>
    <mergeCell ref="M44:P44"/>
    <mergeCell ref="Q44:T44"/>
    <mergeCell ref="U44:X44"/>
    <mergeCell ref="M31:P34"/>
    <mergeCell ref="J31:L34"/>
    <mergeCell ref="M37:P37"/>
    <mergeCell ref="Q37:T37"/>
    <mergeCell ref="J36:L36"/>
    <mergeCell ref="Q36:T36"/>
    <mergeCell ref="B37:I37"/>
    <mergeCell ref="J37:L37"/>
    <mergeCell ref="B36:I36"/>
    <mergeCell ref="U37:X37"/>
    <mergeCell ref="B38:I38"/>
    <mergeCell ref="J38:L38"/>
    <mergeCell ref="M36:P36"/>
    <mergeCell ref="B35:I35"/>
    <mergeCell ref="J35:L35"/>
    <mergeCell ref="U31:X34"/>
    <mergeCell ref="Q31:T34"/>
    <mergeCell ref="Q35:T35"/>
    <mergeCell ref="Q39:T39"/>
    <mergeCell ref="Q48:T48"/>
    <mergeCell ref="U48:X48"/>
    <mergeCell ref="AA48:AB48"/>
    <mergeCell ref="AA47:AB47"/>
    <mergeCell ref="AA46:AB46"/>
    <mergeCell ref="M45:P45"/>
    <mergeCell ref="Q45:T45"/>
    <mergeCell ref="U45:X45"/>
    <mergeCell ref="B45:I45"/>
    <mergeCell ref="B47:I47"/>
    <mergeCell ref="J47:L47"/>
    <mergeCell ref="M47:P47"/>
    <mergeCell ref="Q47:T47"/>
    <mergeCell ref="U47:X47"/>
    <mergeCell ref="AC45:AF45"/>
    <mergeCell ref="B46:I46"/>
    <mergeCell ref="J46:L46"/>
    <mergeCell ref="M46:P46"/>
    <mergeCell ref="Q46:T46"/>
    <mergeCell ref="U46:X46"/>
    <mergeCell ref="AC46:AF46"/>
    <mergeCell ref="AC47:AF47"/>
    <mergeCell ref="B50:I50"/>
    <mergeCell ref="J50:L50"/>
    <mergeCell ref="M50:P50"/>
    <mergeCell ref="Q50:T50"/>
    <mergeCell ref="U50:X50"/>
    <mergeCell ref="AC50:AF50"/>
    <mergeCell ref="B49:I49"/>
    <mergeCell ref="J49:L49"/>
    <mergeCell ref="M49:P49"/>
    <mergeCell ref="Q49:T49"/>
    <mergeCell ref="U49:X49"/>
    <mergeCell ref="AA50:AB50"/>
    <mergeCell ref="AA49:AB49"/>
    <mergeCell ref="B48:I48"/>
    <mergeCell ref="J48:L48"/>
    <mergeCell ref="M48:P48"/>
    <mergeCell ref="B53:I53"/>
    <mergeCell ref="J53:L53"/>
    <mergeCell ref="M53:P53"/>
    <mergeCell ref="Q53:T53"/>
    <mergeCell ref="U53:X53"/>
    <mergeCell ref="AA53:AB53"/>
    <mergeCell ref="AC54:AF54"/>
    <mergeCell ref="AC55:AF59"/>
    <mergeCell ref="U55:X59"/>
    <mergeCell ref="B54:I54"/>
    <mergeCell ref="J54:L54"/>
    <mergeCell ref="M54:P54"/>
    <mergeCell ref="Q54:T54"/>
    <mergeCell ref="U54:X54"/>
    <mergeCell ref="B55:B59"/>
    <mergeCell ref="Y54:Z54"/>
    <mergeCell ref="AA54:AB54"/>
    <mergeCell ref="C55:P59"/>
    <mergeCell ref="Q55:T59"/>
    <mergeCell ref="Y55:Z59"/>
    <mergeCell ref="AA55:AB59"/>
    <mergeCell ref="J90:L90"/>
    <mergeCell ref="M90:P90"/>
    <mergeCell ref="Q90:T90"/>
    <mergeCell ref="U90:X90"/>
    <mergeCell ref="B92:I92"/>
    <mergeCell ref="J92:L92"/>
    <mergeCell ref="M92:P92"/>
    <mergeCell ref="Q92:T92"/>
    <mergeCell ref="U92:X92"/>
    <mergeCell ref="B99:I99"/>
    <mergeCell ref="J99:L99"/>
    <mergeCell ref="M99:P99"/>
    <mergeCell ref="Q99:T99"/>
    <mergeCell ref="U99:X99"/>
    <mergeCell ref="B93:I93"/>
    <mergeCell ref="J93:L93"/>
    <mergeCell ref="M93:P93"/>
    <mergeCell ref="Q93:T93"/>
    <mergeCell ref="U93:X93"/>
    <mergeCell ref="M94:P94"/>
    <mergeCell ref="Q94:T94"/>
    <mergeCell ref="U94:X94"/>
    <mergeCell ref="M96:P96"/>
    <mergeCell ref="Q96:T96"/>
    <mergeCell ref="U96:X96"/>
    <mergeCell ref="B98:I98"/>
    <mergeCell ref="J98:L98"/>
    <mergeCell ref="M98:P98"/>
    <mergeCell ref="B97:I97"/>
    <mergeCell ref="J97:L97"/>
    <mergeCell ref="M97:P97"/>
    <mergeCell ref="B100:I100"/>
    <mergeCell ref="J100:L100"/>
    <mergeCell ref="B105:I105"/>
    <mergeCell ref="J105:L105"/>
    <mergeCell ref="AC105:AF105"/>
    <mergeCell ref="B101:I101"/>
    <mergeCell ref="J101:L101"/>
    <mergeCell ref="U101:X101"/>
    <mergeCell ref="Y101:Z101"/>
    <mergeCell ref="AA101:AB101"/>
    <mergeCell ref="AC101:AF101"/>
    <mergeCell ref="B102:I102"/>
    <mergeCell ref="M100:P100"/>
    <mergeCell ref="M105:P105"/>
    <mergeCell ref="Q105:T105"/>
    <mergeCell ref="U105:X105"/>
    <mergeCell ref="Y105:Z105"/>
    <mergeCell ref="AA105:AB105"/>
    <mergeCell ref="M101:P101"/>
    <mergeCell ref="Q101:T101"/>
    <mergeCell ref="J102:L102"/>
    <mergeCell ref="M102:P102"/>
    <mergeCell ref="Q102:T102"/>
    <mergeCell ref="U102:X102"/>
    <mergeCell ref="B107:I107"/>
    <mergeCell ref="J107:L107"/>
    <mergeCell ref="M107:P107"/>
    <mergeCell ref="B109:I109"/>
    <mergeCell ref="J109:L109"/>
    <mergeCell ref="AC108:AF108"/>
    <mergeCell ref="AC109:AF109"/>
    <mergeCell ref="B110:I110"/>
    <mergeCell ref="J110:L110"/>
    <mergeCell ref="M110:P110"/>
    <mergeCell ref="Q110:T110"/>
    <mergeCell ref="U110:X110"/>
    <mergeCell ref="B108:I108"/>
    <mergeCell ref="J108:L108"/>
    <mergeCell ref="M108:P108"/>
    <mergeCell ref="Q108:T108"/>
    <mergeCell ref="U108:X108"/>
    <mergeCell ref="Y109:Z109"/>
    <mergeCell ref="Q107:T107"/>
    <mergeCell ref="U107:X107"/>
    <mergeCell ref="Y108:Z108"/>
    <mergeCell ref="Y107:Z107"/>
    <mergeCell ref="AC107:AF107"/>
    <mergeCell ref="AA107:AB107"/>
    <mergeCell ref="U88:X88"/>
    <mergeCell ref="U100:X100"/>
    <mergeCell ref="Y100:Z100"/>
    <mergeCell ref="AA100:AB100"/>
    <mergeCell ref="Q84:T87"/>
    <mergeCell ref="U84:X87"/>
    <mergeCell ref="Y84:AB85"/>
    <mergeCell ref="Y88:Z88"/>
    <mergeCell ref="Y89:Z89"/>
    <mergeCell ref="Y90:Z90"/>
    <mergeCell ref="Y92:Z92"/>
    <mergeCell ref="Y93:Z93"/>
    <mergeCell ref="Y94:Z94"/>
    <mergeCell ref="Y99:Z99"/>
    <mergeCell ref="Q97:T97"/>
    <mergeCell ref="U97:X97"/>
    <mergeCell ref="Y97:Z97"/>
    <mergeCell ref="Q89:T89"/>
    <mergeCell ref="U89:X89"/>
    <mergeCell ref="AA90:AB90"/>
    <mergeCell ref="AA92:AB92"/>
    <mergeCell ref="AA93:AB93"/>
    <mergeCell ref="AA94:AB94"/>
    <mergeCell ref="AA99:AB99"/>
    <mergeCell ref="Y110:Z110"/>
    <mergeCell ref="AA110:AB110"/>
    <mergeCell ref="Y111:Z111"/>
    <mergeCell ref="M109:P109"/>
    <mergeCell ref="Q109:T109"/>
    <mergeCell ref="U109:X109"/>
    <mergeCell ref="U113:X113"/>
    <mergeCell ref="AC111:AF111"/>
    <mergeCell ref="AC110:AF110"/>
    <mergeCell ref="Y112:Z112"/>
    <mergeCell ref="Y113:Z113"/>
    <mergeCell ref="AA113:AB113"/>
    <mergeCell ref="AC114:AF114"/>
    <mergeCell ref="B113:I113"/>
    <mergeCell ref="J113:L113"/>
    <mergeCell ref="AC112:AF112"/>
    <mergeCell ref="B111:I111"/>
    <mergeCell ref="J111:L111"/>
    <mergeCell ref="M111:P111"/>
    <mergeCell ref="Q111:T111"/>
    <mergeCell ref="U111:X111"/>
    <mergeCell ref="B114:I114"/>
    <mergeCell ref="J114:L114"/>
    <mergeCell ref="M114:P114"/>
    <mergeCell ref="Q114:T114"/>
    <mergeCell ref="U114:X114"/>
    <mergeCell ref="B112:I112"/>
    <mergeCell ref="J112:L112"/>
    <mergeCell ref="M112:P112"/>
    <mergeCell ref="Q112:T112"/>
    <mergeCell ref="U112:X112"/>
    <mergeCell ref="AC113:AF113"/>
    <mergeCell ref="M113:P113"/>
    <mergeCell ref="Q113:T113"/>
    <mergeCell ref="Y114:Z114"/>
    <mergeCell ref="AA114:AB114"/>
    <mergeCell ref="AC115:AF115"/>
    <mergeCell ref="B116:B120"/>
    <mergeCell ref="U116:X120"/>
    <mergeCell ref="AC116:AF120"/>
    <mergeCell ref="B115:I115"/>
    <mergeCell ref="J115:L115"/>
    <mergeCell ref="M115:P115"/>
    <mergeCell ref="Q115:T115"/>
    <mergeCell ref="U115:X115"/>
    <mergeCell ref="AA115:AB115"/>
    <mergeCell ref="Y116:Z120"/>
    <mergeCell ref="AA116:AB120"/>
    <mergeCell ref="Y115:Z115"/>
    <mergeCell ref="B2:K2"/>
    <mergeCell ref="H8:AA8"/>
    <mergeCell ref="B4:F6"/>
    <mergeCell ref="AB4:AF4"/>
    <mergeCell ref="AB5:AF7"/>
    <mergeCell ref="AC35:AF35"/>
    <mergeCell ref="AC36:AF36"/>
    <mergeCell ref="U35:X35"/>
    <mergeCell ref="V11:AF11"/>
    <mergeCell ref="B11:U11"/>
    <mergeCell ref="H4:AA6"/>
    <mergeCell ref="B16:C16"/>
    <mergeCell ref="B31:B34"/>
    <mergeCell ref="AB8:AF9"/>
    <mergeCell ref="H7:AA7"/>
    <mergeCell ref="U36:X36"/>
    <mergeCell ref="C31:I34"/>
    <mergeCell ref="AA36:AB36"/>
    <mergeCell ref="R29:AE29"/>
    <mergeCell ref="Y31:AB32"/>
    <mergeCell ref="Y33:Z34"/>
    <mergeCell ref="AA33:AB34"/>
    <mergeCell ref="AC31:AF34"/>
    <mergeCell ref="Q106:T106"/>
    <mergeCell ref="U40:X40"/>
    <mergeCell ref="AC40:AF40"/>
    <mergeCell ref="AA38:AB38"/>
    <mergeCell ref="B40:I40"/>
    <mergeCell ref="J40:L40"/>
    <mergeCell ref="U39:X39"/>
    <mergeCell ref="AJ31:AJ34"/>
    <mergeCell ref="M35:P35"/>
    <mergeCell ref="B42:I42"/>
    <mergeCell ref="J42:L42"/>
    <mergeCell ref="M42:P42"/>
    <mergeCell ref="Q42:T42"/>
    <mergeCell ref="U42:X42"/>
    <mergeCell ref="Y42:Z42"/>
    <mergeCell ref="AA42:AB42"/>
    <mergeCell ref="AC42:AF42"/>
    <mergeCell ref="B41:I41"/>
    <mergeCell ref="B43:I43"/>
    <mergeCell ref="J43:L43"/>
    <mergeCell ref="M43:P43"/>
    <mergeCell ref="Q43:T43"/>
    <mergeCell ref="AA97:AB97"/>
    <mergeCell ref="AC97:AF97"/>
    <mergeCell ref="AC38:AF38"/>
    <mergeCell ref="AC39:AF39"/>
    <mergeCell ref="M40:P40"/>
    <mergeCell ref="Q40:T40"/>
    <mergeCell ref="AC106:AF106"/>
    <mergeCell ref="B103:I103"/>
    <mergeCell ref="J103:L103"/>
    <mergeCell ref="M103:P103"/>
    <mergeCell ref="Q103:T103"/>
    <mergeCell ref="U103:X103"/>
    <mergeCell ref="Y103:Z103"/>
    <mergeCell ref="AA103:AB103"/>
    <mergeCell ref="AC103:AF103"/>
    <mergeCell ref="B104:I104"/>
    <mergeCell ref="J104:L104"/>
    <mergeCell ref="M104:P104"/>
    <mergeCell ref="Q104:T104"/>
    <mergeCell ref="U104:X104"/>
    <mergeCell ref="Y104:Z104"/>
    <mergeCell ref="AA104:AB104"/>
    <mergeCell ref="AC104:AF104"/>
    <mergeCell ref="B106:I106"/>
    <mergeCell ref="J106:L106"/>
    <mergeCell ref="M106:P106"/>
    <mergeCell ref="AN84:AN87"/>
    <mergeCell ref="AQ84:AQ87"/>
    <mergeCell ref="AO84:AP85"/>
    <mergeCell ref="AP86:AP87"/>
    <mergeCell ref="AM84:AM87"/>
    <mergeCell ref="AO86:AO87"/>
    <mergeCell ref="J41:L41"/>
    <mergeCell ref="M41:P41"/>
    <mergeCell ref="Q41:T41"/>
    <mergeCell ref="U41:X41"/>
    <mergeCell ref="Y41:Z41"/>
    <mergeCell ref="AA41:AB41"/>
    <mergeCell ref="AC41:AF41"/>
    <mergeCell ref="M84:P87"/>
    <mergeCell ref="J45:L45"/>
    <mergeCell ref="AC49:AF49"/>
    <mergeCell ref="AC48:AF48"/>
    <mergeCell ref="R82:AE82"/>
    <mergeCell ref="AA43:AB43"/>
    <mergeCell ref="AC43:AF43"/>
    <mergeCell ref="Y44:Z44"/>
    <mergeCell ref="AA44:AB44"/>
    <mergeCell ref="U43:X43"/>
    <mergeCell ref="Y43:Z43"/>
    <mergeCell ref="Y102:Z102"/>
    <mergeCell ref="Q100:T100"/>
    <mergeCell ref="B12:AF14"/>
    <mergeCell ref="B65:AF67"/>
    <mergeCell ref="J96:L96"/>
    <mergeCell ref="Y96:Z96"/>
    <mergeCell ref="B94:I94"/>
    <mergeCell ref="J94:L94"/>
    <mergeCell ref="B95:I95"/>
    <mergeCell ref="J95:L95"/>
    <mergeCell ref="M95:P95"/>
    <mergeCell ref="Q95:T95"/>
    <mergeCell ref="U95:X95"/>
    <mergeCell ref="Y95:Z95"/>
    <mergeCell ref="AA95:AB95"/>
    <mergeCell ref="AC95:AF95"/>
    <mergeCell ref="B96:I96"/>
    <mergeCell ref="Q88:T88"/>
    <mergeCell ref="B39:I39"/>
    <mergeCell ref="J39:L39"/>
    <mergeCell ref="M39:P39"/>
    <mergeCell ref="M38:P38"/>
    <mergeCell ref="Q38:T38"/>
    <mergeCell ref="U38:X38"/>
    <mergeCell ref="BA22:BC22"/>
    <mergeCell ref="BA23:BA34"/>
    <mergeCell ref="BB23:BB34"/>
    <mergeCell ref="BC23:BC34"/>
    <mergeCell ref="BA75:BC75"/>
    <mergeCell ref="BA76:BA87"/>
    <mergeCell ref="BB76:BB87"/>
    <mergeCell ref="BC76:BC87"/>
    <mergeCell ref="AO33:AO34"/>
    <mergeCell ref="AO31:AP32"/>
    <mergeCell ref="AP33:AP34"/>
    <mergeCell ref="AJ27:AQ27"/>
    <mergeCell ref="AJ29:AQ29"/>
    <mergeCell ref="AJ78:AQ78"/>
    <mergeCell ref="AJ80:AQ80"/>
    <mergeCell ref="AJ82:AQ82"/>
    <mergeCell ref="AL84:AL87"/>
    <mergeCell ref="AK31:AK34"/>
    <mergeCell ref="AL31:AL34"/>
    <mergeCell ref="AK84:AK87"/>
    <mergeCell ref="AJ84:AJ87"/>
    <mergeCell ref="AN31:AN34"/>
    <mergeCell ref="AQ31:AQ34"/>
    <mergeCell ref="AM31:AM34"/>
    <mergeCell ref="AC100:AF100"/>
    <mergeCell ref="AA102:AB102"/>
    <mergeCell ref="AC102:AF102"/>
    <mergeCell ref="AA96:AB96"/>
    <mergeCell ref="AC96:AF96"/>
    <mergeCell ref="AC93:AF93"/>
    <mergeCell ref="AC94:AF94"/>
    <mergeCell ref="AC92:AF92"/>
    <mergeCell ref="AJ25:AQ25"/>
    <mergeCell ref="AC88:AF88"/>
    <mergeCell ref="AC89:AF89"/>
    <mergeCell ref="AC99:AF99"/>
    <mergeCell ref="AC98:AF98"/>
    <mergeCell ref="AC90:AF90"/>
    <mergeCell ref="AC91:AF91"/>
    <mergeCell ref="AC53:AF53"/>
    <mergeCell ref="AC44:AF44"/>
    <mergeCell ref="AC84:AF87"/>
    <mergeCell ref="AA35:AB35"/>
    <mergeCell ref="AA37:AB37"/>
    <mergeCell ref="AA98:AB98"/>
    <mergeCell ref="AA45:AB45"/>
    <mergeCell ref="AA40:AB40"/>
    <mergeCell ref="AA39:AB39"/>
  </mergeCells>
  <conditionalFormatting sqref="P69">
    <cfRule type="expression" dxfId="436" priority="529" stopIfTrue="1">
      <formula>IF(AND($L$2="",$AG$69),TRUE,FALSE)</formula>
    </cfRule>
  </conditionalFormatting>
  <conditionalFormatting sqref="T16:T19">
    <cfRule type="expression" dxfId="435" priority="121" stopIfTrue="1">
      <formula>IF(AND($L$2="",$AG$16),TRUE,FALSE)</formula>
    </cfRule>
  </conditionalFormatting>
  <conditionalFormatting sqref="T69">
    <cfRule type="expression" dxfId="434" priority="120" stopIfTrue="1">
      <formula>IF(AND($L$2="",$AG$69),TRUE,FALSE)</formula>
    </cfRule>
  </conditionalFormatting>
  <conditionalFormatting sqref="L2">
    <cfRule type="expression" dxfId="433" priority="567" stopIfTrue="1">
      <formula>IF(OR($AG$16,$AG$69),1,0)</formula>
    </cfRule>
  </conditionalFormatting>
  <conditionalFormatting sqref="B2">
    <cfRule type="expression" dxfId="432" priority="568" stopIfTrue="1">
      <formula>IF(OR($AG$16,$AG$69),1,0)</formula>
    </cfRule>
  </conditionalFormatting>
  <conditionalFormatting sqref="M36">
    <cfRule type="expression" dxfId="431" priority="40" stopIfTrue="1">
      <formula>IF(AND($L$2="",AG36&gt;0),TRUE,FALSE)</formula>
    </cfRule>
  </conditionalFormatting>
  <conditionalFormatting sqref="J36">
    <cfRule type="expression" dxfId="430" priority="39" stopIfTrue="1">
      <formula>IF(AND($L$2="",AG36&lt;&gt;0),TRUE,FALSE)</formula>
    </cfRule>
  </conditionalFormatting>
  <conditionalFormatting sqref="M37">
    <cfRule type="expression" dxfId="429" priority="38" stopIfTrue="1">
      <formula>IF(AND($L$2="",AG37&gt;0),TRUE,FALSE)</formula>
    </cfRule>
  </conditionalFormatting>
  <conditionalFormatting sqref="J37">
    <cfRule type="expression" dxfId="428" priority="37" stopIfTrue="1">
      <formula>IF(AND($L$2="",AG37&lt;&gt;0),TRUE,FALSE)</formula>
    </cfRule>
  </conditionalFormatting>
  <conditionalFormatting sqref="M38:M40 M42:M54">
    <cfRule type="expression" dxfId="427" priority="36" stopIfTrue="1">
      <formula>IF(AND($L$2="",AG38&gt;0),TRUE,FALSE)</formula>
    </cfRule>
  </conditionalFormatting>
  <conditionalFormatting sqref="J38:J40 J42:J54">
    <cfRule type="expression" dxfId="426" priority="35" stopIfTrue="1">
      <formula>IF(AND($L$2="",AG38&lt;&gt;0),TRUE,FALSE)</formula>
    </cfRule>
  </conditionalFormatting>
  <conditionalFormatting sqref="J41">
    <cfRule type="expression" dxfId="425" priority="34" stopIfTrue="1">
      <formula>IF(AND($L$2="",AG41&lt;&gt;0),TRUE,FALSE)</formula>
    </cfRule>
  </conditionalFormatting>
  <conditionalFormatting sqref="M41">
    <cfRule type="expression" dxfId="424" priority="33" stopIfTrue="1">
      <formula>IF(AND($L$2="",AG41&gt;0),TRUE,FALSE)</formula>
    </cfRule>
  </conditionalFormatting>
  <conditionalFormatting sqref="J35">
    <cfRule type="expression" dxfId="423" priority="27" stopIfTrue="1">
      <formula>IF(AND($L$2="",AG35&lt;&gt;0),TRUE,FALSE)</formula>
    </cfRule>
  </conditionalFormatting>
  <conditionalFormatting sqref="M35">
    <cfRule type="expression" dxfId="422" priority="26" stopIfTrue="1">
      <formula>IF(AND($L$2="",AG35&gt;0),TRUE,FALSE)</formula>
    </cfRule>
  </conditionalFormatting>
  <conditionalFormatting sqref="B11:AF11">
    <cfRule type="expression" dxfId="421" priority="25">
      <formula>IF(NoColor,1,0)</formula>
    </cfRule>
  </conditionalFormatting>
  <conditionalFormatting sqref="C25">
    <cfRule type="expression" dxfId="420" priority="24">
      <formula>IF(NoColor,1,0)</formula>
    </cfRule>
  </conditionalFormatting>
  <conditionalFormatting sqref="AA55:AF59">
    <cfRule type="expression" dxfId="419" priority="19">
      <formula>IF(NoColor,1,0)</formula>
    </cfRule>
  </conditionalFormatting>
  <conditionalFormatting sqref="B35:AF54">
    <cfRule type="expression" dxfId="418" priority="21">
      <formula>IF(NoColor,1,0)</formula>
    </cfRule>
  </conditionalFormatting>
  <conditionalFormatting sqref="Q55:X59">
    <cfRule type="expression" dxfId="417" priority="20">
      <formula>IF(NoColor,1,0)</formula>
    </cfRule>
  </conditionalFormatting>
  <conditionalFormatting sqref="B64:AF64">
    <cfRule type="expression" dxfId="416" priority="18">
      <formula>IF(NoColor,1,0)</formula>
    </cfRule>
  </conditionalFormatting>
  <conditionalFormatting sqref="C78">
    <cfRule type="expression" dxfId="415" priority="17">
      <formula>IF(NoColor,1,0)</formula>
    </cfRule>
  </conditionalFormatting>
  <conditionalFormatting sqref="J88:J115">
    <cfRule type="expression" dxfId="414" priority="14" stopIfTrue="1">
      <formula>IF(AND($L$2="",AG88&lt;&gt;0),TRUE,FALSE)</formula>
    </cfRule>
  </conditionalFormatting>
  <conditionalFormatting sqref="M88:M115">
    <cfRule type="expression" dxfId="413" priority="13" stopIfTrue="1">
      <formula>IF(AND($L$2="",AG88&gt;0),TRUE,FALSE)</formula>
    </cfRule>
  </conditionalFormatting>
  <conditionalFormatting sqref="B88:AB115">
    <cfRule type="expression" dxfId="412" priority="12">
      <formula>IF(NoColor,1,0)</formula>
    </cfRule>
  </conditionalFormatting>
  <conditionalFormatting sqref="Q116:X120">
    <cfRule type="expression" dxfId="411" priority="8">
      <formula>IF(NoColor,1,0)</formula>
    </cfRule>
  </conditionalFormatting>
  <conditionalFormatting sqref="AA116:AF120">
    <cfRule type="expression" dxfId="410" priority="7">
      <formula>IF(NoColor,1,0)</formula>
    </cfRule>
  </conditionalFormatting>
  <conditionalFormatting sqref="C27">
    <cfRule type="expression" dxfId="409" priority="6">
      <formula>IF(NoColor,1,0)</formula>
    </cfRule>
  </conditionalFormatting>
  <conditionalFormatting sqref="C29">
    <cfRule type="expression" dxfId="408" priority="5">
      <formula>IF(NoColor,1,0)</formula>
    </cfRule>
  </conditionalFormatting>
  <conditionalFormatting sqref="C80">
    <cfRule type="expression" dxfId="407" priority="4">
      <formula>IF(NoColor,1,0)</formula>
    </cfRule>
  </conditionalFormatting>
  <conditionalFormatting sqref="C82">
    <cfRule type="expression" dxfId="406" priority="3">
      <formula>IF(NoColor,1,0)</formula>
    </cfRule>
  </conditionalFormatting>
  <conditionalFormatting sqref="AC88:AF115">
    <cfRule type="expression" dxfId="405" priority="2">
      <formula>IF(NoColor,1,0)</formula>
    </cfRule>
  </conditionalFormatting>
  <conditionalFormatting sqref="T70:T72">
    <cfRule type="expression" dxfId="404" priority="1" stopIfTrue="1">
      <formula>IF(AND($L$2="",$AG$16),TRUE,FALSE)</formula>
    </cfRule>
  </conditionalFormatting>
  <printOptions horizontalCentered="1"/>
  <pageMargins left="0.2" right="0.2" top="0.3" bottom="0.25" header="0" footer="0"/>
  <pageSetup scale="80" fitToHeight="2" orientation="portrait" r:id="rId1"/>
  <rowBreaks count="1" manualBreakCount="1">
    <brk id="61" min="1" max="31"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23"/>
  <sheetViews>
    <sheetView zoomScaleNormal="100" zoomScaleSheetLayoutView="100" workbookViewId="0">
      <selection activeCell="C25" sqref="C25"/>
    </sheetView>
  </sheetViews>
  <sheetFormatPr defaultColWidth="3.7109375" defaultRowHeight="12.75"/>
  <cols>
    <col min="1" max="1" width="3.7109375" style="1818" customWidth="1"/>
    <col min="2" max="2" width="4.140625" style="68" customWidth="1"/>
    <col min="3" max="3" width="2.28515625" style="68" customWidth="1"/>
    <col min="4" max="9" width="3.7109375" style="68" customWidth="1"/>
    <col min="10" max="12" width="4" style="68" customWidth="1"/>
    <col min="13" max="19" width="3.7109375" style="68" customWidth="1"/>
    <col min="20" max="23" width="3.85546875" style="68" customWidth="1"/>
    <col min="24" max="24" width="3.7109375" style="68" customWidth="1"/>
    <col min="25" max="26" width="5.42578125" style="68" customWidth="1"/>
    <col min="27" max="28" width="6.42578125" style="68" customWidth="1"/>
    <col min="29" max="32" width="3.7109375" style="68" customWidth="1"/>
    <col min="33" max="33" width="6" style="2827" customWidth="1"/>
    <col min="34" max="34" width="4.85546875" style="2641" customWidth="1"/>
    <col min="35" max="35" width="8.5703125" style="2641" bestFit="1" customWidth="1"/>
    <col min="36" max="36" width="29.28515625" style="68" customWidth="1"/>
    <col min="37" max="40" width="13.7109375" style="68" customWidth="1"/>
    <col min="41" max="41" width="10" style="68" customWidth="1"/>
    <col min="42" max="42" width="15.5703125" style="68" customWidth="1"/>
    <col min="43" max="43" width="15.42578125" style="68" customWidth="1"/>
    <col min="44" max="44" width="3.7109375" style="68"/>
    <col min="45" max="46" width="5" style="68" hidden="1" customWidth="1"/>
    <col min="47" max="47" width="0" style="68" hidden="1" customWidth="1"/>
    <col min="48" max="48" width="1.7109375" style="68" hidden="1" customWidth="1"/>
    <col min="49" max="49" width="5" style="68" hidden="1" customWidth="1"/>
    <col min="50" max="52" width="0" style="68" hidden="1" customWidth="1"/>
    <col min="53" max="55" width="7" style="68" hidden="1" customWidth="1"/>
    <col min="56" max="16384" width="3.7109375" style="68"/>
  </cols>
  <sheetData>
    <row r="1" spans="1:35" s="456" customFormat="1">
      <c r="A1" s="1867"/>
      <c r="B1" s="1867"/>
      <c r="C1" s="1867"/>
      <c r="D1" s="1867"/>
      <c r="E1" s="1867"/>
      <c r="F1" s="1867"/>
      <c r="G1" s="1867"/>
      <c r="H1" s="1867"/>
      <c r="I1" s="1867"/>
      <c r="J1" s="1867"/>
      <c r="K1" s="1867"/>
      <c r="L1" s="1867"/>
      <c r="M1" s="1867"/>
      <c r="N1" s="1867"/>
      <c r="O1" s="1867"/>
      <c r="P1" s="1867"/>
      <c r="Q1" s="1867"/>
      <c r="R1" s="1867"/>
      <c r="S1" s="1867"/>
      <c r="T1" s="1867"/>
      <c r="U1" s="1867"/>
      <c r="V1" s="1867"/>
      <c r="W1" s="1867"/>
      <c r="X1" s="1867"/>
      <c r="Y1" s="1867"/>
      <c r="Z1" s="1867"/>
      <c r="AA1" s="1867"/>
      <c r="AB1" s="1867"/>
      <c r="AC1" s="1867"/>
      <c r="AD1" s="1867"/>
      <c r="AE1" s="1867"/>
      <c r="AF1" s="1867"/>
      <c r="AG1" s="1677"/>
      <c r="AH1" s="1557"/>
      <c r="AI1" s="1557"/>
    </row>
    <row r="2" spans="1:35">
      <c r="A2" s="117"/>
      <c r="B2" s="4961" t="s">
        <v>1480</v>
      </c>
      <c r="C2" s="4962"/>
      <c r="D2" s="4962"/>
      <c r="E2" s="4962"/>
      <c r="F2" s="4962"/>
      <c r="G2" s="4962"/>
      <c r="H2" s="4962"/>
      <c r="I2" s="4962"/>
      <c r="J2" s="4962"/>
      <c r="K2" s="4962"/>
      <c r="L2" s="2274"/>
      <c r="M2" s="117"/>
      <c r="N2" s="117"/>
      <c r="O2" s="117"/>
      <c r="P2" s="117"/>
      <c r="Q2" s="117"/>
      <c r="R2" s="117"/>
      <c r="S2" s="117"/>
      <c r="T2" s="117"/>
      <c r="U2" s="117"/>
      <c r="V2" s="117"/>
      <c r="W2" s="117"/>
      <c r="X2" s="117"/>
      <c r="Y2" s="117"/>
      <c r="Z2" s="117"/>
      <c r="AA2" s="1657"/>
      <c r="AB2" s="117"/>
      <c r="AC2" s="117"/>
      <c r="AD2" s="117"/>
      <c r="AE2" s="117"/>
      <c r="AF2" s="117"/>
      <c r="AG2" s="1677"/>
    </row>
    <row r="3" spans="1:35" s="456" customFormat="1">
      <c r="A3" s="1867"/>
      <c r="B3" s="1867"/>
      <c r="C3" s="1867"/>
      <c r="D3" s="1867"/>
      <c r="E3" s="1867"/>
      <c r="F3" s="1867"/>
      <c r="G3" s="1867"/>
      <c r="H3" s="1867"/>
      <c r="I3" s="1867"/>
      <c r="J3" s="1867"/>
      <c r="K3" s="1867"/>
      <c r="L3" s="1867"/>
      <c r="M3" s="1867"/>
      <c r="N3" s="1867"/>
      <c r="O3" s="1867"/>
      <c r="P3" s="1867"/>
      <c r="Q3" s="1867"/>
      <c r="R3" s="1867"/>
      <c r="S3" s="1867"/>
      <c r="T3" s="1867"/>
      <c r="U3" s="1867"/>
      <c r="V3" s="1867"/>
      <c r="W3" s="1867"/>
      <c r="X3" s="1867"/>
      <c r="Y3" s="1867"/>
      <c r="Z3" s="1867"/>
      <c r="AA3" s="1867"/>
      <c r="AB3" s="1867"/>
      <c r="AC3" s="1867"/>
      <c r="AD3" s="1867"/>
      <c r="AE3" s="1867"/>
      <c r="AF3" s="1867"/>
      <c r="AG3" s="1677"/>
      <c r="AH3" s="1557"/>
      <c r="AI3" s="1557"/>
    </row>
    <row r="4" spans="1:35" ht="11.25" customHeight="1">
      <c r="A4" s="1867"/>
      <c r="B4" s="4966" t="s">
        <v>1168</v>
      </c>
      <c r="C4" s="4967"/>
      <c r="D4" s="4967"/>
      <c r="E4" s="4967"/>
      <c r="F4" s="4967"/>
      <c r="G4" s="46"/>
      <c r="H4" s="4976" t="s">
        <v>1169</v>
      </c>
      <c r="I4" s="4977"/>
      <c r="J4" s="4977"/>
      <c r="K4" s="4977"/>
      <c r="L4" s="4977"/>
      <c r="M4" s="4977"/>
      <c r="N4" s="4977"/>
      <c r="O4" s="4977"/>
      <c r="P4" s="4977"/>
      <c r="Q4" s="4977"/>
      <c r="R4" s="4977"/>
      <c r="S4" s="4977"/>
      <c r="T4" s="4977"/>
      <c r="U4" s="4977"/>
      <c r="V4" s="4977"/>
      <c r="W4" s="4977"/>
      <c r="X4" s="4977"/>
      <c r="Y4" s="4977"/>
      <c r="Z4" s="4977"/>
      <c r="AA4" s="4978"/>
      <c r="AB4" s="4968" t="s">
        <v>257</v>
      </c>
      <c r="AC4" s="4887"/>
      <c r="AD4" s="4887"/>
      <c r="AE4" s="4887"/>
      <c r="AF4" s="4887"/>
      <c r="AG4" s="1677"/>
      <c r="AH4" s="1805"/>
    </row>
    <row r="5" spans="1:35" ht="11.25" customHeight="1">
      <c r="A5" s="1867"/>
      <c r="B5" s="4967"/>
      <c r="C5" s="4967"/>
      <c r="D5" s="4967"/>
      <c r="E5" s="4967"/>
      <c r="F5" s="4967"/>
      <c r="G5" s="46"/>
      <c r="H5" s="4979"/>
      <c r="I5" s="4977"/>
      <c r="J5" s="4977"/>
      <c r="K5" s="4977"/>
      <c r="L5" s="4977"/>
      <c r="M5" s="4977"/>
      <c r="N5" s="4977"/>
      <c r="O5" s="4977"/>
      <c r="P5" s="4977"/>
      <c r="Q5" s="4977"/>
      <c r="R5" s="4977"/>
      <c r="S5" s="4977"/>
      <c r="T5" s="4977"/>
      <c r="U5" s="4977"/>
      <c r="V5" s="4977"/>
      <c r="W5" s="4977"/>
      <c r="X5" s="4977"/>
      <c r="Y5" s="4977"/>
      <c r="Z5" s="4977"/>
      <c r="AA5" s="4978"/>
      <c r="AB5" s="4969">
        <f>TaxYear</f>
        <v>2014</v>
      </c>
      <c r="AC5" s="4970"/>
      <c r="AD5" s="4970"/>
      <c r="AE5" s="4970"/>
      <c r="AF5" s="4970"/>
      <c r="AG5" s="1677"/>
      <c r="AH5" s="1805"/>
    </row>
    <row r="6" spans="1:35" ht="11.25" customHeight="1">
      <c r="A6" s="1867"/>
      <c r="B6" s="4967"/>
      <c r="C6" s="4967"/>
      <c r="D6" s="4967"/>
      <c r="E6" s="4967"/>
      <c r="F6" s="4967"/>
      <c r="G6" s="46"/>
      <c r="H6" s="4980"/>
      <c r="I6" s="3832"/>
      <c r="J6" s="3832"/>
      <c r="K6" s="3832"/>
      <c r="L6" s="3832"/>
      <c r="M6" s="3832"/>
      <c r="N6" s="3832"/>
      <c r="O6" s="3832"/>
      <c r="P6" s="3832"/>
      <c r="Q6" s="3832"/>
      <c r="R6" s="3832"/>
      <c r="S6" s="3832"/>
      <c r="T6" s="3832"/>
      <c r="U6" s="3832"/>
      <c r="V6" s="3832"/>
      <c r="W6" s="3832"/>
      <c r="X6" s="3832"/>
      <c r="Y6" s="3832"/>
      <c r="Z6" s="3832"/>
      <c r="AA6" s="4760"/>
      <c r="AB6" s="4967"/>
      <c r="AC6" s="4970"/>
      <c r="AD6" s="4970"/>
      <c r="AE6" s="4970"/>
      <c r="AF6" s="4970"/>
      <c r="AG6" s="1677"/>
      <c r="AH6" s="1803"/>
    </row>
    <row r="7" spans="1:35" ht="11.25" customHeight="1">
      <c r="A7" s="1867"/>
      <c r="B7" s="46"/>
      <c r="C7" s="46"/>
      <c r="D7" s="46"/>
      <c r="E7" s="46"/>
      <c r="F7" s="46"/>
      <c r="G7" s="46"/>
      <c r="H7" s="4988" t="s">
        <v>2190</v>
      </c>
      <c r="I7" s="4989"/>
      <c r="J7" s="4989"/>
      <c r="K7" s="4989"/>
      <c r="L7" s="4989"/>
      <c r="M7" s="4989"/>
      <c r="N7" s="4989"/>
      <c r="O7" s="4989"/>
      <c r="P7" s="4989"/>
      <c r="Q7" s="4989"/>
      <c r="R7" s="4989"/>
      <c r="S7" s="4989"/>
      <c r="T7" s="4989"/>
      <c r="U7" s="4989"/>
      <c r="V7" s="4989"/>
      <c r="W7" s="4989"/>
      <c r="X7" s="4989"/>
      <c r="Y7" s="4989"/>
      <c r="Z7" s="4989"/>
      <c r="AA7" s="4990"/>
      <c r="AB7" s="4967"/>
      <c r="AC7" s="4970"/>
      <c r="AD7" s="4970"/>
      <c r="AE7" s="4970"/>
      <c r="AF7" s="4970"/>
      <c r="AG7" s="1677"/>
    </row>
    <row r="8" spans="1:35" ht="10.5" customHeight="1">
      <c r="A8" s="1867"/>
      <c r="B8" s="47" t="s">
        <v>303</v>
      </c>
      <c r="C8" s="46"/>
      <c r="D8" s="46"/>
      <c r="E8" s="46"/>
      <c r="F8" s="46"/>
      <c r="G8" s="46"/>
      <c r="H8" s="4963" t="s">
        <v>2189</v>
      </c>
      <c r="I8" s="4964"/>
      <c r="J8" s="4964"/>
      <c r="K8" s="4964"/>
      <c r="L8" s="4964"/>
      <c r="M8" s="4964"/>
      <c r="N8" s="4964"/>
      <c r="O8" s="4964"/>
      <c r="P8" s="4964"/>
      <c r="Q8" s="4964"/>
      <c r="R8" s="4964"/>
      <c r="S8" s="4964"/>
      <c r="T8" s="4964"/>
      <c r="U8" s="4964"/>
      <c r="V8" s="4964"/>
      <c r="W8" s="4964"/>
      <c r="X8" s="4964"/>
      <c r="Y8" s="4964"/>
      <c r="Z8" s="4964"/>
      <c r="AA8" s="4965"/>
      <c r="AB8" s="4985" t="s">
        <v>1522</v>
      </c>
      <c r="AC8" s="4986"/>
      <c r="AD8" s="4986"/>
      <c r="AE8" s="4986"/>
      <c r="AF8" s="4986"/>
      <c r="AG8" s="1677"/>
    </row>
    <row r="9" spans="1:35" ht="10.5" customHeight="1" thickBot="1">
      <c r="A9" s="1867"/>
      <c r="B9" s="45" t="s">
        <v>378</v>
      </c>
      <c r="C9" s="55"/>
      <c r="D9" s="55"/>
      <c r="E9" s="55"/>
      <c r="F9" s="55"/>
      <c r="G9" s="55"/>
      <c r="H9" s="2645"/>
      <c r="I9" s="2644"/>
      <c r="J9" s="2644"/>
      <c r="K9" s="2644"/>
      <c r="L9" s="2644"/>
      <c r="M9" s="2644"/>
      <c r="N9" s="2644"/>
      <c r="O9" s="2644"/>
      <c r="P9" s="2644"/>
      <c r="Q9" s="2644"/>
      <c r="R9" s="2644"/>
      <c r="S9" s="2644"/>
      <c r="T9" s="2644"/>
      <c r="U9" s="2644"/>
      <c r="V9" s="2644"/>
      <c r="W9" s="2644"/>
      <c r="X9" s="2644"/>
      <c r="Y9" s="2644"/>
      <c r="Z9" s="2644"/>
      <c r="AA9" s="2646"/>
      <c r="AB9" s="4987"/>
      <c r="AC9" s="4987"/>
      <c r="AD9" s="4987"/>
      <c r="AE9" s="4987"/>
      <c r="AF9" s="4987"/>
      <c r="AG9" s="1677"/>
    </row>
    <row r="10" spans="1:35">
      <c r="A10" s="1867"/>
      <c r="B10" s="60" t="s">
        <v>100</v>
      </c>
      <c r="C10" s="37"/>
      <c r="D10" s="37"/>
      <c r="E10" s="37"/>
      <c r="F10" s="37"/>
      <c r="G10" s="37"/>
      <c r="H10" s="37"/>
      <c r="I10" s="37"/>
      <c r="J10" s="37"/>
      <c r="K10" s="37"/>
      <c r="L10" s="37"/>
      <c r="M10" s="37"/>
      <c r="N10" s="37"/>
      <c r="O10" s="37"/>
      <c r="P10" s="37"/>
      <c r="Q10" s="37"/>
      <c r="R10" s="37"/>
      <c r="S10" s="37"/>
      <c r="T10" s="37"/>
      <c r="U10" s="37"/>
      <c r="V10" s="2649" t="s">
        <v>1549</v>
      </c>
      <c r="W10" s="37"/>
      <c r="X10" s="37"/>
      <c r="Y10" s="37"/>
      <c r="Z10" s="52"/>
      <c r="AA10" s="37"/>
      <c r="AB10" s="37"/>
      <c r="AC10" s="37"/>
      <c r="AD10" s="37"/>
      <c r="AE10" s="37"/>
      <c r="AF10" s="37"/>
      <c r="AG10" s="1677"/>
    </row>
    <row r="11" spans="1:35" ht="16.5" thickBot="1">
      <c r="A11" s="1867"/>
      <c r="B11" s="4973" t="str">
        <f>Names</f>
        <v/>
      </c>
      <c r="C11" s="4974"/>
      <c r="D11" s="4974"/>
      <c r="E11" s="4974"/>
      <c r="F11" s="4974"/>
      <c r="G11" s="4974"/>
      <c r="H11" s="4974"/>
      <c r="I11" s="4974"/>
      <c r="J11" s="4974"/>
      <c r="K11" s="4974"/>
      <c r="L11" s="4974"/>
      <c r="M11" s="4974"/>
      <c r="N11" s="4974"/>
      <c r="O11" s="4974"/>
      <c r="P11" s="4974"/>
      <c r="Q11" s="4974"/>
      <c r="R11" s="4974"/>
      <c r="S11" s="4974"/>
      <c r="T11" s="4974"/>
      <c r="U11" s="4975"/>
      <c r="V11" s="4971">
        <f>SS_Yours</f>
        <v>0</v>
      </c>
      <c r="W11" s="4972"/>
      <c r="X11" s="4972"/>
      <c r="Y11" s="4972"/>
      <c r="Z11" s="4972"/>
      <c r="AA11" s="4972"/>
      <c r="AB11" s="4972"/>
      <c r="AC11" s="4972"/>
      <c r="AD11" s="4972"/>
      <c r="AE11" s="4972"/>
      <c r="AF11" s="4972"/>
      <c r="AG11" s="1677"/>
    </row>
    <row r="12" spans="1:35" ht="12.75" customHeight="1">
      <c r="A12" s="1867"/>
      <c r="B12" s="4939" t="s">
        <v>2185</v>
      </c>
      <c r="C12" s="4940"/>
      <c r="D12" s="4940"/>
      <c r="E12" s="4940"/>
      <c r="F12" s="4940"/>
      <c r="G12" s="4940"/>
      <c r="H12" s="4940"/>
      <c r="I12" s="4940"/>
      <c r="J12" s="4940"/>
      <c r="K12" s="4940"/>
      <c r="L12" s="4940"/>
      <c r="M12" s="4940"/>
      <c r="N12" s="4940"/>
      <c r="O12" s="4940"/>
      <c r="P12" s="4940"/>
      <c r="Q12" s="4940"/>
      <c r="R12" s="4940"/>
      <c r="S12" s="4940"/>
      <c r="T12" s="4940"/>
      <c r="U12" s="4940"/>
      <c r="V12" s="4940"/>
      <c r="W12" s="4940"/>
      <c r="X12" s="4940"/>
      <c r="Y12" s="4940"/>
      <c r="Z12" s="4940"/>
      <c r="AA12" s="4940"/>
      <c r="AB12" s="4940"/>
      <c r="AC12" s="4940"/>
      <c r="AD12" s="4940"/>
      <c r="AE12" s="4940"/>
      <c r="AF12" s="4940"/>
      <c r="AG12" s="1677"/>
    </row>
    <row r="13" spans="1:35" ht="12.75" customHeight="1">
      <c r="A13" s="1867"/>
      <c r="B13" s="4941"/>
      <c r="C13" s="4941"/>
      <c r="D13" s="4941"/>
      <c r="E13" s="4941"/>
      <c r="F13" s="4941"/>
      <c r="G13" s="4941"/>
      <c r="H13" s="4941"/>
      <c r="I13" s="4941"/>
      <c r="J13" s="4941"/>
      <c r="K13" s="4941"/>
      <c r="L13" s="4941"/>
      <c r="M13" s="4941"/>
      <c r="N13" s="4941"/>
      <c r="O13" s="4941"/>
      <c r="P13" s="4941"/>
      <c r="Q13" s="4941"/>
      <c r="R13" s="4941"/>
      <c r="S13" s="4941"/>
      <c r="T13" s="4941"/>
      <c r="U13" s="4941"/>
      <c r="V13" s="4941"/>
      <c r="W13" s="4941"/>
      <c r="X13" s="4941"/>
      <c r="Y13" s="4941"/>
      <c r="Z13" s="4941"/>
      <c r="AA13" s="4941"/>
      <c r="AB13" s="4941"/>
      <c r="AC13" s="4941"/>
      <c r="AD13" s="4941"/>
      <c r="AE13" s="4941"/>
      <c r="AF13" s="4941"/>
      <c r="AG13" s="1677"/>
    </row>
    <row r="14" spans="1:35" ht="12.75" customHeight="1">
      <c r="A14" s="1867"/>
      <c r="B14" s="4942"/>
      <c r="C14" s="4942"/>
      <c r="D14" s="4942"/>
      <c r="E14" s="4942"/>
      <c r="F14" s="4942"/>
      <c r="G14" s="4942"/>
      <c r="H14" s="4942"/>
      <c r="I14" s="4942"/>
      <c r="J14" s="4942"/>
      <c r="K14" s="4942"/>
      <c r="L14" s="4942"/>
      <c r="M14" s="4942"/>
      <c r="N14" s="4942"/>
      <c r="O14" s="4942"/>
      <c r="P14" s="4942"/>
      <c r="Q14" s="4942"/>
      <c r="R14" s="4942"/>
      <c r="S14" s="4942"/>
      <c r="T14" s="4942"/>
      <c r="U14" s="4942"/>
      <c r="V14" s="4942"/>
      <c r="W14" s="4942"/>
      <c r="X14" s="4942"/>
      <c r="Y14" s="4942"/>
      <c r="Z14" s="4942"/>
      <c r="AA14" s="4942"/>
      <c r="AB14" s="4942"/>
      <c r="AC14" s="4942"/>
      <c r="AD14" s="4942"/>
      <c r="AE14" s="4942"/>
      <c r="AF14" s="4942"/>
      <c r="AG14" s="1677"/>
    </row>
    <row r="15" spans="1:35" ht="3.75" customHeight="1">
      <c r="A15" s="186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1677"/>
    </row>
    <row r="16" spans="1:35" ht="15">
      <c r="A16" s="1867"/>
      <c r="B16" s="4981" t="s">
        <v>93</v>
      </c>
      <c r="C16" s="3830"/>
      <c r="D16" s="37"/>
      <c r="E16" s="1802" t="s">
        <v>1524</v>
      </c>
      <c r="F16" s="37"/>
      <c r="G16" s="37"/>
      <c r="H16" s="37"/>
      <c r="I16" s="37"/>
      <c r="J16" s="37"/>
      <c r="K16" s="37"/>
      <c r="L16" s="37"/>
      <c r="M16" s="37"/>
      <c r="N16" s="37"/>
      <c r="O16" s="37"/>
      <c r="P16" s="37"/>
      <c r="Q16" s="37"/>
      <c r="R16" s="37"/>
      <c r="S16" s="37"/>
      <c r="T16" s="614" t="s">
        <v>2186</v>
      </c>
      <c r="U16" s="37"/>
      <c r="V16" s="37"/>
      <c r="W16" s="37"/>
      <c r="X16" s="1609" t="s">
        <v>1525</v>
      </c>
      <c r="Y16" s="37"/>
      <c r="Z16" s="37"/>
      <c r="AA16" s="37"/>
      <c r="AB16" s="37"/>
      <c r="AC16" s="37"/>
      <c r="AD16" s="37"/>
      <c r="AE16" s="37"/>
      <c r="AF16" s="37"/>
      <c r="AG16" s="2837" t="b">
        <f>IF(SUM(AG35:AG54)&gt;0,TRUE,FALSE)</f>
        <v>0</v>
      </c>
    </row>
    <row r="17" spans="1:55" ht="11.25" customHeight="1">
      <c r="A17" s="1867"/>
      <c r="B17" s="46"/>
      <c r="C17" s="46"/>
      <c r="D17" s="46"/>
      <c r="E17" s="46" t="s">
        <v>1523</v>
      </c>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677"/>
    </row>
    <row r="18" spans="1:55" ht="11.25" customHeight="1">
      <c r="A18" s="1867"/>
      <c r="B18" s="37"/>
      <c r="C18" s="37"/>
      <c r="D18" s="37"/>
      <c r="E18" s="3029" t="s">
        <v>1835</v>
      </c>
      <c r="F18" s="37"/>
      <c r="G18" s="37"/>
      <c r="H18" s="37"/>
      <c r="I18" s="37"/>
      <c r="J18" s="37"/>
      <c r="K18" s="37"/>
      <c r="L18" s="37"/>
      <c r="M18" s="37"/>
      <c r="N18" s="37"/>
      <c r="O18" s="37"/>
      <c r="P18" s="37"/>
      <c r="Q18" s="37"/>
      <c r="R18" s="37"/>
      <c r="S18" s="37"/>
      <c r="T18" s="614"/>
      <c r="U18" s="37"/>
      <c r="V18" s="37"/>
      <c r="W18" s="37"/>
      <c r="X18" s="1609"/>
      <c r="Y18" s="37"/>
      <c r="Z18" s="37"/>
      <c r="AA18" s="37"/>
      <c r="AB18" s="37"/>
      <c r="AC18" s="37"/>
      <c r="AD18" s="37"/>
      <c r="AE18" s="37"/>
      <c r="AF18" s="37"/>
      <c r="AG18" s="1867"/>
      <c r="AH18" s="3024"/>
      <c r="AI18" s="3024"/>
    </row>
    <row r="19" spans="1:55" ht="11.25" customHeight="1">
      <c r="A19" s="1867"/>
      <c r="B19" s="37"/>
      <c r="C19" s="37"/>
      <c r="D19" s="37"/>
      <c r="E19" s="46" t="s">
        <v>1833</v>
      </c>
      <c r="F19" s="37"/>
      <c r="G19" s="37"/>
      <c r="H19" s="37"/>
      <c r="I19" s="37"/>
      <c r="J19" s="37"/>
      <c r="K19" s="37"/>
      <c r="L19" s="37"/>
      <c r="M19" s="37"/>
      <c r="N19" s="37"/>
      <c r="O19" s="37"/>
      <c r="P19" s="37"/>
      <c r="Q19" s="37"/>
      <c r="R19" s="37"/>
      <c r="S19" s="37"/>
      <c r="T19" s="614"/>
      <c r="U19" s="37"/>
      <c r="V19" s="37"/>
      <c r="W19" s="37"/>
      <c r="X19" s="1609"/>
      <c r="Y19" s="37"/>
      <c r="Z19" s="37"/>
      <c r="AA19" s="37"/>
      <c r="AB19" s="37"/>
      <c r="AC19" s="37"/>
      <c r="AD19" s="37"/>
      <c r="AE19" s="37"/>
      <c r="AF19" s="37"/>
      <c r="AG19" s="1867"/>
      <c r="AH19" s="3024"/>
      <c r="AI19" s="3024"/>
    </row>
    <row r="20" spans="1:55" ht="11.25" customHeight="1">
      <c r="A20" s="1867"/>
      <c r="B20" s="67"/>
      <c r="C20" s="67"/>
      <c r="D20" s="67"/>
      <c r="E20" s="67" t="s">
        <v>1834</v>
      </c>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1867"/>
      <c r="AH20" s="3024"/>
      <c r="AI20" s="3024"/>
    </row>
    <row r="21" spans="1:55">
      <c r="A21" s="1867"/>
      <c r="B21" s="375" t="s">
        <v>1533</v>
      </c>
      <c r="C21" s="371"/>
      <c r="D21" s="371"/>
      <c r="E21" s="371"/>
      <c r="F21" s="371"/>
      <c r="G21" s="371"/>
      <c r="H21" s="371"/>
      <c r="I21" s="371"/>
      <c r="J21" s="371"/>
      <c r="K21" s="375" t="s">
        <v>1532</v>
      </c>
      <c r="L21" s="371"/>
      <c r="M21" s="371"/>
      <c r="N21" s="371"/>
      <c r="O21" s="371"/>
      <c r="P21" s="371" t="s">
        <v>1531</v>
      </c>
      <c r="Q21" s="371"/>
      <c r="R21" s="371"/>
      <c r="S21" s="371"/>
      <c r="T21" s="371"/>
      <c r="U21" s="371"/>
      <c r="V21" s="371"/>
      <c r="W21" s="371"/>
      <c r="X21" s="371"/>
      <c r="Y21" s="371"/>
      <c r="Z21" s="371"/>
      <c r="AA21" s="371"/>
      <c r="AB21" s="371"/>
      <c r="AC21" s="371"/>
      <c r="AD21" s="371"/>
      <c r="AE21" s="371"/>
      <c r="AF21" s="371"/>
      <c r="AG21" s="1677"/>
    </row>
    <row r="22" spans="1:55">
      <c r="A22" s="1867"/>
      <c r="B22" s="1609" t="s">
        <v>1529</v>
      </c>
      <c r="C22" s="371"/>
      <c r="D22" s="371"/>
      <c r="E22" s="371"/>
      <c r="F22" s="371"/>
      <c r="G22" s="371"/>
      <c r="H22" s="371"/>
      <c r="I22" s="371"/>
      <c r="J22" s="371"/>
      <c r="K22" s="371"/>
      <c r="L22" s="371"/>
      <c r="M22" s="371"/>
      <c r="N22" s="371"/>
      <c r="O22" s="371"/>
      <c r="P22" s="371"/>
      <c r="Q22" s="371"/>
      <c r="R22" s="371"/>
      <c r="S22" s="371"/>
      <c r="T22" s="371"/>
      <c r="U22" s="371"/>
      <c r="V22" s="371"/>
      <c r="W22" s="371"/>
      <c r="X22" s="371"/>
      <c r="Y22" s="371"/>
      <c r="Z22" s="371"/>
      <c r="AA22" s="371"/>
      <c r="AB22" s="371"/>
      <c r="AC22" s="371"/>
      <c r="AD22" s="371"/>
      <c r="AE22" s="371"/>
      <c r="AF22" s="371"/>
      <c r="AG22" s="1677"/>
      <c r="BA22" s="4927" t="s">
        <v>1671</v>
      </c>
      <c r="BB22" s="4471"/>
      <c r="BC22" s="4928"/>
    </row>
    <row r="23" spans="1:55">
      <c r="A23" s="1867"/>
      <c r="B23" s="1609" t="s">
        <v>1530</v>
      </c>
      <c r="C23" s="371"/>
      <c r="D23" s="371"/>
      <c r="E23" s="371"/>
      <c r="F23" s="371"/>
      <c r="G23" s="371"/>
      <c r="H23" s="371"/>
      <c r="I23" s="371"/>
      <c r="J23" s="371"/>
      <c r="K23" s="371"/>
      <c r="L23" s="371"/>
      <c r="M23" s="371"/>
      <c r="N23" s="371"/>
      <c r="O23" s="371"/>
      <c r="P23" s="371"/>
      <c r="Q23" s="371"/>
      <c r="R23" s="371"/>
      <c r="S23" s="371"/>
      <c r="T23" s="371"/>
      <c r="U23" s="371"/>
      <c r="V23" s="371"/>
      <c r="W23" s="371"/>
      <c r="X23" s="371"/>
      <c r="Y23" s="371"/>
      <c r="Z23" s="371"/>
      <c r="AA23" s="371"/>
      <c r="AB23" s="371"/>
      <c r="AC23" s="371"/>
      <c r="AD23" s="371"/>
      <c r="AE23" s="371"/>
      <c r="AF23" s="371"/>
      <c r="AG23" s="1677"/>
      <c r="BA23" s="4929" t="s">
        <v>1670</v>
      </c>
      <c r="BB23" s="4929" t="s">
        <v>1660</v>
      </c>
      <c r="BC23" s="4929" t="s">
        <v>1661</v>
      </c>
    </row>
    <row r="24" spans="1:55" ht="4.5" customHeight="1" thickBot="1">
      <c r="A24" s="1867"/>
      <c r="B24" s="371"/>
      <c r="C24" s="371"/>
      <c r="D24" s="371"/>
      <c r="E24" s="371"/>
      <c r="F24" s="371"/>
      <c r="G24" s="371"/>
      <c r="H24" s="371"/>
      <c r="I24" s="371"/>
      <c r="J24" s="371"/>
      <c r="K24" s="371"/>
      <c r="L24" s="371"/>
      <c r="M24" s="371"/>
      <c r="N24" s="371"/>
      <c r="O24" s="371"/>
      <c r="P24" s="371"/>
      <c r="Q24" s="371"/>
      <c r="R24" s="371"/>
      <c r="S24" s="371"/>
      <c r="T24" s="371"/>
      <c r="U24" s="371"/>
      <c r="V24" s="371"/>
      <c r="W24" s="371"/>
      <c r="X24" s="371"/>
      <c r="Y24" s="371"/>
      <c r="Z24" s="371"/>
      <c r="AA24" s="371"/>
      <c r="AB24" s="371"/>
      <c r="AC24" s="371"/>
      <c r="AD24" s="371"/>
      <c r="AE24" s="371"/>
      <c r="AF24" s="371"/>
      <c r="AG24" s="1677"/>
      <c r="BA24" s="4930"/>
      <c r="BB24" s="4930"/>
      <c r="BC24" s="4930"/>
    </row>
    <row r="25" spans="1:55" ht="12" customHeight="1" thickBot="1">
      <c r="A25" s="1867"/>
      <c r="B25" s="2780">
        <f>IF(C25&lt;&gt;"",1,0)</f>
        <v>0</v>
      </c>
      <c r="C25" s="2779"/>
      <c r="D25" s="729" t="s">
        <v>1842</v>
      </c>
      <c r="E25" s="371"/>
      <c r="F25" s="371"/>
      <c r="G25" s="371"/>
      <c r="H25" s="371"/>
      <c r="I25" s="371"/>
      <c r="J25" s="371"/>
      <c r="K25" s="371"/>
      <c r="L25" s="371"/>
      <c r="M25" s="371"/>
      <c r="N25" s="371"/>
      <c r="O25" s="371"/>
      <c r="P25" s="371"/>
      <c r="Q25" s="371"/>
      <c r="R25" s="371"/>
      <c r="S25" s="371"/>
      <c r="T25" s="371"/>
      <c r="U25" s="371"/>
      <c r="V25" s="371"/>
      <c r="W25" s="371"/>
      <c r="X25" s="371"/>
      <c r="Y25" s="371"/>
      <c r="Z25" s="371"/>
      <c r="AA25" s="371"/>
      <c r="AB25" s="371"/>
      <c r="AC25" s="371"/>
      <c r="AD25" s="371"/>
      <c r="AE25" s="371"/>
      <c r="AF25" s="371"/>
      <c r="AG25" s="1677"/>
      <c r="AJ25" s="4922"/>
      <c r="AK25" s="4923"/>
      <c r="AL25" s="4923"/>
      <c r="AM25" s="4923"/>
      <c r="AN25" s="4923"/>
      <c r="AO25" s="4923"/>
      <c r="AP25" s="4923"/>
      <c r="AQ25" s="4923"/>
      <c r="BA25" s="4930"/>
      <c r="BB25" s="4930"/>
      <c r="BC25" s="4930"/>
    </row>
    <row r="26" spans="1:55" ht="4.5" customHeight="1" thickBot="1">
      <c r="A26" s="1867"/>
      <c r="B26" s="2780"/>
      <c r="C26" s="371"/>
      <c r="D26" s="371"/>
      <c r="E26" s="371"/>
      <c r="F26" s="371"/>
      <c r="G26" s="371"/>
      <c r="H26" s="371"/>
      <c r="I26" s="371"/>
      <c r="J26" s="371"/>
      <c r="K26" s="371"/>
      <c r="L26" s="371"/>
      <c r="M26" s="371"/>
      <c r="N26" s="371"/>
      <c r="O26" s="371"/>
      <c r="P26" s="371"/>
      <c r="Q26" s="371"/>
      <c r="R26" s="371"/>
      <c r="S26" s="371"/>
      <c r="T26" s="371"/>
      <c r="U26" s="371"/>
      <c r="V26" s="371"/>
      <c r="W26" s="371"/>
      <c r="X26" s="371"/>
      <c r="Y26" s="371"/>
      <c r="Z26" s="371"/>
      <c r="AA26" s="371"/>
      <c r="AB26" s="371"/>
      <c r="AC26" s="371"/>
      <c r="AD26" s="371"/>
      <c r="AE26" s="371"/>
      <c r="AF26" s="371"/>
      <c r="AG26" s="1677"/>
      <c r="BA26" s="4930"/>
      <c r="BB26" s="4930"/>
      <c r="BC26" s="4930"/>
    </row>
    <row r="27" spans="1:55" ht="11.25" customHeight="1" thickBot="1">
      <c r="A27" s="1867"/>
      <c r="B27" s="2780">
        <f>IF(C27&lt;&gt;"",1,0)</f>
        <v>0</v>
      </c>
      <c r="C27" s="2779"/>
      <c r="D27" s="729" t="s">
        <v>1534</v>
      </c>
      <c r="E27" s="371"/>
      <c r="F27" s="371"/>
      <c r="G27" s="371"/>
      <c r="H27" s="371"/>
      <c r="I27" s="371"/>
      <c r="J27" s="371"/>
      <c r="K27" s="371"/>
      <c r="L27" s="371"/>
      <c r="M27" s="371"/>
      <c r="N27" s="371"/>
      <c r="O27" s="371"/>
      <c r="P27" s="371"/>
      <c r="Q27" s="371"/>
      <c r="R27" s="371"/>
      <c r="S27" s="371"/>
      <c r="T27" s="371"/>
      <c r="U27" s="371"/>
      <c r="V27" s="371"/>
      <c r="W27" s="371"/>
      <c r="X27" s="371"/>
      <c r="Y27" s="371"/>
      <c r="Z27" s="371"/>
      <c r="AA27" s="371"/>
      <c r="AB27" s="371"/>
      <c r="AC27" s="371"/>
      <c r="AD27" s="371"/>
      <c r="AE27" s="371"/>
      <c r="AF27" s="371"/>
      <c r="AG27" s="1677"/>
      <c r="AJ27" s="4922"/>
      <c r="AK27" s="4923"/>
      <c r="AL27" s="4923"/>
      <c r="AM27" s="4923"/>
      <c r="AN27" s="4923"/>
      <c r="AO27" s="4923"/>
      <c r="AP27" s="4923"/>
      <c r="AQ27" s="4923"/>
      <c r="BA27" s="4930"/>
      <c r="BB27" s="4930"/>
      <c r="BC27" s="4930"/>
    </row>
    <row r="28" spans="1:55" ht="4.5" customHeight="1" thickBot="1">
      <c r="A28" s="1867"/>
      <c r="B28" s="2780"/>
      <c r="C28" s="371"/>
      <c r="D28" s="371"/>
      <c r="E28" s="371"/>
      <c r="F28" s="371"/>
      <c r="G28" s="371"/>
      <c r="H28" s="371"/>
      <c r="I28" s="371"/>
      <c r="J28" s="371"/>
      <c r="K28" s="371"/>
      <c r="L28" s="371"/>
      <c r="M28" s="371"/>
      <c r="N28" s="371"/>
      <c r="O28" s="371"/>
      <c r="P28" s="371"/>
      <c r="Q28" s="371"/>
      <c r="R28" s="4959"/>
      <c r="S28" s="4960"/>
      <c r="T28" s="4960"/>
      <c r="U28" s="4960"/>
      <c r="V28" s="4960"/>
      <c r="W28" s="4960"/>
      <c r="X28" s="4960"/>
      <c r="Y28" s="4960"/>
      <c r="Z28" s="4960"/>
      <c r="AA28" s="4960"/>
      <c r="AB28" s="4960"/>
      <c r="AC28" s="4960"/>
      <c r="AD28" s="4960"/>
      <c r="AE28" s="4960"/>
      <c r="AF28" s="371"/>
      <c r="AG28" s="1677"/>
      <c r="BA28" s="4930"/>
      <c r="BB28" s="4930"/>
      <c r="BC28" s="4930"/>
    </row>
    <row r="29" spans="1:55" ht="12" customHeight="1" thickBot="1">
      <c r="A29" s="1867">
        <f>SUM(B25:B29)</f>
        <v>0</v>
      </c>
      <c r="B29" s="2780">
        <f>IF(C29&lt;&gt;"",1,0)</f>
        <v>0</v>
      </c>
      <c r="C29" s="2779"/>
      <c r="D29" s="729" t="s">
        <v>1535</v>
      </c>
      <c r="E29" s="371"/>
      <c r="F29" s="371"/>
      <c r="G29" s="371"/>
      <c r="H29" s="371"/>
      <c r="I29" s="371"/>
      <c r="J29" s="371"/>
      <c r="K29" s="371"/>
      <c r="L29" s="371"/>
      <c r="M29" s="371"/>
      <c r="N29" s="371"/>
      <c r="O29" s="371"/>
      <c r="P29" s="371"/>
      <c r="Q29" s="371"/>
      <c r="R29" s="4959" t="str">
        <f>IF(SpaceUsed_8949B_ST,"ERROR:  DO NOT use space. Use 'Delete'.",IF(A29&gt;1,"Check only ONE box.",IF($A$31&gt;0,"",IF(A29&lt;1,"Check ONE box.",""))))</f>
        <v>Check ONE box.</v>
      </c>
      <c r="S29" s="4960"/>
      <c r="T29" s="4960"/>
      <c r="U29" s="4960"/>
      <c r="V29" s="4960"/>
      <c r="W29" s="4960"/>
      <c r="X29" s="4960"/>
      <c r="Y29" s="4960"/>
      <c r="Z29" s="4960"/>
      <c r="AA29" s="4960"/>
      <c r="AB29" s="4960"/>
      <c r="AC29" s="4960"/>
      <c r="AD29" s="4960"/>
      <c r="AE29" s="4960"/>
      <c r="AF29" s="371"/>
      <c r="AG29" s="1677"/>
      <c r="AH29" s="3123" t="b">
        <f>IF(OR(F8949BSBOXA=CHAR(32),F8949BSBOXB=CHAR(32),F8949BSBOXC=CHAR(32)),TRUE,FALSE)</f>
        <v>0</v>
      </c>
      <c r="AJ29" s="4922" t="s">
        <v>1485</v>
      </c>
      <c r="AK29" s="4923"/>
      <c r="AL29" s="4923"/>
      <c r="AM29" s="4923"/>
      <c r="AN29" s="4923"/>
      <c r="AO29" s="4923"/>
      <c r="AP29" s="4923"/>
      <c r="AQ29" s="4923"/>
      <c r="BA29" s="4930"/>
      <c r="BB29" s="4930"/>
      <c r="BC29" s="4930"/>
    </row>
    <row r="30" spans="1:55" ht="3.75" customHeight="1">
      <c r="A30" s="1867"/>
      <c r="B30" s="372"/>
      <c r="C30" s="1807"/>
      <c r="D30" s="372"/>
      <c r="E30" s="372"/>
      <c r="F30" s="372"/>
      <c r="G30" s="372"/>
      <c r="H30" s="372"/>
      <c r="I30" s="372"/>
      <c r="J30" s="372"/>
      <c r="K30" s="372"/>
      <c r="L30" s="372"/>
      <c r="M30" s="372"/>
      <c r="N30" s="1807"/>
      <c r="O30" s="372"/>
      <c r="P30" s="372"/>
      <c r="Q30" s="372"/>
      <c r="R30" s="372"/>
      <c r="S30" s="372"/>
      <c r="T30" s="372"/>
      <c r="U30" s="372"/>
      <c r="V30" s="372"/>
      <c r="W30" s="372"/>
      <c r="X30" s="372"/>
      <c r="Y30" s="1807"/>
      <c r="Z30" s="372"/>
      <c r="AA30" s="372"/>
      <c r="AB30" s="372"/>
      <c r="AC30" s="372"/>
      <c r="AD30" s="372"/>
      <c r="AE30" s="372"/>
      <c r="AF30" s="372"/>
      <c r="AG30" s="1677"/>
      <c r="BA30" s="4930"/>
      <c r="BB30" s="4930"/>
      <c r="BC30" s="4930"/>
    </row>
    <row r="31" spans="1:55" ht="21" customHeight="1">
      <c r="A31" s="1867">
        <f>SUM(A29,A82)</f>
        <v>0</v>
      </c>
      <c r="B31" s="4982">
        <v>1</v>
      </c>
      <c r="C31" s="4991" t="s">
        <v>1170</v>
      </c>
      <c r="D31" s="4992"/>
      <c r="E31" s="4992"/>
      <c r="F31" s="4992"/>
      <c r="G31" s="4992"/>
      <c r="H31" s="4992"/>
      <c r="I31" s="4993"/>
      <c r="J31" s="4949" t="s">
        <v>1540</v>
      </c>
      <c r="K31" s="4950"/>
      <c r="L31" s="4951"/>
      <c r="M31" s="4949" t="s">
        <v>1541</v>
      </c>
      <c r="N31" s="4950"/>
      <c r="O31" s="4950"/>
      <c r="P31" s="4951"/>
      <c r="Q31" s="4949" t="s">
        <v>1542</v>
      </c>
      <c r="R31" s="4950"/>
      <c r="S31" s="4950"/>
      <c r="T31" s="4951"/>
      <c r="U31" s="4924" t="s">
        <v>1547</v>
      </c>
      <c r="V31" s="4297"/>
      <c r="W31" s="4297"/>
      <c r="X31" s="5006"/>
      <c r="Y31" s="4932" t="s">
        <v>1543</v>
      </c>
      <c r="Z31" s="5000"/>
      <c r="AA31" s="5000"/>
      <c r="AB31" s="5001"/>
      <c r="AC31" s="4924" t="s">
        <v>1546</v>
      </c>
      <c r="AD31" s="4297"/>
      <c r="AE31" s="4297"/>
      <c r="AF31" s="4297"/>
      <c r="AG31" s="1677"/>
      <c r="AJ31" s="4934" t="s">
        <v>1484</v>
      </c>
      <c r="AK31" s="4934" t="s">
        <v>1550</v>
      </c>
      <c r="AL31" s="4934" t="s">
        <v>1551</v>
      </c>
      <c r="AM31" s="4934" t="s">
        <v>1552</v>
      </c>
      <c r="AN31" s="4936" t="s">
        <v>1553</v>
      </c>
      <c r="AO31" s="4932" t="s">
        <v>1543</v>
      </c>
      <c r="AP31" s="4310"/>
      <c r="AQ31" s="4934" t="s">
        <v>1641</v>
      </c>
      <c r="BA31" s="4930"/>
      <c r="BB31" s="4930"/>
      <c r="BC31" s="4930"/>
    </row>
    <row r="32" spans="1:55" ht="21" customHeight="1">
      <c r="A32" s="1867"/>
      <c r="B32" s="3888"/>
      <c r="C32" s="4994"/>
      <c r="D32" s="4995"/>
      <c r="E32" s="4995"/>
      <c r="F32" s="4995"/>
      <c r="G32" s="4995"/>
      <c r="H32" s="4995"/>
      <c r="I32" s="4996"/>
      <c r="J32" s="4952"/>
      <c r="K32" s="4953"/>
      <c r="L32" s="4954"/>
      <c r="M32" s="4952"/>
      <c r="N32" s="4953"/>
      <c r="O32" s="4953"/>
      <c r="P32" s="4954"/>
      <c r="Q32" s="4952"/>
      <c r="R32" s="4953"/>
      <c r="S32" s="4953"/>
      <c r="T32" s="4954"/>
      <c r="U32" s="4925"/>
      <c r="V32" s="4926"/>
      <c r="W32" s="4926"/>
      <c r="X32" s="5031"/>
      <c r="Y32" s="5002"/>
      <c r="Z32" s="5003"/>
      <c r="AA32" s="5003"/>
      <c r="AB32" s="5004"/>
      <c r="AC32" s="4925"/>
      <c r="AD32" s="4926"/>
      <c r="AE32" s="4926"/>
      <c r="AF32" s="4926"/>
      <c r="AG32" s="1677"/>
      <c r="AJ32" s="4934"/>
      <c r="AK32" s="4934"/>
      <c r="AL32" s="4934"/>
      <c r="AM32" s="4934"/>
      <c r="AN32" s="4936"/>
      <c r="AO32" s="4468"/>
      <c r="AP32" s="4316"/>
      <c r="AQ32" s="4934"/>
      <c r="BA32" s="4930"/>
      <c r="BB32" s="4930"/>
      <c r="BC32" s="4930"/>
    </row>
    <row r="33" spans="1:55" ht="18" customHeight="1">
      <c r="A33" s="1867"/>
      <c r="B33" s="4983"/>
      <c r="C33" s="4997"/>
      <c r="D33" s="4997"/>
      <c r="E33" s="4997"/>
      <c r="F33" s="4997"/>
      <c r="G33" s="4997"/>
      <c r="H33" s="4997"/>
      <c r="I33" s="4996"/>
      <c r="J33" s="4955"/>
      <c r="K33" s="4953"/>
      <c r="L33" s="4954"/>
      <c r="M33" s="4955"/>
      <c r="N33" s="4953"/>
      <c r="O33" s="4953"/>
      <c r="P33" s="4954"/>
      <c r="Q33" s="4955"/>
      <c r="R33" s="4953"/>
      <c r="S33" s="4953"/>
      <c r="T33" s="4954"/>
      <c r="U33" s="4298"/>
      <c r="V33" s="4926"/>
      <c r="W33" s="4926"/>
      <c r="X33" s="5031"/>
      <c r="Y33" s="5005" t="s">
        <v>1544</v>
      </c>
      <c r="Z33" s="5006"/>
      <c r="AA33" s="5008" t="s">
        <v>1545</v>
      </c>
      <c r="AB33" s="5009"/>
      <c r="AC33" s="4298"/>
      <c r="AD33" s="4926"/>
      <c r="AE33" s="4926"/>
      <c r="AF33" s="4926"/>
      <c r="AG33" s="1677"/>
      <c r="AJ33" s="4935"/>
      <c r="AK33" s="4935"/>
      <c r="AL33" s="4935"/>
      <c r="AM33" s="4935"/>
      <c r="AN33" s="4937"/>
      <c r="AO33" s="4931" t="s">
        <v>1554</v>
      </c>
      <c r="AP33" s="4933" t="s">
        <v>1545</v>
      </c>
      <c r="AQ33" s="4935"/>
      <c r="BA33" s="4930"/>
      <c r="BB33" s="4930"/>
      <c r="BC33" s="4930"/>
    </row>
    <row r="34" spans="1:55" ht="18" customHeight="1">
      <c r="A34" s="1867"/>
      <c r="B34" s="4984"/>
      <c r="C34" s="4998"/>
      <c r="D34" s="4998"/>
      <c r="E34" s="4998"/>
      <c r="F34" s="4998"/>
      <c r="G34" s="4998"/>
      <c r="H34" s="4998"/>
      <c r="I34" s="4999"/>
      <c r="J34" s="4956"/>
      <c r="K34" s="4957"/>
      <c r="L34" s="4958"/>
      <c r="M34" s="4956"/>
      <c r="N34" s="4957"/>
      <c r="O34" s="4957"/>
      <c r="P34" s="4958"/>
      <c r="Q34" s="4956"/>
      <c r="R34" s="4957"/>
      <c r="S34" s="4957"/>
      <c r="T34" s="4958"/>
      <c r="U34" s="4300"/>
      <c r="V34" s="4301"/>
      <c r="W34" s="4301"/>
      <c r="X34" s="5007"/>
      <c r="Y34" s="4300"/>
      <c r="Z34" s="5007"/>
      <c r="AA34" s="4564"/>
      <c r="AB34" s="4452"/>
      <c r="AC34" s="4300"/>
      <c r="AD34" s="4301"/>
      <c r="AE34" s="4301"/>
      <c r="AF34" s="4301"/>
      <c r="AG34" s="1677"/>
      <c r="AJ34" s="4935"/>
      <c r="AK34" s="4935"/>
      <c r="AL34" s="4935"/>
      <c r="AM34" s="4935"/>
      <c r="AN34" s="4937"/>
      <c r="AO34" s="4244"/>
      <c r="AP34" s="4244"/>
      <c r="AQ34" s="4935"/>
      <c r="BA34" s="4930"/>
      <c r="BB34" s="4930"/>
      <c r="BC34" s="4930"/>
    </row>
    <row r="35" spans="1:55" s="2642" customFormat="1" ht="19.5" customHeight="1">
      <c r="A35" s="1867">
        <f t="shared" ref="A35:A54" si="0">IF(OR(U35&lt;&gt;"",Y35&lt;&gt;""),1,0)</f>
        <v>0</v>
      </c>
      <c r="B35" s="4945" t="str">
        <f t="shared" ref="B35:B54" si="1">IF(AJ35="","",AJ35)</f>
        <v/>
      </c>
      <c r="C35" s="4946"/>
      <c r="D35" s="4946"/>
      <c r="E35" s="4946"/>
      <c r="F35" s="4946"/>
      <c r="G35" s="4946"/>
      <c r="H35" s="4946"/>
      <c r="I35" s="4947"/>
      <c r="J35" s="4943" t="str">
        <f t="shared" ref="J35:J54" si="2">IF(AK35="","",AK35)</f>
        <v/>
      </c>
      <c r="K35" s="4944"/>
      <c r="L35" s="4944"/>
      <c r="M35" s="4943" t="str">
        <f t="shared" ref="M35:M54" si="3">IF(AL35="","",AL35)</f>
        <v/>
      </c>
      <c r="N35" s="4944"/>
      <c r="O35" s="4944"/>
      <c r="P35" s="4948"/>
      <c r="Q35" s="3792" t="str">
        <f t="shared" ref="Q35:Q54" si="4">IF(AM35="","",AM35)</f>
        <v/>
      </c>
      <c r="R35" s="4938"/>
      <c r="S35" s="4938"/>
      <c r="T35" s="4103"/>
      <c r="U35" s="3792" t="str">
        <f t="shared" ref="U35:U54" si="5">IF(AN35="","",AN35)</f>
        <v/>
      </c>
      <c r="V35" s="4938"/>
      <c r="W35" s="4938"/>
      <c r="X35" s="4103"/>
      <c r="Y35" s="4921" t="str">
        <f>IF(AO35&lt;&gt;"",AO35,"")</f>
        <v/>
      </c>
      <c r="Z35" s="3747"/>
      <c r="AA35" s="4921" t="str">
        <f>IF(AP35="","",AP35)</f>
        <v/>
      </c>
      <c r="AB35" s="3747"/>
      <c r="AC35" s="4919" t="str">
        <f>IF(AQ35&lt;&gt;"",AQ35,IF(AND(Q35&lt;&gt;"",U35&lt;&gt;""),SUM(Q35,-U35,AA35),""))</f>
        <v/>
      </c>
      <c r="AD35" s="4920"/>
      <c r="AE35" s="4920"/>
      <c r="AF35" s="4920"/>
      <c r="AG35" s="2837">
        <f>IF(OR(J35="",M35=""),0,IF(OR(BA35,BB35,BC35),0,1))</f>
        <v>0</v>
      </c>
      <c r="AH35" s="1804"/>
      <c r="AI35" s="1804" t="e">
        <f t="shared" ref="AI35:AI54" si="6">M35-J35</f>
        <v>#VALUE!</v>
      </c>
      <c r="AJ35" s="2650"/>
      <c r="AK35" s="2654"/>
      <c r="AL35" s="2654"/>
      <c r="AM35" s="2652"/>
      <c r="AN35" s="2652"/>
      <c r="AO35" s="2653"/>
      <c r="AP35" s="2652"/>
      <c r="AQ35" s="2651"/>
      <c r="AS35" s="2642" t="e">
        <f>YEAR(J35)</f>
        <v>#VALUE!</v>
      </c>
      <c r="AT35" s="2642" t="e">
        <f>MONTH(J35)</f>
        <v>#VALUE!</v>
      </c>
      <c r="AU35" s="2642" t="e">
        <f>DAY(J35)</f>
        <v>#VALUE!</v>
      </c>
      <c r="AW35" s="2642" t="e">
        <f>YEAR(M35)</f>
        <v>#VALUE!</v>
      </c>
      <c r="AX35" s="2642" t="e">
        <f>MONTH(M35)</f>
        <v>#VALUE!</v>
      </c>
      <c r="AY35" s="2642" t="e">
        <f>DAY(M35)</f>
        <v>#VALUE!</v>
      </c>
      <c r="BA35" s="2642" t="e">
        <f>IF(AW35=AS35,TRUE,FALSE)</f>
        <v>#VALUE!</v>
      </c>
      <c r="BB35" s="2642" t="e">
        <f>IF(AND(AW35=AS35+1,AX35&lt;AT35),TRUE,FALSE)</f>
        <v>#VALUE!</v>
      </c>
      <c r="BC35" s="2642" t="e">
        <f>IF(AND(AW35=AS35+1,AX35=AT35,AY35&lt;=AU35),TRUE,FALSE)</f>
        <v>#VALUE!</v>
      </c>
    </row>
    <row r="36" spans="1:55" s="2642" customFormat="1" ht="19.5" customHeight="1">
      <c r="A36" s="1867">
        <f t="shared" si="0"/>
        <v>0</v>
      </c>
      <c r="B36" s="4945" t="str">
        <f t="shared" si="1"/>
        <v/>
      </c>
      <c r="C36" s="4946"/>
      <c r="D36" s="4946"/>
      <c r="E36" s="4946"/>
      <c r="F36" s="4946"/>
      <c r="G36" s="4946"/>
      <c r="H36" s="4946"/>
      <c r="I36" s="4947"/>
      <c r="J36" s="4943" t="str">
        <f t="shared" si="2"/>
        <v/>
      </c>
      <c r="K36" s="4944"/>
      <c r="L36" s="4944"/>
      <c r="M36" s="4943" t="str">
        <f t="shared" si="3"/>
        <v/>
      </c>
      <c r="N36" s="4944"/>
      <c r="O36" s="4944"/>
      <c r="P36" s="4948"/>
      <c r="Q36" s="3792" t="str">
        <f t="shared" si="4"/>
        <v/>
      </c>
      <c r="R36" s="4938"/>
      <c r="S36" s="4938"/>
      <c r="T36" s="4103"/>
      <c r="U36" s="3792" t="str">
        <f t="shared" si="5"/>
        <v/>
      </c>
      <c r="V36" s="4938"/>
      <c r="W36" s="4938"/>
      <c r="X36" s="4103"/>
      <c r="Y36" s="4921" t="str">
        <f>IF(AO36&lt;&gt;"",AO36,"")</f>
        <v/>
      </c>
      <c r="Z36" s="3747"/>
      <c r="AA36" s="4921" t="str">
        <f>IF(AP36="","",AP36)</f>
        <v/>
      </c>
      <c r="AB36" s="3747"/>
      <c r="AC36" s="4919" t="str">
        <f t="shared" ref="AC36:AC54" si="7">IF(AQ36&lt;&gt;"",AQ36,IF(AND(Q36&lt;&gt;"",U36&lt;&gt;""),SUM(Q36,-U36,AA36),""))</f>
        <v/>
      </c>
      <c r="AD36" s="4920"/>
      <c r="AE36" s="4920"/>
      <c r="AF36" s="4920"/>
      <c r="AG36" s="2837">
        <f t="shared" ref="AG36:AG54" si="8">IF(OR(J36="",M36=""),0,IF(OR(BA36,BB36,BC36),0,1))</f>
        <v>0</v>
      </c>
      <c r="AH36" s="1804"/>
      <c r="AI36" s="1804" t="e">
        <f t="shared" si="6"/>
        <v>#VALUE!</v>
      </c>
      <c r="AJ36" s="2650"/>
      <c r="AK36" s="2654"/>
      <c r="AL36" s="2654"/>
      <c r="AM36" s="2652"/>
      <c r="AN36" s="2652"/>
      <c r="AO36" s="2653"/>
      <c r="AP36" s="2652"/>
      <c r="AQ36" s="2651"/>
      <c r="AS36" s="2826" t="e">
        <f t="shared" ref="AS36:AS54" si="9">YEAR(J36)</f>
        <v>#VALUE!</v>
      </c>
      <c r="AT36" s="2826" t="e">
        <f t="shared" ref="AT36:AT54" si="10">MONTH(J36)</f>
        <v>#VALUE!</v>
      </c>
      <c r="AU36" s="2826" t="e">
        <f t="shared" ref="AU36:AU54" si="11">DAY(J36)</f>
        <v>#VALUE!</v>
      </c>
      <c r="AV36" s="2826"/>
      <c r="AW36" s="2826" t="e">
        <f t="shared" ref="AW36:AW54" si="12">YEAR(M36)</f>
        <v>#VALUE!</v>
      </c>
      <c r="AX36" s="2826" t="e">
        <f t="shared" ref="AX36:AX54" si="13">MONTH(M36)</f>
        <v>#VALUE!</v>
      </c>
      <c r="AY36" s="2826" t="e">
        <f t="shared" ref="AY36:AY54" si="14">DAY(M36)</f>
        <v>#VALUE!</v>
      </c>
      <c r="AZ36" s="2826"/>
      <c r="BA36" s="2826" t="e">
        <f t="shared" ref="BA36:BA54" si="15">IF(AW36=AS36,TRUE,FALSE)</f>
        <v>#VALUE!</v>
      </c>
      <c r="BB36" s="2826" t="e">
        <f t="shared" ref="BB36:BB54" si="16">IF(AND(AW36=AS36+1,AX36&lt;AT36),TRUE,FALSE)</f>
        <v>#VALUE!</v>
      </c>
      <c r="BC36" s="2826" t="e">
        <f t="shared" ref="BC36:BC54" si="17">IF(AND(AW36=AS36+1,AX36=AT36,AY36&lt;=AU36),TRUE,FALSE)</f>
        <v>#VALUE!</v>
      </c>
    </row>
    <row r="37" spans="1:55" s="2642" customFormat="1" ht="19.5" customHeight="1">
      <c r="A37" s="1867">
        <f t="shared" si="0"/>
        <v>0</v>
      </c>
      <c r="B37" s="4945" t="str">
        <f t="shared" si="1"/>
        <v/>
      </c>
      <c r="C37" s="4946"/>
      <c r="D37" s="4946"/>
      <c r="E37" s="4946"/>
      <c r="F37" s="4946"/>
      <c r="G37" s="4946"/>
      <c r="H37" s="4946"/>
      <c r="I37" s="4947"/>
      <c r="J37" s="4943" t="str">
        <f t="shared" si="2"/>
        <v/>
      </c>
      <c r="K37" s="4944"/>
      <c r="L37" s="4944"/>
      <c r="M37" s="4943" t="str">
        <f t="shared" si="3"/>
        <v/>
      </c>
      <c r="N37" s="4944"/>
      <c r="O37" s="4944"/>
      <c r="P37" s="4948"/>
      <c r="Q37" s="3792" t="str">
        <f t="shared" si="4"/>
        <v/>
      </c>
      <c r="R37" s="4938"/>
      <c r="S37" s="4938"/>
      <c r="T37" s="4103"/>
      <c r="U37" s="3792" t="str">
        <f t="shared" si="5"/>
        <v/>
      </c>
      <c r="V37" s="4938"/>
      <c r="W37" s="4938"/>
      <c r="X37" s="4103"/>
      <c r="Y37" s="4921" t="str">
        <f>IF(AO37&lt;&gt;"",AO37,"")</f>
        <v/>
      </c>
      <c r="Z37" s="3747"/>
      <c r="AA37" s="4921" t="str">
        <f>IF(AP37="","",AP37)</f>
        <v/>
      </c>
      <c r="AB37" s="3747"/>
      <c r="AC37" s="4919" t="str">
        <f t="shared" si="7"/>
        <v/>
      </c>
      <c r="AD37" s="4920"/>
      <c r="AE37" s="4920"/>
      <c r="AF37" s="4920"/>
      <c r="AG37" s="2837">
        <f t="shared" si="8"/>
        <v>0</v>
      </c>
      <c r="AH37" s="1804"/>
      <c r="AI37" s="1804" t="e">
        <f t="shared" si="6"/>
        <v>#VALUE!</v>
      </c>
      <c r="AJ37" s="2650"/>
      <c r="AK37" s="2654"/>
      <c r="AL37" s="2654"/>
      <c r="AM37" s="2652"/>
      <c r="AN37" s="2652"/>
      <c r="AO37" s="2653"/>
      <c r="AP37" s="2652"/>
      <c r="AQ37" s="2651"/>
      <c r="AS37" s="2826" t="e">
        <f t="shared" si="9"/>
        <v>#VALUE!</v>
      </c>
      <c r="AT37" s="2826" t="e">
        <f t="shared" si="10"/>
        <v>#VALUE!</v>
      </c>
      <c r="AU37" s="2826" t="e">
        <f t="shared" si="11"/>
        <v>#VALUE!</v>
      </c>
      <c r="AV37" s="2826"/>
      <c r="AW37" s="2826" t="e">
        <f t="shared" si="12"/>
        <v>#VALUE!</v>
      </c>
      <c r="AX37" s="2826" t="e">
        <f t="shared" si="13"/>
        <v>#VALUE!</v>
      </c>
      <c r="AY37" s="2826" t="e">
        <f t="shared" si="14"/>
        <v>#VALUE!</v>
      </c>
      <c r="AZ37" s="2826"/>
      <c r="BA37" s="2826" t="e">
        <f t="shared" si="15"/>
        <v>#VALUE!</v>
      </c>
      <c r="BB37" s="2826" t="e">
        <f t="shared" si="16"/>
        <v>#VALUE!</v>
      </c>
      <c r="BC37" s="2826" t="e">
        <f t="shared" si="17"/>
        <v>#VALUE!</v>
      </c>
    </row>
    <row r="38" spans="1:55" s="2642" customFormat="1" ht="19.5" customHeight="1">
      <c r="A38" s="1867">
        <f t="shared" si="0"/>
        <v>0</v>
      </c>
      <c r="B38" s="4945" t="str">
        <f t="shared" si="1"/>
        <v/>
      </c>
      <c r="C38" s="4946"/>
      <c r="D38" s="4946"/>
      <c r="E38" s="4946"/>
      <c r="F38" s="4946"/>
      <c r="G38" s="4946"/>
      <c r="H38" s="4946"/>
      <c r="I38" s="4947"/>
      <c r="J38" s="4943" t="str">
        <f t="shared" si="2"/>
        <v/>
      </c>
      <c r="K38" s="4944"/>
      <c r="L38" s="4944"/>
      <c r="M38" s="4943" t="str">
        <f t="shared" si="3"/>
        <v/>
      </c>
      <c r="N38" s="4944"/>
      <c r="O38" s="4944"/>
      <c r="P38" s="4948"/>
      <c r="Q38" s="3792" t="str">
        <f t="shared" si="4"/>
        <v/>
      </c>
      <c r="R38" s="4938"/>
      <c r="S38" s="4938"/>
      <c r="T38" s="4103"/>
      <c r="U38" s="3792" t="str">
        <f t="shared" si="5"/>
        <v/>
      </c>
      <c r="V38" s="4938"/>
      <c r="W38" s="4938"/>
      <c r="X38" s="4103"/>
      <c r="Y38" s="4921" t="str">
        <f t="shared" ref="Y38:Y54" si="18">IF(AO38&lt;&gt;"",AO38,"")</f>
        <v/>
      </c>
      <c r="Z38" s="3747"/>
      <c r="AA38" s="4921" t="str">
        <f t="shared" ref="AA38:AA54" si="19">IF(AP38="","",AP38)</f>
        <v/>
      </c>
      <c r="AB38" s="3747"/>
      <c r="AC38" s="4919" t="str">
        <f t="shared" si="7"/>
        <v/>
      </c>
      <c r="AD38" s="4920"/>
      <c r="AE38" s="4920"/>
      <c r="AF38" s="4920"/>
      <c r="AG38" s="2837">
        <f t="shared" si="8"/>
        <v>0</v>
      </c>
      <c r="AH38" s="1804"/>
      <c r="AI38" s="1804" t="e">
        <f t="shared" si="6"/>
        <v>#VALUE!</v>
      </c>
      <c r="AJ38" s="2650"/>
      <c r="AK38" s="2654"/>
      <c r="AL38" s="2654"/>
      <c r="AM38" s="2652"/>
      <c r="AN38" s="2652"/>
      <c r="AO38" s="2653"/>
      <c r="AP38" s="2652"/>
      <c r="AQ38" s="2651"/>
      <c r="AS38" s="2826" t="e">
        <f t="shared" si="9"/>
        <v>#VALUE!</v>
      </c>
      <c r="AT38" s="2826" t="e">
        <f t="shared" si="10"/>
        <v>#VALUE!</v>
      </c>
      <c r="AU38" s="2826" t="e">
        <f t="shared" si="11"/>
        <v>#VALUE!</v>
      </c>
      <c r="AV38" s="2826"/>
      <c r="AW38" s="2826" t="e">
        <f t="shared" si="12"/>
        <v>#VALUE!</v>
      </c>
      <c r="AX38" s="2826" t="e">
        <f t="shared" si="13"/>
        <v>#VALUE!</v>
      </c>
      <c r="AY38" s="2826" t="e">
        <f t="shared" si="14"/>
        <v>#VALUE!</v>
      </c>
      <c r="AZ38" s="2826"/>
      <c r="BA38" s="2826" t="e">
        <f t="shared" si="15"/>
        <v>#VALUE!</v>
      </c>
      <c r="BB38" s="2826" t="e">
        <f t="shared" si="16"/>
        <v>#VALUE!</v>
      </c>
      <c r="BC38" s="2826" t="e">
        <f t="shared" si="17"/>
        <v>#VALUE!</v>
      </c>
    </row>
    <row r="39" spans="1:55" s="2642" customFormat="1" ht="19.5" customHeight="1">
      <c r="A39" s="1867">
        <f t="shared" si="0"/>
        <v>0</v>
      </c>
      <c r="B39" s="4945" t="str">
        <f t="shared" si="1"/>
        <v/>
      </c>
      <c r="C39" s="4946"/>
      <c r="D39" s="4946"/>
      <c r="E39" s="4946"/>
      <c r="F39" s="4946"/>
      <c r="G39" s="4946"/>
      <c r="H39" s="4946"/>
      <c r="I39" s="4947"/>
      <c r="J39" s="4943" t="str">
        <f t="shared" si="2"/>
        <v/>
      </c>
      <c r="K39" s="4944"/>
      <c r="L39" s="4944"/>
      <c r="M39" s="4943" t="str">
        <f t="shared" si="3"/>
        <v/>
      </c>
      <c r="N39" s="4944"/>
      <c r="O39" s="4944"/>
      <c r="P39" s="4948"/>
      <c r="Q39" s="3792" t="str">
        <f t="shared" si="4"/>
        <v/>
      </c>
      <c r="R39" s="4938"/>
      <c r="S39" s="4938"/>
      <c r="T39" s="4103"/>
      <c r="U39" s="3792" t="str">
        <f t="shared" si="5"/>
        <v/>
      </c>
      <c r="V39" s="4938"/>
      <c r="W39" s="4938"/>
      <c r="X39" s="4103"/>
      <c r="Y39" s="4921" t="str">
        <f t="shared" si="18"/>
        <v/>
      </c>
      <c r="Z39" s="3747"/>
      <c r="AA39" s="4921" t="str">
        <f t="shared" si="19"/>
        <v/>
      </c>
      <c r="AB39" s="3747"/>
      <c r="AC39" s="4919" t="str">
        <f t="shared" si="7"/>
        <v/>
      </c>
      <c r="AD39" s="4920"/>
      <c r="AE39" s="4920"/>
      <c r="AF39" s="4920"/>
      <c r="AG39" s="2837">
        <f t="shared" si="8"/>
        <v>0</v>
      </c>
      <c r="AH39" s="1804"/>
      <c r="AI39" s="1804" t="e">
        <f t="shared" si="6"/>
        <v>#VALUE!</v>
      </c>
      <c r="AJ39" s="2650"/>
      <c r="AK39" s="2654"/>
      <c r="AL39" s="2654"/>
      <c r="AM39" s="2652"/>
      <c r="AN39" s="2652"/>
      <c r="AO39" s="2653"/>
      <c r="AP39" s="2652"/>
      <c r="AQ39" s="2651"/>
      <c r="AS39" s="2826" t="e">
        <f t="shared" si="9"/>
        <v>#VALUE!</v>
      </c>
      <c r="AT39" s="2826" t="e">
        <f t="shared" si="10"/>
        <v>#VALUE!</v>
      </c>
      <c r="AU39" s="2826" t="e">
        <f t="shared" si="11"/>
        <v>#VALUE!</v>
      </c>
      <c r="AV39" s="2826"/>
      <c r="AW39" s="2826" t="e">
        <f t="shared" si="12"/>
        <v>#VALUE!</v>
      </c>
      <c r="AX39" s="2826" t="e">
        <f t="shared" si="13"/>
        <v>#VALUE!</v>
      </c>
      <c r="AY39" s="2826" t="e">
        <f t="shared" si="14"/>
        <v>#VALUE!</v>
      </c>
      <c r="AZ39" s="2826"/>
      <c r="BA39" s="2826" t="e">
        <f t="shared" si="15"/>
        <v>#VALUE!</v>
      </c>
      <c r="BB39" s="2826" t="e">
        <f t="shared" si="16"/>
        <v>#VALUE!</v>
      </c>
      <c r="BC39" s="2826" t="e">
        <f t="shared" si="17"/>
        <v>#VALUE!</v>
      </c>
    </row>
    <row r="40" spans="1:55" s="2642" customFormat="1" ht="19.5" customHeight="1">
      <c r="A40" s="1867">
        <f t="shared" si="0"/>
        <v>0</v>
      </c>
      <c r="B40" s="4945" t="str">
        <f t="shared" si="1"/>
        <v/>
      </c>
      <c r="C40" s="4946"/>
      <c r="D40" s="4946"/>
      <c r="E40" s="4946"/>
      <c r="F40" s="4946"/>
      <c r="G40" s="4946"/>
      <c r="H40" s="4946"/>
      <c r="I40" s="4947"/>
      <c r="J40" s="4943" t="str">
        <f t="shared" si="2"/>
        <v/>
      </c>
      <c r="K40" s="4944"/>
      <c r="L40" s="4944"/>
      <c r="M40" s="4943" t="str">
        <f t="shared" si="3"/>
        <v/>
      </c>
      <c r="N40" s="4944"/>
      <c r="O40" s="4944"/>
      <c r="P40" s="4948"/>
      <c r="Q40" s="3792" t="str">
        <f t="shared" si="4"/>
        <v/>
      </c>
      <c r="R40" s="4938"/>
      <c r="S40" s="4938"/>
      <c r="T40" s="4103"/>
      <c r="U40" s="3792" t="str">
        <f t="shared" si="5"/>
        <v/>
      </c>
      <c r="V40" s="4938"/>
      <c r="W40" s="4938"/>
      <c r="X40" s="4103"/>
      <c r="Y40" s="4921" t="str">
        <f t="shared" si="18"/>
        <v/>
      </c>
      <c r="Z40" s="3747"/>
      <c r="AA40" s="4921" t="str">
        <f t="shared" si="19"/>
        <v/>
      </c>
      <c r="AB40" s="3747"/>
      <c r="AC40" s="4919" t="str">
        <f t="shared" si="7"/>
        <v/>
      </c>
      <c r="AD40" s="4920"/>
      <c r="AE40" s="4920"/>
      <c r="AF40" s="4920"/>
      <c r="AG40" s="2837">
        <f t="shared" si="8"/>
        <v>0</v>
      </c>
      <c r="AH40" s="1804"/>
      <c r="AI40" s="1804" t="e">
        <f t="shared" si="6"/>
        <v>#VALUE!</v>
      </c>
      <c r="AJ40" s="2650"/>
      <c r="AK40" s="2654"/>
      <c r="AL40" s="2654"/>
      <c r="AM40" s="2652"/>
      <c r="AN40" s="2652"/>
      <c r="AO40" s="2653"/>
      <c r="AP40" s="2652"/>
      <c r="AQ40" s="2651"/>
      <c r="AS40" s="2826" t="e">
        <f t="shared" si="9"/>
        <v>#VALUE!</v>
      </c>
      <c r="AT40" s="2826" t="e">
        <f t="shared" si="10"/>
        <v>#VALUE!</v>
      </c>
      <c r="AU40" s="2826" t="e">
        <f t="shared" si="11"/>
        <v>#VALUE!</v>
      </c>
      <c r="AV40" s="2826"/>
      <c r="AW40" s="2826" t="e">
        <f t="shared" si="12"/>
        <v>#VALUE!</v>
      </c>
      <c r="AX40" s="2826" t="e">
        <f t="shared" si="13"/>
        <v>#VALUE!</v>
      </c>
      <c r="AY40" s="2826" t="e">
        <f t="shared" si="14"/>
        <v>#VALUE!</v>
      </c>
      <c r="AZ40" s="2826"/>
      <c r="BA40" s="2826" t="e">
        <f t="shared" si="15"/>
        <v>#VALUE!</v>
      </c>
      <c r="BB40" s="2826" t="e">
        <f t="shared" si="16"/>
        <v>#VALUE!</v>
      </c>
      <c r="BC40" s="2826" t="e">
        <f t="shared" si="17"/>
        <v>#VALUE!</v>
      </c>
    </row>
    <row r="41" spans="1:55" s="2642" customFormat="1" ht="19.5" customHeight="1">
      <c r="A41" s="1867">
        <f t="shared" si="0"/>
        <v>0</v>
      </c>
      <c r="B41" s="4945" t="str">
        <f t="shared" si="1"/>
        <v/>
      </c>
      <c r="C41" s="4946"/>
      <c r="D41" s="4946"/>
      <c r="E41" s="4946"/>
      <c r="F41" s="4946"/>
      <c r="G41" s="4946"/>
      <c r="H41" s="4946"/>
      <c r="I41" s="4947"/>
      <c r="J41" s="4943" t="str">
        <f t="shared" si="2"/>
        <v/>
      </c>
      <c r="K41" s="4944"/>
      <c r="L41" s="4944"/>
      <c r="M41" s="4943" t="str">
        <f t="shared" si="3"/>
        <v/>
      </c>
      <c r="N41" s="4944"/>
      <c r="O41" s="4944"/>
      <c r="P41" s="4948"/>
      <c r="Q41" s="3792" t="str">
        <f t="shared" si="4"/>
        <v/>
      </c>
      <c r="R41" s="4938"/>
      <c r="S41" s="4938"/>
      <c r="T41" s="4103"/>
      <c r="U41" s="3792" t="str">
        <f t="shared" si="5"/>
        <v/>
      </c>
      <c r="V41" s="4938"/>
      <c r="W41" s="4938"/>
      <c r="X41" s="4103"/>
      <c r="Y41" s="4921" t="str">
        <f t="shared" si="18"/>
        <v/>
      </c>
      <c r="Z41" s="3747"/>
      <c r="AA41" s="4921" t="str">
        <f t="shared" si="19"/>
        <v/>
      </c>
      <c r="AB41" s="3747"/>
      <c r="AC41" s="4919" t="str">
        <f t="shared" si="7"/>
        <v/>
      </c>
      <c r="AD41" s="4920"/>
      <c r="AE41" s="4920"/>
      <c r="AF41" s="4920"/>
      <c r="AG41" s="2837">
        <f t="shared" si="8"/>
        <v>0</v>
      </c>
      <c r="AH41" s="1804"/>
      <c r="AI41" s="1804" t="e">
        <f t="shared" si="6"/>
        <v>#VALUE!</v>
      </c>
      <c r="AJ41" s="2650"/>
      <c r="AK41" s="2654"/>
      <c r="AL41" s="2654"/>
      <c r="AM41" s="2652"/>
      <c r="AN41" s="2652"/>
      <c r="AO41" s="2653"/>
      <c r="AP41" s="2652"/>
      <c r="AQ41" s="2651"/>
      <c r="AS41" s="2826" t="e">
        <f t="shared" si="9"/>
        <v>#VALUE!</v>
      </c>
      <c r="AT41" s="2826" t="e">
        <f t="shared" si="10"/>
        <v>#VALUE!</v>
      </c>
      <c r="AU41" s="2826" t="e">
        <f t="shared" si="11"/>
        <v>#VALUE!</v>
      </c>
      <c r="AV41" s="2826"/>
      <c r="AW41" s="2826" t="e">
        <f t="shared" si="12"/>
        <v>#VALUE!</v>
      </c>
      <c r="AX41" s="2826" t="e">
        <f t="shared" si="13"/>
        <v>#VALUE!</v>
      </c>
      <c r="AY41" s="2826" t="e">
        <f t="shared" si="14"/>
        <v>#VALUE!</v>
      </c>
      <c r="AZ41" s="2826"/>
      <c r="BA41" s="2826" t="e">
        <f t="shared" si="15"/>
        <v>#VALUE!</v>
      </c>
      <c r="BB41" s="2826" t="e">
        <f t="shared" si="16"/>
        <v>#VALUE!</v>
      </c>
      <c r="BC41" s="2826" t="e">
        <f t="shared" si="17"/>
        <v>#VALUE!</v>
      </c>
    </row>
    <row r="42" spans="1:55" s="2642" customFormat="1" ht="19.5" customHeight="1">
      <c r="A42" s="1867">
        <f t="shared" si="0"/>
        <v>0</v>
      </c>
      <c r="B42" s="4945" t="str">
        <f t="shared" si="1"/>
        <v/>
      </c>
      <c r="C42" s="4946"/>
      <c r="D42" s="4946"/>
      <c r="E42" s="4946"/>
      <c r="F42" s="4946"/>
      <c r="G42" s="4946"/>
      <c r="H42" s="4946"/>
      <c r="I42" s="4947"/>
      <c r="J42" s="4943" t="str">
        <f t="shared" si="2"/>
        <v/>
      </c>
      <c r="K42" s="4944"/>
      <c r="L42" s="4944"/>
      <c r="M42" s="4943" t="str">
        <f t="shared" si="3"/>
        <v/>
      </c>
      <c r="N42" s="4944"/>
      <c r="O42" s="4944"/>
      <c r="P42" s="4948"/>
      <c r="Q42" s="3792" t="str">
        <f t="shared" si="4"/>
        <v/>
      </c>
      <c r="R42" s="4938"/>
      <c r="S42" s="4938"/>
      <c r="T42" s="4103"/>
      <c r="U42" s="3792" t="str">
        <f t="shared" si="5"/>
        <v/>
      </c>
      <c r="V42" s="4938"/>
      <c r="W42" s="4938"/>
      <c r="X42" s="4103"/>
      <c r="Y42" s="4921" t="str">
        <f t="shared" si="18"/>
        <v/>
      </c>
      <c r="Z42" s="3747"/>
      <c r="AA42" s="4921" t="str">
        <f t="shared" si="19"/>
        <v/>
      </c>
      <c r="AB42" s="3747"/>
      <c r="AC42" s="4919" t="str">
        <f t="shared" si="7"/>
        <v/>
      </c>
      <c r="AD42" s="4920"/>
      <c r="AE42" s="4920"/>
      <c r="AF42" s="4920"/>
      <c r="AG42" s="2837">
        <f t="shared" si="8"/>
        <v>0</v>
      </c>
      <c r="AH42" s="1804"/>
      <c r="AI42" s="1804" t="e">
        <f t="shared" si="6"/>
        <v>#VALUE!</v>
      </c>
      <c r="AJ42" s="2650"/>
      <c r="AK42" s="2654"/>
      <c r="AL42" s="2654"/>
      <c r="AM42" s="2652"/>
      <c r="AN42" s="2652"/>
      <c r="AO42" s="2653"/>
      <c r="AP42" s="2652"/>
      <c r="AQ42" s="2651"/>
      <c r="AS42" s="2826" t="e">
        <f t="shared" si="9"/>
        <v>#VALUE!</v>
      </c>
      <c r="AT42" s="2826" t="e">
        <f t="shared" si="10"/>
        <v>#VALUE!</v>
      </c>
      <c r="AU42" s="2826" t="e">
        <f t="shared" si="11"/>
        <v>#VALUE!</v>
      </c>
      <c r="AV42" s="2826"/>
      <c r="AW42" s="2826" t="e">
        <f t="shared" si="12"/>
        <v>#VALUE!</v>
      </c>
      <c r="AX42" s="2826" t="e">
        <f t="shared" si="13"/>
        <v>#VALUE!</v>
      </c>
      <c r="AY42" s="2826" t="e">
        <f t="shared" si="14"/>
        <v>#VALUE!</v>
      </c>
      <c r="AZ42" s="2826"/>
      <c r="BA42" s="2826" t="e">
        <f t="shared" si="15"/>
        <v>#VALUE!</v>
      </c>
      <c r="BB42" s="2826" t="e">
        <f t="shared" si="16"/>
        <v>#VALUE!</v>
      </c>
      <c r="BC42" s="2826" t="e">
        <f t="shared" si="17"/>
        <v>#VALUE!</v>
      </c>
    </row>
    <row r="43" spans="1:55" s="2642" customFormat="1" ht="19.5" customHeight="1">
      <c r="A43" s="1867">
        <f t="shared" si="0"/>
        <v>0</v>
      </c>
      <c r="B43" s="4945" t="str">
        <f t="shared" si="1"/>
        <v/>
      </c>
      <c r="C43" s="4946"/>
      <c r="D43" s="4946"/>
      <c r="E43" s="4946"/>
      <c r="F43" s="4946"/>
      <c r="G43" s="4946"/>
      <c r="H43" s="4946"/>
      <c r="I43" s="4947"/>
      <c r="J43" s="4943" t="str">
        <f t="shared" si="2"/>
        <v/>
      </c>
      <c r="K43" s="4944"/>
      <c r="L43" s="4944"/>
      <c r="M43" s="4943" t="str">
        <f t="shared" si="3"/>
        <v/>
      </c>
      <c r="N43" s="4944"/>
      <c r="O43" s="4944"/>
      <c r="P43" s="4948"/>
      <c r="Q43" s="3792" t="str">
        <f t="shared" si="4"/>
        <v/>
      </c>
      <c r="R43" s="4938"/>
      <c r="S43" s="4938"/>
      <c r="T43" s="4103"/>
      <c r="U43" s="3792" t="str">
        <f t="shared" si="5"/>
        <v/>
      </c>
      <c r="V43" s="4938"/>
      <c r="W43" s="4938"/>
      <c r="X43" s="4103"/>
      <c r="Y43" s="4921" t="str">
        <f t="shared" si="18"/>
        <v/>
      </c>
      <c r="Z43" s="3747"/>
      <c r="AA43" s="4921" t="str">
        <f t="shared" si="19"/>
        <v/>
      </c>
      <c r="AB43" s="3747"/>
      <c r="AC43" s="4919" t="str">
        <f t="shared" si="7"/>
        <v/>
      </c>
      <c r="AD43" s="4920"/>
      <c r="AE43" s="4920"/>
      <c r="AF43" s="4920"/>
      <c r="AG43" s="2837">
        <f t="shared" si="8"/>
        <v>0</v>
      </c>
      <c r="AH43" s="1804"/>
      <c r="AI43" s="1804" t="e">
        <f t="shared" si="6"/>
        <v>#VALUE!</v>
      </c>
      <c r="AJ43" s="2650"/>
      <c r="AK43" s="2654"/>
      <c r="AL43" s="2654"/>
      <c r="AM43" s="2652"/>
      <c r="AN43" s="2652"/>
      <c r="AO43" s="2653"/>
      <c r="AP43" s="2652"/>
      <c r="AQ43" s="2651"/>
      <c r="AS43" s="2826" t="e">
        <f t="shared" si="9"/>
        <v>#VALUE!</v>
      </c>
      <c r="AT43" s="2826" t="e">
        <f t="shared" si="10"/>
        <v>#VALUE!</v>
      </c>
      <c r="AU43" s="2826" t="e">
        <f t="shared" si="11"/>
        <v>#VALUE!</v>
      </c>
      <c r="AV43" s="2826"/>
      <c r="AW43" s="2826" t="e">
        <f t="shared" si="12"/>
        <v>#VALUE!</v>
      </c>
      <c r="AX43" s="2826" t="e">
        <f t="shared" si="13"/>
        <v>#VALUE!</v>
      </c>
      <c r="AY43" s="2826" t="e">
        <f t="shared" si="14"/>
        <v>#VALUE!</v>
      </c>
      <c r="AZ43" s="2826"/>
      <c r="BA43" s="2826" t="e">
        <f t="shared" si="15"/>
        <v>#VALUE!</v>
      </c>
      <c r="BB43" s="2826" t="e">
        <f t="shared" si="16"/>
        <v>#VALUE!</v>
      </c>
      <c r="BC43" s="2826" t="e">
        <f t="shared" si="17"/>
        <v>#VALUE!</v>
      </c>
    </row>
    <row r="44" spans="1:55" s="2642" customFormat="1" ht="19.5" customHeight="1">
      <c r="A44" s="1867">
        <f t="shared" si="0"/>
        <v>0</v>
      </c>
      <c r="B44" s="4945" t="str">
        <f t="shared" si="1"/>
        <v/>
      </c>
      <c r="C44" s="4946"/>
      <c r="D44" s="4946"/>
      <c r="E44" s="4946"/>
      <c r="F44" s="4946"/>
      <c r="G44" s="4946"/>
      <c r="H44" s="4946"/>
      <c r="I44" s="4947"/>
      <c r="J44" s="4943" t="str">
        <f t="shared" si="2"/>
        <v/>
      </c>
      <c r="K44" s="4944"/>
      <c r="L44" s="4944"/>
      <c r="M44" s="4943" t="str">
        <f t="shared" si="3"/>
        <v/>
      </c>
      <c r="N44" s="4944"/>
      <c r="O44" s="4944"/>
      <c r="P44" s="4948"/>
      <c r="Q44" s="3792" t="str">
        <f t="shared" si="4"/>
        <v/>
      </c>
      <c r="R44" s="4938"/>
      <c r="S44" s="4938"/>
      <c r="T44" s="4103"/>
      <c r="U44" s="3792" t="str">
        <f t="shared" si="5"/>
        <v/>
      </c>
      <c r="V44" s="4938"/>
      <c r="W44" s="4938"/>
      <c r="X44" s="4103"/>
      <c r="Y44" s="4921" t="str">
        <f t="shared" si="18"/>
        <v/>
      </c>
      <c r="Z44" s="3747"/>
      <c r="AA44" s="4921" t="str">
        <f t="shared" si="19"/>
        <v/>
      </c>
      <c r="AB44" s="3747"/>
      <c r="AC44" s="4919" t="str">
        <f t="shared" si="7"/>
        <v/>
      </c>
      <c r="AD44" s="4920"/>
      <c r="AE44" s="4920"/>
      <c r="AF44" s="4920"/>
      <c r="AG44" s="2837">
        <f t="shared" si="8"/>
        <v>0</v>
      </c>
      <c r="AH44" s="1804"/>
      <c r="AI44" s="1804" t="e">
        <f t="shared" si="6"/>
        <v>#VALUE!</v>
      </c>
      <c r="AJ44" s="2650"/>
      <c r="AK44" s="2654"/>
      <c r="AL44" s="2654"/>
      <c r="AM44" s="2652"/>
      <c r="AN44" s="2652"/>
      <c r="AO44" s="2653"/>
      <c r="AP44" s="2652"/>
      <c r="AQ44" s="2651"/>
      <c r="AS44" s="2826" t="e">
        <f t="shared" si="9"/>
        <v>#VALUE!</v>
      </c>
      <c r="AT44" s="2826" t="e">
        <f t="shared" si="10"/>
        <v>#VALUE!</v>
      </c>
      <c r="AU44" s="2826" t="e">
        <f t="shared" si="11"/>
        <v>#VALUE!</v>
      </c>
      <c r="AV44" s="2826"/>
      <c r="AW44" s="2826" t="e">
        <f t="shared" si="12"/>
        <v>#VALUE!</v>
      </c>
      <c r="AX44" s="2826" t="e">
        <f t="shared" si="13"/>
        <v>#VALUE!</v>
      </c>
      <c r="AY44" s="2826" t="e">
        <f t="shared" si="14"/>
        <v>#VALUE!</v>
      </c>
      <c r="AZ44" s="2826"/>
      <c r="BA44" s="2826" t="e">
        <f t="shared" si="15"/>
        <v>#VALUE!</v>
      </c>
      <c r="BB44" s="2826" t="e">
        <f t="shared" si="16"/>
        <v>#VALUE!</v>
      </c>
      <c r="BC44" s="2826" t="e">
        <f t="shared" si="17"/>
        <v>#VALUE!</v>
      </c>
    </row>
    <row r="45" spans="1:55" s="2642" customFormat="1" ht="19.5" customHeight="1">
      <c r="A45" s="1867">
        <f t="shared" si="0"/>
        <v>0</v>
      </c>
      <c r="B45" s="4945" t="str">
        <f t="shared" si="1"/>
        <v/>
      </c>
      <c r="C45" s="4946"/>
      <c r="D45" s="4946"/>
      <c r="E45" s="4946"/>
      <c r="F45" s="4946"/>
      <c r="G45" s="4946"/>
      <c r="H45" s="4946"/>
      <c r="I45" s="4947"/>
      <c r="J45" s="4943" t="str">
        <f t="shared" si="2"/>
        <v/>
      </c>
      <c r="K45" s="4944"/>
      <c r="L45" s="4944"/>
      <c r="M45" s="4943" t="str">
        <f t="shared" si="3"/>
        <v/>
      </c>
      <c r="N45" s="4944"/>
      <c r="O45" s="4944"/>
      <c r="P45" s="4948"/>
      <c r="Q45" s="3792" t="str">
        <f t="shared" si="4"/>
        <v/>
      </c>
      <c r="R45" s="4938"/>
      <c r="S45" s="4938"/>
      <c r="T45" s="4103"/>
      <c r="U45" s="3792" t="str">
        <f t="shared" si="5"/>
        <v/>
      </c>
      <c r="V45" s="4938"/>
      <c r="W45" s="4938"/>
      <c r="X45" s="4103"/>
      <c r="Y45" s="4921" t="str">
        <f t="shared" si="18"/>
        <v/>
      </c>
      <c r="Z45" s="3747"/>
      <c r="AA45" s="4921" t="str">
        <f t="shared" si="19"/>
        <v/>
      </c>
      <c r="AB45" s="3747"/>
      <c r="AC45" s="4919" t="str">
        <f t="shared" si="7"/>
        <v/>
      </c>
      <c r="AD45" s="4920"/>
      <c r="AE45" s="4920"/>
      <c r="AF45" s="4920"/>
      <c r="AG45" s="2837">
        <f t="shared" si="8"/>
        <v>0</v>
      </c>
      <c r="AH45" s="1804"/>
      <c r="AI45" s="1804" t="e">
        <f t="shared" si="6"/>
        <v>#VALUE!</v>
      </c>
      <c r="AJ45" s="2650"/>
      <c r="AK45" s="2654"/>
      <c r="AL45" s="2654"/>
      <c r="AM45" s="2652"/>
      <c r="AN45" s="2652"/>
      <c r="AO45" s="2653"/>
      <c r="AP45" s="2652"/>
      <c r="AQ45" s="2651"/>
      <c r="AS45" s="2826" t="e">
        <f t="shared" si="9"/>
        <v>#VALUE!</v>
      </c>
      <c r="AT45" s="2826" t="e">
        <f t="shared" si="10"/>
        <v>#VALUE!</v>
      </c>
      <c r="AU45" s="2826" t="e">
        <f t="shared" si="11"/>
        <v>#VALUE!</v>
      </c>
      <c r="AV45" s="2826"/>
      <c r="AW45" s="2826" t="e">
        <f t="shared" si="12"/>
        <v>#VALUE!</v>
      </c>
      <c r="AX45" s="2826" t="e">
        <f t="shared" si="13"/>
        <v>#VALUE!</v>
      </c>
      <c r="AY45" s="2826" t="e">
        <f t="shared" si="14"/>
        <v>#VALUE!</v>
      </c>
      <c r="AZ45" s="2826"/>
      <c r="BA45" s="2826" t="e">
        <f t="shared" si="15"/>
        <v>#VALUE!</v>
      </c>
      <c r="BB45" s="2826" t="e">
        <f t="shared" si="16"/>
        <v>#VALUE!</v>
      </c>
      <c r="BC45" s="2826" t="e">
        <f t="shared" si="17"/>
        <v>#VALUE!</v>
      </c>
    </row>
    <row r="46" spans="1:55" s="2642" customFormat="1" ht="19.5" customHeight="1">
      <c r="A46" s="1867">
        <f t="shared" si="0"/>
        <v>0</v>
      </c>
      <c r="B46" s="4945" t="str">
        <f t="shared" si="1"/>
        <v/>
      </c>
      <c r="C46" s="4946"/>
      <c r="D46" s="4946"/>
      <c r="E46" s="4946"/>
      <c r="F46" s="4946"/>
      <c r="G46" s="4946"/>
      <c r="H46" s="4946"/>
      <c r="I46" s="4947"/>
      <c r="J46" s="4943" t="str">
        <f t="shared" si="2"/>
        <v/>
      </c>
      <c r="K46" s="4944"/>
      <c r="L46" s="4944"/>
      <c r="M46" s="4943" t="str">
        <f t="shared" si="3"/>
        <v/>
      </c>
      <c r="N46" s="4944"/>
      <c r="O46" s="4944"/>
      <c r="P46" s="4948"/>
      <c r="Q46" s="3792" t="str">
        <f t="shared" si="4"/>
        <v/>
      </c>
      <c r="R46" s="4938"/>
      <c r="S46" s="4938"/>
      <c r="T46" s="4103"/>
      <c r="U46" s="3792" t="str">
        <f t="shared" si="5"/>
        <v/>
      </c>
      <c r="V46" s="4938"/>
      <c r="W46" s="4938"/>
      <c r="X46" s="4103"/>
      <c r="Y46" s="4921" t="str">
        <f t="shared" si="18"/>
        <v/>
      </c>
      <c r="Z46" s="3747"/>
      <c r="AA46" s="4921" t="str">
        <f t="shared" si="19"/>
        <v/>
      </c>
      <c r="AB46" s="3747"/>
      <c r="AC46" s="4919" t="str">
        <f t="shared" si="7"/>
        <v/>
      </c>
      <c r="AD46" s="4920"/>
      <c r="AE46" s="4920"/>
      <c r="AF46" s="4920"/>
      <c r="AG46" s="2837">
        <f t="shared" si="8"/>
        <v>0</v>
      </c>
      <c r="AH46" s="1804"/>
      <c r="AI46" s="1804" t="e">
        <f t="shared" si="6"/>
        <v>#VALUE!</v>
      </c>
      <c r="AJ46" s="2650"/>
      <c r="AK46" s="2654"/>
      <c r="AL46" s="2654"/>
      <c r="AM46" s="2652"/>
      <c r="AN46" s="2652"/>
      <c r="AO46" s="2653"/>
      <c r="AP46" s="2652"/>
      <c r="AQ46" s="2651"/>
      <c r="AS46" s="2826" t="e">
        <f t="shared" si="9"/>
        <v>#VALUE!</v>
      </c>
      <c r="AT46" s="2826" t="e">
        <f t="shared" si="10"/>
        <v>#VALUE!</v>
      </c>
      <c r="AU46" s="2826" t="e">
        <f t="shared" si="11"/>
        <v>#VALUE!</v>
      </c>
      <c r="AV46" s="2826"/>
      <c r="AW46" s="2826" t="e">
        <f t="shared" si="12"/>
        <v>#VALUE!</v>
      </c>
      <c r="AX46" s="2826" t="e">
        <f t="shared" si="13"/>
        <v>#VALUE!</v>
      </c>
      <c r="AY46" s="2826" t="e">
        <f t="shared" si="14"/>
        <v>#VALUE!</v>
      </c>
      <c r="AZ46" s="2826"/>
      <c r="BA46" s="2826" t="e">
        <f t="shared" si="15"/>
        <v>#VALUE!</v>
      </c>
      <c r="BB46" s="2826" t="e">
        <f t="shared" si="16"/>
        <v>#VALUE!</v>
      </c>
      <c r="BC46" s="2826" t="e">
        <f t="shared" si="17"/>
        <v>#VALUE!</v>
      </c>
    </row>
    <row r="47" spans="1:55" s="2642" customFormat="1" ht="19.5" customHeight="1">
      <c r="A47" s="1867">
        <f t="shared" si="0"/>
        <v>0</v>
      </c>
      <c r="B47" s="4945" t="str">
        <f t="shared" si="1"/>
        <v/>
      </c>
      <c r="C47" s="4946"/>
      <c r="D47" s="4946"/>
      <c r="E47" s="4946"/>
      <c r="F47" s="4946"/>
      <c r="G47" s="4946"/>
      <c r="H47" s="4946"/>
      <c r="I47" s="4947"/>
      <c r="J47" s="4943" t="str">
        <f t="shared" si="2"/>
        <v/>
      </c>
      <c r="K47" s="4944"/>
      <c r="L47" s="4944"/>
      <c r="M47" s="4943" t="str">
        <f t="shared" si="3"/>
        <v/>
      </c>
      <c r="N47" s="4944"/>
      <c r="O47" s="4944"/>
      <c r="P47" s="4948"/>
      <c r="Q47" s="3792" t="str">
        <f t="shared" si="4"/>
        <v/>
      </c>
      <c r="R47" s="4938"/>
      <c r="S47" s="4938"/>
      <c r="T47" s="4103"/>
      <c r="U47" s="3792" t="str">
        <f t="shared" si="5"/>
        <v/>
      </c>
      <c r="V47" s="4938"/>
      <c r="W47" s="4938"/>
      <c r="X47" s="4103"/>
      <c r="Y47" s="4921" t="str">
        <f t="shared" si="18"/>
        <v/>
      </c>
      <c r="Z47" s="3747"/>
      <c r="AA47" s="4921" t="str">
        <f t="shared" si="19"/>
        <v/>
      </c>
      <c r="AB47" s="3747"/>
      <c r="AC47" s="4919" t="str">
        <f t="shared" si="7"/>
        <v/>
      </c>
      <c r="AD47" s="4920"/>
      <c r="AE47" s="4920"/>
      <c r="AF47" s="4920"/>
      <c r="AG47" s="2837">
        <f t="shared" si="8"/>
        <v>0</v>
      </c>
      <c r="AH47" s="1804"/>
      <c r="AI47" s="1804" t="e">
        <f t="shared" si="6"/>
        <v>#VALUE!</v>
      </c>
      <c r="AJ47" s="2650"/>
      <c r="AK47" s="2654"/>
      <c r="AL47" s="2654"/>
      <c r="AM47" s="2652"/>
      <c r="AN47" s="2652"/>
      <c r="AO47" s="2653"/>
      <c r="AP47" s="2652"/>
      <c r="AQ47" s="2651"/>
      <c r="AS47" s="2826" t="e">
        <f t="shared" si="9"/>
        <v>#VALUE!</v>
      </c>
      <c r="AT47" s="2826" t="e">
        <f t="shared" si="10"/>
        <v>#VALUE!</v>
      </c>
      <c r="AU47" s="2826" t="e">
        <f t="shared" si="11"/>
        <v>#VALUE!</v>
      </c>
      <c r="AV47" s="2826"/>
      <c r="AW47" s="2826" t="e">
        <f t="shared" si="12"/>
        <v>#VALUE!</v>
      </c>
      <c r="AX47" s="2826" t="e">
        <f t="shared" si="13"/>
        <v>#VALUE!</v>
      </c>
      <c r="AY47" s="2826" t="e">
        <f t="shared" si="14"/>
        <v>#VALUE!</v>
      </c>
      <c r="AZ47" s="2826"/>
      <c r="BA47" s="2826" t="e">
        <f t="shared" si="15"/>
        <v>#VALUE!</v>
      </c>
      <c r="BB47" s="2826" t="e">
        <f t="shared" si="16"/>
        <v>#VALUE!</v>
      </c>
      <c r="BC47" s="2826" t="e">
        <f t="shared" si="17"/>
        <v>#VALUE!</v>
      </c>
    </row>
    <row r="48" spans="1:55" s="2642" customFormat="1" ht="19.5" customHeight="1">
      <c r="A48" s="1867">
        <f t="shared" si="0"/>
        <v>0</v>
      </c>
      <c r="B48" s="4945" t="str">
        <f t="shared" si="1"/>
        <v/>
      </c>
      <c r="C48" s="4946"/>
      <c r="D48" s="4946"/>
      <c r="E48" s="4946"/>
      <c r="F48" s="4946"/>
      <c r="G48" s="4946"/>
      <c r="H48" s="4946"/>
      <c r="I48" s="4947"/>
      <c r="J48" s="4943" t="str">
        <f t="shared" si="2"/>
        <v/>
      </c>
      <c r="K48" s="4944"/>
      <c r="L48" s="4944"/>
      <c r="M48" s="4943" t="str">
        <f t="shared" si="3"/>
        <v/>
      </c>
      <c r="N48" s="4944"/>
      <c r="O48" s="4944"/>
      <c r="P48" s="4948"/>
      <c r="Q48" s="3792" t="str">
        <f t="shared" si="4"/>
        <v/>
      </c>
      <c r="R48" s="4938"/>
      <c r="S48" s="4938"/>
      <c r="T48" s="4103"/>
      <c r="U48" s="3792" t="str">
        <f t="shared" si="5"/>
        <v/>
      </c>
      <c r="V48" s="4938"/>
      <c r="W48" s="4938"/>
      <c r="X48" s="4103"/>
      <c r="Y48" s="4921" t="str">
        <f t="shared" si="18"/>
        <v/>
      </c>
      <c r="Z48" s="3747"/>
      <c r="AA48" s="4921" t="str">
        <f t="shared" si="19"/>
        <v/>
      </c>
      <c r="AB48" s="3747"/>
      <c r="AC48" s="4919" t="str">
        <f t="shared" si="7"/>
        <v/>
      </c>
      <c r="AD48" s="4920"/>
      <c r="AE48" s="4920"/>
      <c r="AF48" s="4920"/>
      <c r="AG48" s="2837">
        <f t="shared" si="8"/>
        <v>0</v>
      </c>
      <c r="AH48" s="1804"/>
      <c r="AI48" s="1804" t="e">
        <f t="shared" si="6"/>
        <v>#VALUE!</v>
      </c>
      <c r="AJ48" s="2650"/>
      <c r="AK48" s="2654"/>
      <c r="AL48" s="2654"/>
      <c r="AM48" s="2652"/>
      <c r="AN48" s="2652"/>
      <c r="AO48" s="2653"/>
      <c r="AP48" s="2652"/>
      <c r="AQ48" s="2651"/>
      <c r="AS48" s="2826" t="e">
        <f t="shared" si="9"/>
        <v>#VALUE!</v>
      </c>
      <c r="AT48" s="2826" t="e">
        <f t="shared" si="10"/>
        <v>#VALUE!</v>
      </c>
      <c r="AU48" s="2826" t="e">
        <f t="shared" si="11"/>
        <v>#VALUE!</v>
      </c>
      <c r="AV48" s="2826"/>
      <c r="AW48" s="2826" t="e">
        <f t="shared" si="12"/>
        <v>#VALUE!</v>
      </c>
      <c r="AX48" s="2826" t="e">
        <f t="shared" si="13"/>
        <v>#VALUE!</v>
      </c>
      <c r="AY48" s="2826" t="e">
        <f t="shared" si="14"/>
        <v>#VALUE!</v>
      </c>
      <c r="AZ48" s="2826"/>
      <c r="BA48" s="2826" t="e">
        <f t="shared" si="15"/>
        <v>#VALUE!</v>
      </c>
      <c r="BB48" s="2826" t="e">
        <f t="shared" si="16"/>
        <v>#VALUE!</v>
      </c>
      <c r="BC48" s="2826" t="e">
        <f t="shared" si="17"/>
        <v>#VALUE!</v>
      </c>
    </row>
    <row r="49" spans="1:55" s="2642" customFormat="1" ht="19.5" customHeight="1">
      <c r="A49" s="1867">
        <f t="shared" si="0"/>
        <v>0</v>
      </c>
      <c r="B49" s="4945" t="str">
        <f t="shared" si="1"/>
        <v/>
      </c>
      <c r="C49" s="4946"/>
      <c r="D49" s="4946"/>
      <c r="E49" s="4946"/>
      <c r="F49" s="4946"/>
      <c r="G49" s="4946"/>
      <c r="H49" s="4946"/>
      <c r="I49" s="4947"/>
      <c r="J49" s="4943" t="str">
        <f t="shared" si="2"/>
        <v/>
      </c>
      <c r="K49" s="4944"/>
      <c r="L49" s="4944"/>
      <c r="M49" s="4943" t="str">
        <f t="shared" si="3"/>
        <v/>
      </c>
      <c r="N49" s="4944"/>
      <c r="O49" s="4944"/>
      <c r="P49" s="4948"/>
      <c r="Q49" s="3792" t="str">
        <f t="shared" si="4"/>
        <v/>
      </c>
      <c r="R49" s="4938"/>
      <c r="S49" s="4938"/>
      <c r="T49" s="4103"/>
      <c r="U49" s="3792" t="str">
        <f t="shared" si="5"/>
        <v/>
      </c>
      <c r="V49" s="4938"/>
      <c r="W49" s="4938"/>
      <c r="X49" s="4103"/>
      <c r="Y49" s="4921" t="str">
        <f t="shared" si="18"/>
        <v/>
      </c>
      <c r="Z49" s="3747"/>
      <c r="AA49" s="4921" t="str">
        <f t="shared" si="19"/>
        <v/>
      </c>
      <c r="AB49" s="3747"/>
      <c r="AC49" s="4919" t="str">
        <f t="shared" si="7"/>
        <v/>
      </c>
      <c r="AD49" s="4920"/>
      <c r="AE49" s="4920"/>
      <c r="AF49" s="4920"/>
      <c r="AG49" s="2837">
        <f t="shared" si="8"/>
        <v>0</v>
      </c>
      <c r="AH49" s="1804"/>
      <c r="AI49" s="1804" t="e">
        <f t="shared" si="6"/>
        <v>#VALUE!</v>
      </c>
      <c r="AJ49" s="2650"/>
      <c r="AK49" s="2654"/>
      <c r="AL49" s="2654"/>
      <c r="AM49" s="2652"/>
      <c r="AN49" s="2652"/>
      <c r="AO49" s="2653"/>
      <c r="AP49" s="2652"/>
      <c r="AQ49" s="2651"/>
      <c r="AS49" s="2826" t="e">
        <f t="shared" si="9"/>
        <v>#VALUE!</v>
      </c>
      <c r="AT49" s="2826" t="e">
        <f t="shared" si="10"/>
        <v>#VALUE!</v>
      </c>
      <c r="AU49" s="2826" t="e">
        <f t="shared" si="11"/>
        <v>#VALUE!</v>
      </c>
      <c r="AV49" s="2826"/>
      <c r="AW49" s="2826" t="e">
        <f t="shared" si="12"/>
        <v>#VALUE!</v>
      </c>
      <c r="AX49" s="2826" t="e">
        <f t="shared" si="13"/>
        <v>#VALUE!</v>
      </c>
      <c r="AY49" s="2826" t="e">
        <f t="shared" si="14"/>
        <v>#VALUE!</v>
      </c>
      <c r="AZ49" s="2826"/>
      <c r="BA49" s="2826" t="e">
        <f t="shared" si="15"/>
        <v>#VALUE!</v>
      </c>
      <c r="BB49" s="2826" t="e">
        <f t="shared" si="16"/>
        <v>#VALUE!</v>
      </c>
      <c r="BC49" s="2826" t="e">
        <f t="shared" si="17"/>
        <v>#VALUE!</v>
      </c>
    </row>
    <row r="50" spans="1:55" s="2642" customFormat="1" ht="19.5" customHeight="1">
      <c r="A50" s="1867">
        <f t="shared" si="0"/>
        <v>0</v>
      </c>
      <c r="B50" s="4945" t="str">
        <f t="shared" si="1"/>
        <v/>
      </c>
      <c r="C50" s="4946"/>
      <c r="D50" s="4946"/>
      <c r="E50" s="4946"/>
      <c r="F50" s="4946"/>
      <c r="G50" s="4946"/>
      <c r="H50" s="4946"/>
      <c r="I50" s="4947"/>
      <c r="J50" s="4943" t="str">
        <f t="shared" si="2"/>
        <v/>
      </c>
      <c r="K50" s="4944"/>
      <c r="L50" s="4944"/>
      <c r="M50" s="4943" t="str">
        <f t="shared" si="3"/>
        <v/>
      </c>
      <c r="N50" s="4944"/>
      <c r="O50" s="4944"/>
      <c r="P50" s="4948"/>
      <c r="Q50" s="3792" t="str">
        <f t="shared" si="4"/>
        <v/>
      </c>
      <c r="R50" s="4938"/>
      <c r="S50" s="4938"/>
      <c r="T50" s="4103"/>
      <c r="U50" s="3792" t="str">
        <f t="shared" si="5"/>
        <v/>
      </c>
      <c r="V50" s="4938"/>
      <c r="W50" s="4938"/>
      <c r="X50" s="4103"/>
      <c r="Y50" s="4921" t="str">
        <f t="shared" si="18"/>
        <v/>
      </c>
      <c r="Z50" s="3747"/>
      <c r="AA50" s="4921" t="str">
        <f t="shared" si="19"/>
        <v/>
      </c>
      <c r="AB50" s="3747"/>
      <c r="AC50" s="4919" t="str">
        <f t="shared" si="7"/>
        <v/>
      </c>
      <c r="AD50" s="4920"/>
      <c r="AE50" s="4920"/>
      <c r="AF50" s="4920"/>
      <c r="AG50" s="2837">
        <f t="shared" si="8"/>
        <v>0</v>
      </c>
      <c r="AH50" s="1804"/>
      <c r="AI50" s="1804" t="e">
        <f t="shared" si="6"/>
        <v>#VALUE!</v>
      </c>
      <c r="AJ50" s="2650"/>
      <c r="AK50" s="2654"/>
      <c r="AL50" s="2654"/>
      <c r="AM50" s="2652"/>
      <c r="AN50" s="2652"/>
      <c r="AO50" s="2653"/>
      <c r="AP50" s="2652"/>
      <c r="AQ50" s="2651"/>
      <c r="AS50" s="2826" t="e">
        <f t="shared" si="9"/>
        <v>#VALUE!</v>
      </c>
      <c r="AT50" s="2826" t="e">
        <f t="shared" si="10"/>
        <v>#VALUE!</v>
      </c>
      <c r="AU50" s="2826" t="e">
        <f t="shared" si="11"/>
        <v>#VALUE!</v>
      </c>
      <c r="AV50" s="2826"/>
      <c r="AW50" s="2826" t="e">
        <f t="shared" si="12"/>
        <v>#VALUE!</v>
      </c>
      <c r="AX50" s="2826" t="e">
        <f t="shared" si="13"/>
        <v>#VALUE!</v>
      </c>
      <c r="AY50" s="2826" t="e">
        <f t="shared" si="14"/>
        <v>#VALUE!</v>
      </c>
      <c r="AZ50" s="2826"/>
      <c r="BA50" s="2826" t="e">
        <f t="shared" si="15"/>
        <v>#VALUE!</v>
      </c>
      <c r="BB50" s="2826" t="e">
        <f t="shared" si="16"/>
        <v>#VALUE!</v>
      </c>
      <c r="BC50" s="2826" t="e">
        <f t="shared" si="17"/>
        <v>#VALUE!</v>
      </c>
    </row>
    <row r="51" spans="1:55" s="2642" customFormat="1" ht="19.5" customHeight="1">
      <c r="A51" s="1867">
        <f t="shared" si="0"/>
        <v>0</v>
      </c>
      <c r="B51" s="4945" t="str">
        <f t="shared" si="1"/>
        <v/>
      </c>
      <c r="C51" s="4946"/>
      <c r="D51" s="4946"/>
      <c r="E51" s="4946"/>
      <c r="F51" s="4946"/>
      <c r="G51" s="4946"/>
      <c r="H51" s="4946"/>
      <c r="I51" s="4947"/>
      <c r="J51" s="4943" t="str">
        <f t="shared" si="2"/>
        <v/>
      </c>
      <c r="K51" s="4944"/>
      <c r="L51" s="4944"/>
      <c r="M51" s="4943" t="str">
        <f t="shared" si="3"/>
        <v/>
      </c>
      <c r="N51" s="4944"/>
      <c r="O51" s="4944"/>
      <c r="P51" s="4948"/>
      <c r="Q51" s="3792" t="str">
        <f t="shared" si="4"/>
        <v/>
      </c>
      <c r="R51" s="4938"/>
      <c r="S51" s="4938"/>
      <c r="T51" s="4103"/>
      <c r="U51" s="3792" t="str">
        <f t="shared" si="5"/>
        <v/>
      </c>
      <c r="V51" s="4938"/>
      <c r="W51" s="4938"/>
      <c r="X51" s="4103"/>
      <c r="Y51" s="4921" t="str">
        <f t="shared" si="18"/>
        <v/>
      </c>
      <c r="Z51" s="3747"/>
      <c r="AA51" s="4921" t="str">
        <f t="shared" si="19"/>
        <v/>
      </c>
      <c r="AB51" s="3747"/>
      <c r="AC51" s="4919" t="str">
        <f t="shared" si="7"/>
        <v/>
      </c>
      <c r="AD51" s="4920"/>
      <c r="AE51" s="4920"/>
      <c r="AF51" s="4920"/>
      <c r="AG51" s="2837">
        <f t="shared" si="8"/>
        <v>0</v>
      </c>
      <c r="AH51" s="1804"/>
      <c r="AI51" s="1804" t="e">
        <f t="shared" si="6"/>
        <v>#VALUE!</v>
      </c>
      <c r="AJ51" s="2650"/>
      <c r="AK51" s="2654"/>
      <c r="AL51" s="2654"/>
      <c r="AM51" s="2652"/>
      <c r="AN51" s="2652"/>
      <c r="AO51" s="2653"/>
      <c r="AP51" s="2652"/>
      <c r="AQ51" s="2651"/>
      <c r="AS51" s="2826" t="e">
        <f t="shared" si="9"/>
        <v>#VALUE!</v>
      </c>
      <c r="AT51" s="2826" t="e">
        <f t="shared" si="10"/>
        <v>#VALUE!</v>
      </c>
      <c r="AU51" s="2826" t="e">
        <f t="shared" si="11"/>
        <v>#VALUE!</v>
      </c>
      <c r="AV51" s="2826"/>
      <c r="AW51" s="2826" t="e">
        <f t="shared" si="12"/>
        <v>#VALUE!</v>
      </c>
      <c r="AX51" s="2826" t="e">
        <f t="shared" si="13"/>
        <v>#VALUE!</v>
      </c>
      <c r="AY51" s="2826" t="e">
        <f t="shared" si="14"/>
        <v>#VALUE!</v>
      </c>
      <c r="AZ51" s="2826"/>
      <c r="BA51" s="2826" t="e">
        <f t="shared" si="15"/>
        <v>#VALUE!</v>
      </c>
      <c r="BB51" s="2826" t="e">
        <f t="shared" si="16"/>
        <v>#VALUE!</v>
      </c>
      <c r="BC51" s="2826" t="e">
        <f t="shared" si="17"/>
        <v>#VALUE!</v>
      </c>
    </row>
    <row r="52" spans="1:55" s="2642" customFormat="1" ht="19.5" customHeight="1">
      <c r="A52" s="1867">
        <f t="shared" si="0"/>
        <v>0</v>
      </c>
      <c r="B52" s="4945" t="str">
        <f t="shared" si="1"/>
        <v/>
      </c>
      <c r="C52" s="4946"/>
      <c r="D52" s="4946"/>
      <c r="E52" s="4946"/>
      <c r="F52" s="4946"/>
      <c r="G52" s="4946"/>
      <c r="H52" s="4946"/>
      <c r="I52" s="4947"/>
      <c r="J52" s="4943" t="str">
        <f t="shared" si="2"/>
        <v/>
      </c>
      <c r="K52" s="4944"/>
      <c r="L52" s="4944"/>
      <c r="M52" s="4943" t="str">
        <f t="shared" si="3"/>
        <v/>
      </c>
      <c r="N52" s="4944"/>
      <c r="O52" s="4944"/>
      <c r="P52" s="4948"/>
      <c r="Q52" s="3792" t="str">
        <f t="shared" si="4"/>
        <v/>
      </c>
      <c r="R52" s="4938"/>
      <c r="S52" s="4938"/>
      <c r="T52" s="4103"/>
      <c r="U52" s="3792" t="str">
        <f t="shared" si="5"/>
        <v/>
      </c>
      <c r="V52" s="4938"/>
      <c r="W52" s="4938"/>
      <c r="X52" s="4103"/>
      <c r="Y52" s="4921" t="str">
        <f t="shared" si="18"/>
        <v/>
      </c>
      <c r="Z52" s="3747"/>
      <c r="AA52" s="4921" t="str">
        <f t="shared" si="19"/>
        <v/>
      </c>
      <c r="AB52" s="3747"/>
      <c r="AC52" s="4919" t="str">
        <f t="shared" si="7"/>
        <v/>
      </c>
      <c r="AD52" s="4920"/>
      <c r="AE52" s="4920"/>
      <c r="AF52" s="4920"/>
      <c r="AG52" s="2837">
        <f t="shared" si="8"/>
        <v>0</v>
      </c>
      <c r="AH52" s="1804"/>
      <c r="AI52" s="1804" t="e">
        <f t="shared" si="6"/>
        <v>#VALUE!</v>
      </c>
      <c r="AJ52" s="2650"/>
      <c r="AK52" s="2654"/>
      <c r="AL52" s="2654"/>
      <c r="AM52" s="2652"/>
      <c r="AN52" s="2652"/>
      <c r="AO52" s="2653"/>
      <c r="AP52" s="2652"/>
      <c r="AQ52" s="2651"/>
      <c r="AS52" s="2826" t="e">
        <f t="shared" si="9"/>
        <v>#VALUE!</v>
      </c>
      <c r="AT52" s="2826" t="e">
        <f t="shared" si="10"/>
        <v>#VALUE!</v>
      </c>
      <c r="AU52" s="2826" t="e">
        <f t="shared" si="11"/>
        <v>#VALUE!</v>
      </c>
      <c r="AV52" s="2826"/>
      <c r="AW52" s="2826" t="e">
        <f t="shared" si="12"/>
        <v>#VALUE!</v>
      </c>
      <c r="AX52" s="2826" t="e">
        <f t="shared" si="13"/>
        <v>#VALUE!</v>
      </c>
      <c r="AY52" s="2826" t="e">
        <f t="shared" si="14"/>
        <v>#VALUE!</v>
      </c>
      <c r="AZ52" s="2826"/>
      <c r="BA52" s="2826" t="e">
        <f t="shared" si="15"/>
        <v>#VALUE!</v>
      </c>
      <c r="BB52" s="2826" t="e">
        <f t="shared" si="16"/>
        <v>#VALUE!</v>
      </c>
      <c r="BC52" s="2826" t="e">
        <f t="shared" si="17"/>
        <v>#VALUE!</v>
      </c>
    </row>
    <row r="53" spans="1:55" s="2642" customFormat="1" ht="19.5" customHeight="1">
      <c r="A53" s="1867">
        <f t="shared" si="0"/>
        <v>0</v>
      </c>
      <c r="B53" s="4945" t="str">
        <f t="shared" si="1"/>
        <v/>
      </c>
      <c r="C53" s="4946"/>
      <c r="D53" s="4946"/>
      <c r="E53" s="4946"/>
      <c r="F53" s="4946"/>
      <c r="G53" s="4946"/>
      <c r="H53" s="4946"/>
      <c r="I53" s="4947"/>
      <c r="J53" s="4943" t="str">
        <f t="shared" si="2"/>
        <v/>
      </c>
      <c r="K53" s="4944"/>
      <c r="L53" s="4944"/>
      <c r="M53" s="4943" t="str">
        <f t="shared" si="3"/>
        <v/>
      </c>
      <c r="N53" s="4944"/>
      <c r="O53" s="4944"/>
      <c r="P53" s="4948"/>
      <c r="Q53" s="3792" t="str">
        <f t="shared" si="4"/>
        <v/>
      </c>
      <c r="R53" s="4938"/>
      <c r="S53" s="4938"/>
      <c r="T53" s="4103"/>
      <c r="U53" s="3792" t="str">
        <f t="shared" si="5"/>
        <v/>
      </c>
      <c r="V53" s="4938"/>
      <c r="W53" s="4938"/>
      <c r="X53" s="4103"/>
      <c r="Y53" s="4921" t="str">
        <f t="shared" si="18"/>
        <v/>
      </c>
      <c r="Z53" s="3747"/>
      <c r="AA53" s="4921" t="str">
        <f t="shared" si="19"/>
        <v/>
      </c>
      <c r="AB53" s="3747"/>
      <c r="AC53" s="4919" t="str">
        <f t="shared" si="7"/>
        <v/>
      </c>
      <c r="AD53" s="4920"/>
      <c r="AE53" s="4920"/>
      <c r="AF53" s="4920"/>
      <c r="AG53" s="2837">
        <f t="shared" si="8"/>
        <v>0</v>
      </c>
      <c r="AH53" s="1804"/>
      <c r="AI53" s="1804" t="e">
        <f t="shared" si="6"/>
        <v>#VALUE!</v>
      </c>
      <c r="AJ53" s="2650"/>
      <c r="AK53" s="2654"/>
      <c r="AL53" s="2654"/>
      <c r="AM53" s="2652"/>
      <c r="AN53" s="2652"/>
      <c r="AO53" s="2653"/>
      <c r="AP53" s="2652"/>
      <c r="AQ53" s="2651"/>
      <c r="AS53" s="2826" t="e">
        <f t="shared" si="9"/>
        <v>#VALUE!</v>
      </c>
      <c r="AT53" s="2826" t="e">
        <f t="shared" si="10"/>
        <v>#VALUE!</v>
      </c>
      <c r="AU53" s="2826" t="e">
        <f t="shared" si="11"/>
        <v>#VALUE!</v>
      </c>
      <c r="AV53" s="2826"/>
      <c r="AW53" s="2826" t="e">
        <f t="shared" si="12"/>
        <v>#VALUE!</v>
      </c>
      <c r="AX53" s="2826" t="e">
        <f t="shared" si="13"/>
        <v>#VALUE!</v>
      </c>
      <c r="AY53" s="2826" t="e">
        <f t="shared" si="14"/>
        <v>#VALUE!</v>
      </c>
      <c r="AZ53" s="2826"/>
      <c r="BA53" s="2826" t="e">
        <f t="shared" si="15"/>
        <v>#VALUE!</v>
      </c>
      <c r="BB53" s="2826" t="e">
        <f t="shared" si="16"/>
        <v>#VALUE!</v>
      </c>
      <c r="BC53" s="2826" t="e">
        <f t="shared" si="17"/>
        <v>#VALUE!</v>
      </c>
    </row>
    <row r="54" spans="1:55" s="2642" customFormat="1" ht="19.5" customHeight="1">
      <c r="A54" s="1867">
        <f t="shared" si="0"/>
        <v>0</v>
      </c>
      <c r="B54" s="4945" t="str">
        <f t="shared" si="1"/>
        <v/>
      </c>
      <c r="C54" s="4946"/>
      <c r="D54" s="4946"/>
      <c r="E54" s="4946"/>
      <c r="F54" s="4946"/>
      <c r="G54" s="4946"/>
      <c r="H54" s="4946"/>
      <c r="I54" s="4947"/>
      <c r="J54" s="4943" t="str">
        <f t="shared" si="2"/>
        <v/>
      </c>
      <c r="K54" s="4944"/>
      <c r="L54" s="4944"/>
      <c r="M54" s="4943" t="str">
        <f t="shared" si="3"/>
        <v/>
      </c>
      <c r="N54" s="4944"/>
      <c r="O54" s="4944"/>
      <c r="P54" s="4948"/>
      <c r="Q54" s="3792" t="str">
        <f t="shared" si="4"/>
        <v/>
      </c>
      <c r="R54" s="4938"/>
      <c r="S54" s="4938"/>
      <c r="T54" s="4103"/>
      <c r="U54" s="3792" t="str">
        <f t="shared" si="5"/>
        <v/>
      </c>
      <c r="V54" s="4938"/>
      <c r="W54" s="4938"/>
      <c r="X54" s="4103"/>
      <c r="Y54" s="4921" t="str">
        <f t="shared" si="18"/>
        <v/>
      </c>
      <c r="Z54" s="3747"/>
      <c r="AA54" s="4921" t="str">
        <f t="shared" si="19"/>
        <v/>
      </c>
      <c r="AB54" s="3747"/>
      <c r="AC54" s="4919" t="str">
        <f t="shared" si="7"/>
        <v/>
      </c>
      <c r="AD54" s="4920"/>
      <c r="AE54" s="4920"/>
      <c r="AF54" s="4920"/>
      <c r="AG54" s="2837">
        <f t="shared" si="8"/>
        <v>0</v>
      </c>
      <c r="AH54" s="1804"/>
      <c r="AI54" s="1804" t="e">
        <f t="shared" si="6"/>
        <v>#VALUE!</v>
      </c>
      <c r="AJ54" s="2650"/>
      <c r="AK54" s="2654"/>
      <c r="AL54" s="2654"/>
      <c r="AM54" s="2652"/>
      <c r="AN54" s="2652"/>
      <c r="AO54" s="2653"/>
      <c r="AP54" s="2652"/>
      <c r="AQ54" s="2651"/>
      <c r="AS54" s="2826" t="e">
        <f t="shared" si="9"/>
        <v>#VALUE!</v>
      </c>
      <c r="AT54" s="2826" t="e">
        <f t="shared" si="10"/>
        <v>#VALUE!</v>
      </c>
      <c r="AU54" s="2826" t="e">
        <f t="shared" si="11"/>
        <v>#VALUE!</v>
      </c>
      <c r="AV54" s="2826"/>
      <c r="AW54" s="2826" t="e">
        <f t="shared" si="12"/>
        <v>#VALUE!</v>
      </c>
      <c r="AX54" s="2826" t="e">
        <f t="shared" si="13"/>
        <v>#VALUE!</v>
      </c>
      <c r="AY54" s="2826" t="e">
        <f t="shared" si="14"/>
        <v>#VALUE!</v>
      </c>
      <c r="AZ54" s="2826"/>
      <c r="BA54" s="2826" t="e">
        <f t="shared" si="15"/>
        <v>#VALUE!</v>
      </c>
      <c r="BB54" s="2826" t="e">
        <f t="shared" si="16"/>
        <v>#VALUE!</v>
      </c>
      <c r="BC54" s="2826" t="e">
        <f t="shared" si="17"/>
        <v>#VALUE!</v>
      </c>
    </row>
    <row r="55" spans="1:55" ht="11.25" customHeight="1">
      <c r="A55" s="1867">
        <f>SUM(A35:A54)</f>
        <v>0</v>
      </c>
      <c r="B55" s="5032">
        <v>2</v>
      </c>
      <c r="C55" s="5034" t="s">
        <v>1539</v>
      </c>
      <c r="D55" s="5035"/>
      <c r="E55" s="5035"/>
      <c r="F55" s="5035"/>
      <c r="G55" s="5035"/>
      <c r="H55" s="5035"/>
      <c r="I55" s="5035"/>
      <c r="J55" s="5035"/>
      <c r="K55" s="5035"/>
      <c r="L55" s="5035"/>
      <c r="M55" s="5035"/>
      <c r="N55" s="5035"/>
      <c r="O55" s="5035"/>
      <c r="P55" s="5035"/>
      <c r="Q55" s="5012" t="str">
        <f>IF(A55=0,"",SUM(Q35:Q54))</f>
        <v/>
      </c>
      <c r="R55" s="5038"/>
      <c r="S55" s="5038"/>
      <c r="T55" s="5027"/>
      <c r="U55" s="5012" t="str">
        <f>IF(A55=0,"",SUM(U35:U54))</f>
        <v/>
      </c>
      <c r="V55" s="5013"/>
      <c r="W55" s="5013"/>
      <c r="X55" s="5014"/>
      <c r="Y55" s="5021"/>
      <c r="Z55" s="5022"/>
      <c r="AA55" s="5012" t="str">
        <f>IF(A55=0,"",SUM(AA35:AA54))</f>
        <v/>
      </c>
      <c r="AB55" s="5027"/>
      <c r="AC55" s="5012" t="str">
        <f>IF(A55=0,"",SUM(AC35:AC54))</f>
        <v/>
      </c>
      <c r="AD55" s="5013"/>
      <c r="AE55" s="5013"/>
      <c r="AF55" s="5013"/>
      <c r="AG55" s="1677"/>
    </row>
    <row r="56" spans="1:55" ht="11.25" customHeight="1">
      <c r="A56" s="1867"/>
      <c r="B56" s="5033"/>
      <c r="C56" s="5036"/>
      <c r="D56" s="5036"/>
      <c r="E56" s="5036"/>
      <c r="F56" s="5036"/>
      <c r="G56" s="5036"/>
      <c r="H56" s="5036"/>
      <c r="I56" s="5036"/>
      <c r="J56" s="5036"/>
      <c r="K56" s="5036"/>
      <c r="L56" s="5036"/>
      <c r="M56" s="5036"/>
      <c r="N56" s="5036"/>
      <c r="O56" s="5036"/>
      <c r="P56" s="5036"/>
      <c r="Q56" s="5028"/>
      <c r="R56" s="5039"/>
      <c r="S56" s="5039"/>
      <c r="T56" s="5029"/>
      <c r="U56" s="5015"/>
      <c r="V56" s="5016"/>
      <c r="W56" s="5016"/>
      <c r="X56" s="5017"/>
      <c r="Y56" s="5023"/>
      <c r="Z56" s="5024"/>
      <c r="AA56" s="5028"/>
      <c r="AB56" s="5029"/>
      <c r="AC56" s="5015"/>
      <c r="AD56" s="5016"/>
      <c r="AE56" s="5016"/>
      <c r="AF56" s="5016"/>
      <c r="AG56" s="1677"/>
    </row>
    <row r="57" spans="1:55" ht="11.25" customHeight="1">
      <c r="A57" s="1867"/>
      <c r="B57" s="5033"/>
      <c r="C57" s="5036"/>
      <c r="D57" s="5036"/>
      <c r="E57" s="5036"/>
      <c r="F57" s="5036"/>
      <c r="G57" s="5036"/>
      <c r="H57" s="5036"/>
      <c r="I57" s="5036"/>
      <c r="J57" s="5036"/>
      <c r="K57" s="5036"/>
      <c r="L57" s="5036"/>
      <c r="M57" s="5036"/>
      <c r="N57" s="5036"/>
      <c r="O57" s="5036"/>
      <c r="P57" s="5036"/>
      <c r="Q57" s="5028"/>
      <c r="R57" s="5039"/>
      <c r="S57" s="5039"/>
      <c r="T57" s="5029"/>
      <c r="U57" s="5015"/>
      <c r="V57" s="5016"/>
      <c r="W57" s="5016"/>
      <c r="X57" s="5017"/>
      <c r="Y57" s="5023"/>
      <c r="Z57" s="5024"/>
      <c r="AA57" s="5028"/>
      <c r="AB57" s="5029"/>
      <c r="AC57" s="5015"/>
      <c r="AD57" s="5016"/>
      <c r="AE57" s="5016"/>
      <c r="AF57" s="5016"/>
      <c r="AG57" s="1677"/>
    </row>
    <row r="58" spans="1:55" ht="11.25" customHeight="1">
      <c r="A58" s="1867"/>
      <c r="B58" s="5033"/>
      <c r="C58" s="5036"/>
      <c r="D58" s="5036"/>
      <c r="E58" s="5036"/>
      <c r="F58" s="5036"/>
      <c r="G58" s="5036"/>
      <c r="H58" s="5036"/>
      <c r="I58" s="5036"/>
      <c r="J58" s="5036"/>
      <c r="K58" s="5036"/>
      <c r="L58" s="5036"/>
      <c r="M58" s="5036"/>
      <c r="N58" s="5036"/>
      <c r="O58" s="5036"/>
      <c r="P58" s="5036"/>
      <c r="Q58" s="5028"/>
      <c r="R58" s="5039"/>
      <c r="S58" s="5039"/>
      <c r="T58" s="5029"/>
      <c r="U58" s="5015"/>
      <c r="V58" s="5016"/>
      <c r="W58" s="5016"/>
      <c r="X58" s="5017"/>
      <c r="Y58" s="5023"/>
      <c r="Z58" s="5024"/>
      <c r="AA58" s="5028"/>
      <c r="AB58" s="5029"/>
      <c r="AC58" s="5015"/>
      <c r="AD58" s="5016"/>
      <c r="AE58" s="5016"/>
      <c r="AF58" s="5016"/>
      <c r="AG58" s="1677"/>
    </row>
    <row r="59" spans="1:55" ht="9" customHeight="1" thickBot="1">
      <c r="A59" s="1867"/>
      <c r="B59" s="5033"/>
      <c r="C59" s="5037"/>
      <c r="D59" s="5037"/>
      <c r="E59" s="5037"/>
      <c r="F59" s="5037"/>
      <c r="G59" s="5037"/>
      <c r="H59" s="5037"/>
      <c r="I59" s="5037"/>
      <c r="J59" s="5037"/>
      <c r="K59" s="5037"/>
      <c r="L59" s="5037"/>
      <c r="M59" s="5037"/>
      <c r="N59" s="5037"/>
      <c r="O59" s="5037"/>
      <c r="P59" s="5037"/>
      <c r="Q59" s="5028"/>
      <c r="R59" s="5039"/>
      <c r="S59" s="5039"/>
      <c r="T59" s="5029"/>
      <c r="U59" s="5018"/>
      <c r="V59" s="5019"/>
      <c r="W59" s="5019"/>
      <c r="X59" s="5020"/>
      <c r="Y59" s="5025"/>
      <c r="Z59" s="5026"/>
      <c r="AA59" s="5030"/>
      <c r="AB59" s="3733"/>
      <c r="AC59" s="5015"/>
      <c r="AD59" s="5016"/>
      <c r="AE59" s="5016"/>
      <c r="AF59" s="5016"/>
      <c r="AG59" s="1677"/>
    </row>
    <row r="60" spans="1:55" ht="25.5" customHeight="1" thickBot="1">
      <c r="A60" s="1867"/>
      <c r="B60" s="5040" t="s">
        <v>1548</v>
      </c>
      <c r="C60" s="5041"/>
      <c r="D60" s="5041"/>
      <c r="E60" s="5041"/>
      <c r="F60" s="5041"/>
      <c r="G60" s="5041"/>
      <c r="H60" s="5041"/>
      <c r="I60" s="5041"/>
      <c r="J60" s="5041"/>
      <c r="K60" s="5041"/>
      <c r="L60" s="5041"/>
      <c r="M60" s="5041"/>
      <c r="N60" s="5041"/>
      <c r="O60" s="5041"/>
      <c r="P60" s="5041"/>
      <c r="Q60" s="5041"/>
      <c r="R60" s="5041"/>
      <c r="S60" s="5041"/>
      <c r="T60" s="5041"/>
      <c r="U60" s="5042"/>
      <c r="V60" s="5042"/>
      <c r="W60" s="5042"/>
      <c r="X60" s="5042"/>
      <c r="Y60" s="5041"/>
      <c r="Z60" s="5041"/>
      <c r="AA60" s="5041"/>
      <c r="AB60" s="5041"/>
      <c r="AC60" s="5041"/>
      <c r="AD60" s="5041"/>
      <c r="AE60" s="5041"/>
      <c r="AF60" s="5041"/>
      <c r="AG60" s="1677"/>
      <c r="AJ60" s="1618"/>
    </row>
    <row r="61" spans="1:55" ht="16.5" thickTop="1">
      <c r="A61" s="1867"/>
      <c r="B61" s="1817" t="s">
        <v>825</v>
      </c>
      <c r="C61" s="37"/>
      <c r="D61" s="37"/>
      <c r="E61" s="37"/>
      <c r="F61" s="37"/>
      <c r="G61" s="37"/>
      <c r="H61" s="37"/>
      <c r="I61" s="37"/>
      <c r="J61" s="37"/>
      <c r="K61" s="37"/>
      <c r="L61" s="37"/>
      <c r="M61" s="37"/>
      <c r="N61" s="37"/>
      <c r="O61" s="37"/>
      <c r="P61" s="37"/>
      <c r="Q61" s="37"/>
      <c r="R61" s="37"/>
      <c r="S61" s="37"/>
      <c r="T61" s="37"/>
      <c r="U61" s="1569" t="s">
        <v>1171</v>
      </c>
      <c r="V61" s="37"/>
      <c r="W61" s="37"/>
      <c r="X61" s="37"/>
      <c r="Y61" s="37"/>
      <c r="Z61" s="37"/>
      <c r="AA61" s="37"/>
      <c r="AB61" s="37"/>
      <c r="AC61" s="37"/>
      <c r="AD61" s="1816" t="s">
        <v>1222</v>
      </c>
      <c r="AE61" s="37"/>
      <c r="AF61" s="1816" t="str">
        <f>"("&amp;TaxYear&amp;")"</f>
        <v>(2014)</v>
      </c>
      <c r="AG61" s="1677"/>
    </row>
    <row r="62" spans="1:55" ht="15.75">
      <c r="A62" s="1867"/>
      <c r="B62" s="50" t="str">
        <f>"Form 8949 ("&amp;TaxYear&amp;")"</f>
        <v>Form 8949 (2014)</v>
      </c>
      <c r="C62" s="67"/>
      <c r="D62" s="67"/>
      <c r="E62" s="67"/>
      <c r="F62" s="67"/>
      <c r="G62" s="67"/>
      <c r="H62" s="67"/>
      <c r="I62" s="67"/>
      <c r="J62" s="67"/>
      <c r="K62" s="67"/>
      <c r="L62" s="67"/>
      <c r="M62" s="67"/>
      <c r="N62" s="67"/>
      <c r="O62" s="67"/>
      <c r="P62" s="67"/>
      <c r="Q62" s="67"/>
      <c r="R62" s="67"/>
      <c r="S62" s="67"/>
      <c r="T62" s="67"/>
      <c r="U62" s="67"/>
      <c r="V62" s="50" t="s">
        <v>1173</v>
      </c>
      <c r="W62" s="67"/>
      <c r="X62" s="67"/>
      <c r="Y62" s="67"/>
      <c r="Z62" s="67"/>
      <c r="AA62" s="67"/>
      <c r="AB62" s="67"/>
      <c r="AC62" s="67"/>
      <c r="AD62" s="67"/>
      <c r="AE62" s="67"/>
      <c r="AF62" s="1808" t="s">
        <v>279</v>
      </c>
      <c r="AG62" s="1677"/>
    </row>
    <row r="63" spans="1:55">
      <c r="A63" s="1867"/>
      <c r="B63" s="60" t="s">
        <v>100</v>
      </c>
      <c r="C63" s="37"/>
      <c r="D63" s="37"/>
      <c r="E63" s="37"/>
      <c r="F63" s="37"/>
      <c r="G63" s="37"/>
      <c r="H63" s="37"/>
      <c r="I63" s="37"/>
      <c r="J63" s="37"/>
      <c r="K63" s="37"/>
      <c r="L63" s="37"/>
      <c r="M63" s="37"/>
      <c r="N63" s="37"/>
      <c r="O63" s="37"/>
      <c r="P63" s="37"/>
      <c r="Q63" s="37"/>
      <c r="R63" s="37"/>
      <c r="S63" s="37"/>
      <c r="T63" s="37"/>
      <c r="U63" s="37"/>
      <c r="V63" s="2649" t="s">
        <v>1549</v>
      </c>
      <c r="W63" s="37"/>
      <c r="X63" s="37"/>
      <c r="Y63" s="37"/>
      <c r="Z63" s="52"/>
      <c r="AA63" s="37"/>
      <c r="AB63" s="37"/>
      <c r="AC63" s="37"/>
      <c r="AD63" s="37"/>
      <c r="AE63" s="37"/>
      <c r="AF63" s="37"/>
      <c r="AG63" s="1677"/>
    </row>
    <row r="64" spans="1:55" ht="16.5" thickBot="1">
      <c r="A64" s="1867"/>
      <c r="B64" s="4973" t="str">
        <f>Names</f>
        <v/>
      </c>
      <c r="C64" s="4974"/>
      <c r="D64" s="4974"/>
      <c r="E64" s="4974"/>
      <c r="F64" s="4974"/>
      <c r="G64" s="4974"/>
      <c r="H64" s="4974"/>
      <c r="I64" s="4974"/>
      <c r="J64" s="4974"/>
      <c r="K64" s="4974"/>
      <c r="L64" s="4974"/>
      <c r="M64" s="4974"/>
      <c r="N64" s="4974"/>
      <c r="O64" s="4974"/>
      <c r="P64" s="4974"/>
      <c r="Q64" s="4974"/>
      <c r="R64" s="4974"/>
      <c r="S64" s="4974"/>
      <c r="T64" s="4974"/>
      <c r="U64" s="4975"/>
      <c r="V64" s="4971">
        <f>SS_Yours</f>
        <v>0</v>
      </c>
      <c r="W64" s="4972"/>
      <c r="X64" s="4972"/>
      <c r="Y64" s="4972"/>
      <c r="Z64" s="4972"/>
      <c r="AA64" s="4972"/>
      <c r="AB64" s="4972"/>
      <c r="AC64" s="4972"/>
      <c r="AD64" s="4972"/>
      <c r="AE64" s="4972"/>
      <c r="AF64" s="4972"/>
      <c r="AG64" s="1677"/>
    </row>
    <row r="65" spans="1:55" ht="12.75" customHeight="1">
      <c r="A65" s="1867"/>
      <c r="B65" s="4939" t="s">
        <v>2187</v>
      </c>
      <c r="C65" s="4940"/>
      <c r="D65" s="4940"/>
      <c r="E65" s="4940"/>
      <c r="F65" s="4940"/>
      <c r="G65" s="4940"/>
      <c r="H65" s="4940"/>
      <c r="I65" s="4940"/>
      <c r="J65" s="4940"/>
      <c r="K65" s="4940"/>
      <c r="L65" s="4940"/>
      <c r="M65" s="4940"/>
      <c r="N65" s="4940"/>
      <c r="O65" s="4940"/>
      <c r="P65" s="4940"/>
      <c r="Q65" s="4940"/>
      <c r="R65" s="4940"/>
      <c r="S65" s="4940"/>
      <c r="T65" s="4940"/>
      <c r="U65" s="4940"/>
      <c r="V65" s="4940"/>
      <c r="W65" s="4940"/>
      <c r="X65" s="4940"/>
      <c r="Y65" s="4940"/>
      <c r="Z65" s="4940"/>
      <c r="AA65" s="4940"/>
      <c r="AB65" s="4940"/>
      <c r="AC65" s="4940"/>
      <c r="AD65" s="4940"/>
      <c r="AE65" s="4940"/>
      <c r="AF65" s="4940"/>
      <c r="AG65" s="1677"/>
    </row>
    <row r="66" spans="1:55" ht="12.75" customHeight="1">
      <c r="A66" s="1867"/>
      <c r="B66" s="4941"/>
      <c r="C66" s="4941"/>
      <c r="D66" s="4941"/>
      <c r="E66" s="4941"/>
      <c r="F66" s="4941"/>
      <c r="G66" s="4941"/>
      <c r="H66" s="4941"/>
      <c r="I66" s="4941"/>
      <c r="J66" s="4941"/>
      <c r="K66" s="4941"/>
      <c r="L66" s="4941"/>
      <c r="M66" s="4941"/>
      <c r="N66" s="4941"/>
      <c r="O66" s="4941"/>
      <c r="P66" s="4941"/>
      <c r="Q66" s="4941"/>
      <c r="R66" s="4941"/>
      <c r="S66" s="4941"/>
      <c r="T66" s="4941"/>
      <c r="U66" s="4941"/>
      <c r="V66" s="4941"/>
      <c r="W66" s="4941"/>
      <c r="X66" s="4941"/>
      <c r="Y66" s="4941"/>
      <c r="Z66" s="4941"/>
      <c r="AA66" s="4941"/>
      <c r="AB66" s="4941"/>
      <c r="AC66" s="4941"/>
      <c r="AD66" s="4941"/>
      <c r="AE66" s="4941"/>
      <c r="AF66" s="4941"/>
      <c r="AG66" s="1677"/>
    </row>
    <row r="67" spans="1:55" ht="12.75" customHeight="1">
      <c r="A67" s="1867"/>
      <c r="B67" s="4942"/>
      <c r="C67" s="4942"/>
      <c r="D67" s="4942"/>
      <c r="E67" s="4942"/>
      <c r="F67" s="4942"/>
      <c r="G67" s="4942"/>
      <c r="H67" s="4942"/>
      <c r="I67" s="4942"/>
      <c r="J67" s="4942"/>
      <c r="K67" s="4942"/>
      <c r="L67" s="4942"/>
      <c r="M67" s="4942"/>
      <c r="N67" s="4942"/>
      <c r="O67" s="4942"/>
      <c r="P67" s="4942"/>
      <c r="Q67" s="4942"/>
      <c r="R67" s="4942"/>
      <c r="S67" s="4942"/>
      <c r="T67" s="4942"/>
      <c r="U67" s="4942"/>
      <c r="V67" s="4942"/>
      <c r="W67" s="4942"/>
      <c r="X67" s="4942"/>
      <c r="Y67" s="4942"/>
      <c r="Z67" s="4942"/>
      <c r="AA67" s="4942"/>
      <c r="AB67" s="4942"/>
      <c r="AC67" s="4942"/>
      <c r="AD67" s="4942"/>
      <c r="AE67" s="4942"/>
      <c r="AF67" s="4942"/>
      <c r="AG67" s="1677"/>
    </row>
    <row r="68" spans="1:55" ht="3.75" customHeight="1">
      <c r="A68" s="186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1677"/>
    </row>
    <row r="69" spans="1:55" ht="15">
      <c r="A69" s="1867"/>
      <c r="B69" s="4981" t="s">
        <v>197</v>
      </c>
      <c r="C69" s="3830"/>
      <c r="D69" s="37"/>
      <c r="E69" s="1802" t="s">
        <v>1527</v>
      </c>
      <c r="F69" s="37"/>
      <c r="G69" s="37"/>
      <c r="H69" s="37"/>
      <c r="I69" s="37"/>
      <c r="J69" s="37"/>
      <c r="K69" s="37"/>
      <c r="L69" s="37"/>
      <c r="M69" s="37"/>
      <c r="N69" s="37"/>
      <c r="O69" s="37"/>
      <c r="P69" s="1802"/>
      <c r="Q69" s="37"/>
      <c r="R69" s="37"/>
      <c r="S69" s="37"/>
      <c r="T69" s="614" t="s">
        <v>2188</v>
      </c>
      <c r="U69" s="37"/>
      <c r="V69" s="37"/>
      <c r="W69" s="37"/>
      <c r="X69" s="37"/>
      <c r="Y69" s="37" t="s">
        <v>1528</v>
      </c>
      <c r="Z69" s="37"/>
      <c r="AA69" s="37"/>
      <c r="AB69" s="37"/>
      <c r="AC69" s="37"/>
      <c r="AD69" s="37"/>
      <c r="AE69" s="37"/>
      <c r="AF69" s="37"/>
      <c r="AG69" s="2837" t="b">
        <f>IF(SUM(AG88:AG115)&gt;0,TRUE,FALSE)</f>
        <v>0</v>
      </c>
    </row>
    <row r="70" spans="1:55" ht="11.25" customHeight="1">
      <c r="A70" s="1867"/>
      <c r="B70" s="46"/>
      <c r="C70" s="46"/>
      <c r="D70" s="46"/>
      <c r="E70" s="183" t="s">
        <v>1523</v>
      </c>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1677"/>
    </row>
    <row r="71" spans="1:55" ht="11.25" customHeight="1">
      <c r="A71" s="1867"/>
      <c r="B71" s="37"/>
      <c r="C71" s="37"/>
      <c r="D71" s="37"/>
      <c r="E71" s="3029" t="s">
        <v>2780</v>
      </c>
      <c r="F71" s="37"/>
      <c r="G71" s="37"/>
      <c r="H71" s="37"/>
      <c r="I71" s="37"/>
      <c r="J71" s="37"/>
      <c r="K71" s="37"/>
      <c r="L71" s="37"/>
      <c r="M71" s="37"/>
      <c r="N71" s="37"/>
      <c r="O71" s="37"/>
      <c r="P71" s="37"/>
      <c r="Q71" s="37"/>
      <c r="R71" s="37"/>
      <c r="S71" s="37"/>
      <c r="T71" s="614"/>
      <c r="U71" s="37"/>
      <c r="V71" s="37"/>
      <c r="W71" s="37"/>
      <c r="X71" s="1609"/>
      <c r="Y71" s="37"/>
      <c r="Z71" s="37"/>
      <c r="AA71" s="37"/>
      <c r="AB71" s="37"/>
      <c r="AC71" s="37"/>
      <c r="AD71" s="37"/>
      <c r="AE71" s="37"/>
      <c r="AF71" s="37"/>
      <c r="AG71" s="1867"/>
      <c r="AH71" s="3024"/>
      <c r="AI71" s="3024"/>
    </row>
    <row r="72" spans="1:55" ht="11.25" customHeight="1">
      <c r="A72" s="1867"/>
      <c r="B72" s="37"/>
      <c r="C72" s="37"/>
      <c r="D72" s="37"/>
      <c r="E72" s="3025" t="s">
        <v>1836</v>
      </c>
      <c r="F72" s="37"/>
      <c r="G72" s="37"/>
      <c r="H72" s="37"/>
      <c r="I72" s="37"/>
      <c r="J72" s="37"/>
      <c r="K72" s="37"/>
      <c r="L72" s="37"/>
      <c r="M72" s="37"/>
      <c r="N72" s="37"/>
      <c r="O72" s="37"/>
      <c r="P72" s="37"/>
      <c r="Q72" s="37"/>
      <c r="R72" s="37"/>
      <c r="S72" s="37"/>
      <c r="T72" s="614"/>
      <c r="U72" s="37"/>
      <c r="V72" s="37"/>
      <c r="W72" s="37"/>
      <c r="X72" s="1609"/>
      <c r="Y72" s="37"/>
      <c r="Z72" s="37"/>
      <c r="AA72" s="37"/>
      <c r="AB72" s="37"/>
      <c r="AC72" s="37"/>
      <c r="AD72" s="37"/>
      <c r="AE72" s="37"/>
      <c r="AF72" s="37"/>
      <c r="AG72" s="1867"/>
      <c r="AH72" s="3024"/>
      <c r="AI72" s="3024"/>
    </row>
    <row r="73" spans="1:55" ht="11.25" customHeight="1">
      <c r="A73" s="1867"/>
      <c r="B73" s="67"/>
      <c r="C73" s="67"/>
      <c r="D73" s="67"/>
      <c r="E73" s="2647" t="s">
        <v>1837</v>
      </c>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1867"/>
      <c r="AH73" s="3024"/>
      <c r="AI73" s="3024"/>
    </row>
    <row r="74" spans="1:55">
      <c r="A74" s="1867"/>
      <c r="B74" s="375" t="s">
        <v>1841</v>
      </c>
      <c r="C74" s="371"/>
      <c r="D74" s="371"/>
      <c r="E74" s="371"/>
      <c r="F74" s="371"/>
      <c r="G74" s="371"/>
      <c r="H74" s="371"/>
      <c r="I74" s="371"/>
      <c r="J74" s="371"/>
      <c r="K74" s="375" t="s">
        <v>1532</v>
      </c>
      <c r="L74" s="371"/>
      <c r="M74" s="371"/>
      <c r="N74" s="371"/>
      <c r="O74" s="371"/>
      <c r="P74" s="371" t="s">
        <v>1536</v>
      </c>
      <c r="Q74" s="371"/>
      <c r="R74" s="371"/>
      <c r="S74" s="371"/>
      <c r="T74" s="371"/>
      <c r="U74" s="371"/>
      <c r="V74" s="371"/>
      <c r="W74" s="371"/>
      <c r="X74" s="371"/>
      <c r="Y74" s="371"/>
      <c r="Z74" s="371"/>
      <c r="AA74" s="371"/>
      <c r="AB74" s="371"/>
      <c r="AC74" s="371"/>
      <c r="AD74" s="371"/>
      <c r="AE74" s="371"/>
      <c r="AF74" s="371"/>
      <c r="AG74" s="1677"/>
    </row>
    <row r="75" spans="1:55">
      <c r="A75" s="1867"/>
      <c r="B75" s="1609" t="s">
        <v>1537</v>
      </c>
      <c r="C75" s="371"/>
      <c r="D75" s="371"/>
      <c r="E75" s="371"/>
      <c r="F75" s="371"/>
      <c r="G75" s="371"/>
      <c r="H75" s="371"/>
      <c r="I75" s="371"/>
      <c r="J75" s="371"/>
      <c r="K75" s="371"/>
      <c r="L75" s="371"/>
      <c r="M75" s="371"/>
      <c r="N75" s="371"/>
      <c r="O75" s="371"/>
      <c r="P75" s="371"/>
      <c r="Q75" s="371"/>
      <c r="R75" s="371"/>
      <c r="S75" s="371"/>
      <c r="T75" s="371"/>
      <c r="U75" s="371"/>
      <c r="V75" s="371"/>
      <c r="W75" s="371"/>
      <c r="X75" s="371"/>
      <c r="Y75" s="371"/>
      <c r="Z75" s="371"/>
      <c r="AA75" s="371"/>
      <c r="AB75" s="371"/>
      <c r="AC75" s="371"/>
      <c r="AD75" s="371"/>
      <c r="AE75" s="371"/>
      <c r="AF75" s="371"/>
      <c r="AG75" s="1677"/>
      <c r="BA75" s="4927" t="s">
        <v>1671</v>
      </c>
      <c r="BB75" s="4471"/>
      <c r="BC75" s="4928"/>
    </row>
    <row r="76" spans="1:55">
      <c r="A76" s="1867"/>
      <c r="B76" s="1609" t="s">
        <v>1538</v>
      </c>
      <c r="C76" s="371"/>
      <c r="D76" s="371"/>
      <c r="E76" s="371"/>
      <c r="F76" s="371"/>
      <c r="G76" s="371"/>
      <c r="H76" s="371"/>
      <c r="I76" s="371"/>
      <c r="J76" s="371"/>
      <c r="K76" s="371"/>
      <c r="L76" s="371"/>
      <c r="M76" s="371"/>
      <c r="N76" s="371"/>
      <c r="O76" s="371"/>
      <c r="P76" s="371"/>
      <c r="Q76" s="371"/>
      <c r="R76" s="371"/>
      <c r="S76" s="371"/>
      <c r="T76" s="371"/>
      <c r="U76" s="371"/>
      <c r="V76" s="371"/>
      <c r="W76" s="371"/>
      <c r="X76" s="371"/>
      <c r="Y76" s="371"/>
      <c r="Z76" s="371"/>
      <c r="AA76" s="371"/>
      <c r="AB76" s="371"/>
      <c r="AC76" s="371"/>
      <c r="AD76" s="371"/>
      <c r="AE76" s="371"/>
      <c r="AF76" s="371"/>
      <c r="AG76" s="1677"/>
      <c r="BA76" s="4929" t="s">
        <v>1670</v>
      </c>
      <c r="BB76" s="4929" t="s">
        <v>1660</v>
      </c>
      <c r="BC76" s="4929" t="s">
        <v>1661</v>
      </c>
    </row>
    <row r="77" spans="1:55" ht="4.5" customHeight="1" thickBot="1">
      <c r="A77" s="1867"/>
      <c r="B77" s="371"/>
      <c r="C77" s="371"/>
      <c r="D77" s="371"/>
      <c r="E77" s="371"/>
      <c r="F77" s="371"/>
      <c r="G77" s="371"/>
      <c r="H77" s="371"/>
      <c r="I77" s="371"/>
      <c r="J77" s="371"/>
      <c r="K77" s="371"/>
      <c r="L77" s="371"/>
      <c r="M77" s="371"/>
      <c r="N77" s="371"/>
      <c r="O77" s="371"/>
      <c r="P77" s="371"/>
      <c r="Q77" s="371"/>
      <c r="R77" s="371"/>
      <c r="S77" s="371"/>
      <c r="T77" s="371"/>
      <c r="U77" s="371"/>
      <c r="V77" s="371"/>
      <c r="W77" s="371"/>
      <c r="X77" s="371"/>
      <c r="Y77" s="371"/>
      <c r="Z77" s="371"/>
      <c r="AA77" s="371"/>
      <c r="AB77" s="371"/>
      <c r="AC77" s="371"/>
      <c r="AD77" s="371"/>
      <c r="AE77" s="371"/>
      <c r="AF77" s="371"/>
      <c r="AG77" s="1677"/>
      <c r="BA77" s="4930"/>
      <c r="BB77" s="4930"/>
      <c r="BC77" s="4930"/>
    </row>
    <row r="78" spans="1:55" ht="12" customHeight="1" thickBot="1">
      <c r="A78" s="1867"/>
      <c r="B78" s="2780">
        <f>IF(C78&lt;&gt;"",1,0)</f>
        <v>0</v>
      </c>
      <c r="C78" s="2779"/>
      <c r="D78" s="729" t="s">
        <v>1838</v>
      </c>
      <c r="E78" s="371"/>
      <c r="F78" s="371"/>
      <c r="G78" s="371"/>
      <c r="H78" s="371"/>
      <c r="I78" s="371"/>
      <c r="J78" s="371"/>
      <c r="K78" s="371"/>
      <c r="L78" s="371"/>
      <c r="M78" s="371"/>
      <c r="N78" s="371"/>
      <c r="O78" s="371"/>
      <c r="P78" s="371"/>
      <c r="Q78" s="371"/>
      <c r="R78" s="371"/>
      <c r="S78" s="371"/>
      <c r="T78" s="371"/>
      <c r="U78" s="371"/>
      <c r="V78" s="371"/>
      <c r="W78" s="371"/>
      <c r="X78" s="371"/>
      <c r="Y78" s="371"/>
      <c r="Z78" s="371"/>
      <c r="AA78" s="371"/>
      <c r="AB78" s="371"/>
      <c r="AC78" s="371"/>
      <c r="AD78" s="371"/>
      <c r="AE78" s="371"/>
      <c r="AF78" s="371"/>
      <c r="AG78" s="1677"/>
      <c r="AJ78" s="4922"/>
      <c r="AK78" s="4923"/>
      <c r="AL78" s="4923"/>
      <c r="AM78" s="4923"/>
      <c r="AN78" s="4923"/>
      <c r="AO78" s="4923"/>
      <c r="AP78" s="4923"/>
      <c r="AQ78" s="4923"/>
      <c r="BA78" s="4930"/>
      <c r="BB78" s="4930"/>
      <c r="BC78" s="4930"/>
    </row>
    <row r="79" spans="1:55" ht="4.5" customHeight="1" thickBot="1">
      <c r="A79" s="1867"/>
      <c r="B79" s="2648"/>
      <c r="C79" s="371"/>
      <c r="D79" s="371"/>
      <c r="E79" s="371"/>
      <c r="F79" s="371"/>
      <c r="G79" s="371"/>
      <c r="H79" s="371"/>
      <c r="I79" s="371"/>
      <c r="J79" s="371"/>
      <c r="K79" s="371"/>
      <c r="L79" s="371"/>
      <c r="M79" s="371"/>
      <c r="N79" s="371"/>
      <c r="O79" s="371"/>
      <c r="P79" s="371"/>
      <c r="Q79" s="371"/>
      <c r="R79" s="371"/>
      <c r="S79" s="371"/>
      <c r="T79" s="371"/>
      <c r="U79" s="371"/>
      <c r="V79" s="371"/>
      <c r="W79" s="371"/>
      <c r="X79" s="371"/>
      <c r="Y79" s="371"/>
      <c r="Z79" s="371"/>
      <c r="AA79" s="371"/>
      <c r="AB79" s="371"/>
      <c r="AC79" s="371"/>
      <c r="AD79" s="371"/>
      <c r="AE79" s="371"/>
      <c r="AF79" s="371"/>
      <c r="AG79" s="1677"/>
      <c r="BA79" s="4930"/>
      <c r="BB79" s="4930"/>
      <c r="BC79" s="4930"/>
    </row>
    <row r="80" spans="1:55" ht="11.25" customHeight="1" thickBot="1">
      <c r="A80" s="1867"/>
      <c r="B80" s="2780">
        <f>IF(C80&lt;&gt;"",1,0)</f>
        <v>0</v>
      </c>
      <c r="C80" s="2779"/>
      <c r="D80" s="729" t="s">
        <v>1839</v>
      </c>
      <c r="E80" s="371"/>
      <c r="F80" s="371"/>
      <c r="G80" s="371"/>
      <c r="H80" s="371"/>
      <c r="I80" s="371"/>
      <c r="J80" s="371"/>
      <c r="K80" s="371"/>
      <c r="L80" s="371"/>
      <c r="M80" s="371"/>
      <c r="N80" s="371"/>
      <c r="O80" s="371"/>
      <c r="P80" s="371"/>
      <c r="Q80" s="371"/>
      <c r="R80" s="371"/>
      <c r="S80" s="371"/>
      <c r="T80" s="371"/>
      <c r="U80" s="371"/>
      <c r="V80" s="371"/>
      <c r="W80" s="371"/>
      <c r="X80" s="371"/>
      <c r="Y80" s="371"/>
      <c r="Z80" s="371"/>
      <c r="AA80" s="371"/>
      <c r="AB80" s="371"/>
      <c r="AC80" s="371"/>
      <c r="AD80" s="371"/>
      <c r="AE80" s="371"/>
      <c r="AF80" s="371"/>
      <c r="AG80" s="1677"/>
      <c r="AJ80" s="4922"/>
      <c r="AK80" s="4923"/>
      <c r="AL80" s="4923"/>
      <c r="AM80" s="4923"/>
      <c r="AN80" s="4923"/>
      <c r="AO80" s="4923"/>
      <c r="AP80" s="4923"/>
      <c r="AQ80" s="4923"/>
      <c r="BA80" s="4930"/>
      <c r="BB80" s="4930"/>
      <c r="BC80" s="4930"/>
    </row>
    <row r="81" spans="1:55" ht="4.5" customHeight="1" thickBot="1">
      <c r="A81" s="1867"/>
      <c r="B81" s="2648"/>
      <c r="C81" s="371"/>
      <c r="D81" s="371"/>
      <c r="E81" s="371"/>
      <c r="F81" s="371"/>
      <c r="G81" s="371"/>
      <c r="H81" s="371"/>
      <c r="I81" s="371"/>
      <c r="J81" s="371"/>
      <c r="K81" s="371"/>
      <c r="L81" s="371"/>
      <c r="M81" s="371"/>
      <c r="N81" s="371"/>
      <c r="O81" s="371"/>
      <c r="P81" s="371"/>
      <c r="Q81" s="371"/>
      <c r="R81" s="371"/>
      <c r="S81" s="371"/>
      <c r="T81" s="371"/>
      <c r="U81" s="371"/>
      <c r="V81" s="371"/>
      <c r="W81" s="371"/>
      <c r="X81" s="371"/>
      <c r="Y81" s="371"/>
      <c r="Z81" s="371"/>
      <c r="AA81" s="371"/>
      <c r="AB81" s="371"/>
      <c r="AC81" s="371"/>
      <c r="AD81" s="371"/>
      <c r="AE81" s="371"/>
      <c r="AF81" s="371"/>
      <c r="AG81" s="1677"/>
      <c r="BA81" s="4930"/>
      <c r="BB81" s="4930"/>
      <c r="BC81" s="4930"/>
    </row>
    <row r="82" spans="1:55" ht="12" customHeight="1" thickBot="1">
      <c r="A82" s="1867">
        <f>SUM(B78:B82)</f>
        <v>0</v>
      </c>
      <c r="B82" s="2780">
        <f>IF(C82&lt;&gt;"",1,0)</f>
        <v>0</v>
      </c>
      <c r="C82" s="2779"/>
      <c r="D82" s="729" t="s">
        <v>1840</v>
      </c>
      <c r="E82" s="371"/>
      <c r="F82" s="371"/>
      <c r="G82" s="371"/>
      <c r="H82" s="371"/>
      <c r="I82" s="371"/>
      <c r="J82" s="371"/>
      <c r="K82" s="371"/>
      <c r="L82" s="371"/>
      <c r="M82" s="371"/>
      <c r="N82" s="371"/>
      <c r="O82" s="371"/>
      <c r="P82" s="371"/>
      <c r="Q82" s="371"/>
      <c r="R82" s="4959" t="str">
        <f>IF(SpaceUsed_8949B_LT,"ERROR: DO NOT use space.  Use 'Delete'.",IF(A82&gt;1,"Check only ONE box.",IF($A$31&gt;0,"",IF(A82&lt;1,"Check ONE box.",""))))</f>
        <v>Check ONE box.</v>
      </c>
      <c r="S82" s="4960"/>
      <c r="T82" s="4960"/>
      <c r="U82" s="4960"/>
      <c r="V82" s="4960"/>
      <c r="W82" s="4960"/>
      <c r="X82" s="4960"/>
      <c r="Y82" s="4960"/>
      <c r="Z82" s="4960"/>
      <c r="AA82" s="4960"/>
      <c r="AB82" s="4960"/>
      <c r="AC82" s="4960"/>
      <c r="AD82" s="4960"/>
      <c r="AE82" s="4960"/>
      <c r="AF82" s="371"/>
      <c r="AG82" s="1677"/>
      <c r="AH82" s="3123" t="b">
        <f>IF(OR(F8949BLBOXA=CHAR(32),F8949BLBOXB=CHAR(32),F8949BLBOXC=CHAR(32)),TRUE,FALSE)</f>
        <v>0</v>
      </c>
      <c r="AJ82" s="4922" t="s">
        <v>1485</v>
      </c>
      <c r="AK82" s="4923"/>
      <c r="AL82" s="4923"/>
      <c r="AM82" s="4923"/>
      <c r="AN82" s="4923"/>
      <c r="AO82" s="4923"/>
      <c r="AP82" s="4923"/>
      <c r="AQ82" s="4923"/>
      <c r="BA82" s="4930"/>
      <c r="BB82" s="4930"/>
      <c r="BC82" s="4930"/>
    </row>
    <row r="83" spans="1:55" ht="3.75" customHeight="1">
      <c r="A83" s="1867"/>
      <c r="B83" s="372"/>
      <c r="C83" s="1807"/>
      <c r="D83" s="372"/>
      <c r="E83" s="372"/>
      <c r="F83" s="372"/>
      <c r="G83" s="372"/>
      <c r="H83" s="372"/>
      <c r="I83" s="372"/>
      <c r="J83" s="372"/>
      <c r="K83" s="372"/>
      <c r="L83" s="372"/>
      <c r="M83" s="372"/>
      <c r="N83" s="1807"/>
      <c r="O83" s="372"/>
      <c r="P83" s="372"/>
      <c r="Q83" s="372"/>
      <c r="R83" s="372"/>
      <c r="S83" s="372"/>
      <c r="T83" s="372"/>
      <c r="U83" s="372"/>
      <c r="V83" s="372"/>
      <c r="W83" s="372"/>
      <c r="X83" s="372"/>
      <c r="Y83" s="1807"/>
      <c r="Z83" s="372"/>
      <c r="AA83" s="372"/>
      <c r="AB83" s="372"/>
      <c r="AC83" s="372"/>
      <c r="AD83" s="372"/>
      <c r="AE83" s="372"/>
      <c r="AF83" s="372"/>
      <c r="AG83" s="1677"/>
      <c r="BA83" s="4930"/>
      <c r="BB83" s="4930"/>
      <c r="BC83" s="4930"/>
    </row>
    <row r="84" spans="1:55" ht="21" customHeight="1">
      <c r="A84" s="1867"/>
      <c r="B84" s="4982">
        <v>1</v>
      </c>
      <c r="C84" s="4991" t="s">
        <v>1170</v>
      </c>
      <c r="D84" s="4992"/>
      <c r="E84" s="4992"/>
      <c r="F84" s="4992"/>
      <c r="G84" s="4992"/>
      <c r="H84" s="4992"/>
      <c r="I84" s="4993"/>
      <c r="J84" s="4949" t="s">
        <v>1540</v>
      </c>
      <c r="K84" s="4950"/>
      <c r="L84" s="4951"/>
      <c r="M84" s="4949" t="s">
        <v>1541</v>
      </c>
      <c r="N84" s="4950"/>
      <c r="O84" s="4950"/>
      <c r="P84" s="4951"/>
      <c r="Q84" s="4949" t="s">
        <v>1542</v>
      </c>
      <c r="R84" s="4950"/>
      <c r="S84" s="4950"/>
      <c r="T84" s="4951"/>
      <c r="U84" s="4924" t="s">
        <v>1547</v>
      </c>
      <c r="V84" s="4297"/>
      <c r="W84" s="4297"/>
      <c r="X84" s="5006"/>
      <c r="Y84" s="4932" t="s">
        <v>1543</v>
      </c>
      <c r="Z84" s="5000"/>
      <c r="AA84" s="5000"/>
      <c r="AB84" s="5001"/>
      <c r="AC84" s="4924" t="s">
        <v>1546</v>
      </c>
      <c r="AD84" s="4297"/>
      <c r="AE84" s="4297"/>
      <c r="AF84" s="4297"/>
      <c r="AG84" s="1677"/>
      <c r="AJ84" s="4934" t="s">
        <v>1484</v>
      </c>
      <c r="AK84" s="4934" t="s">
        <v>1550</v>
      </c>
      <c r="AL84" s="4934" t="s">
        <v>1551</v>
      </c>
      <c r="AM84" s="4934" t="s">
        <v>1552</v>
      </c>
      <c r="AN84" s="4936" t="s">
        <v>1553</v>
      </c>
      <c r="AO84" s="4932" t="s">
        <v>1543</v>
      </c>
      <c r="AP84" s="4310"/>
      <c r="AQ84" s="4934" t="s">
        <v>1555</v>
      </c>
      <c r="BA84" s="4930"/>
      <c r="BB84" s="4930"/>
      <c r="BC84" s="4930"/>
    </row>
    <row r="85" spans="1:55" ht="21" customHeight="1">
      <c r="A85" s="1867"/>
      <c r="B85" s="3888"/>
      <c r="C85" s="4994"/>
      <c r="D85" s="4995"/>
      <c r="E85" s="4995"/>
      <c r="F85" s="4995"/>
      <c r="G85" s="4995"/>
      <c r="H85" s="4995"/>
      <c r="I85" s="4996"/>
      <c r="J85" s="4952"/>
      <c r="K85" s="4953"/>
      <c r="L85" s="4954"/>
      <c r="M85" s="4952"/>
      <c r="N85" s="4953"/>
      <c r="O85" s="4953"/>
      <c r="P85" s="4954"/>
      <c r="Q85" s="4952"/>
      <c r="R85" s="4953"/>
      <c r="S85" s="4953"/>
      <c r="T85" s="4954"/>
      <c r="U85" s="4925"/>
      <c r="V85" s="4926"/>
      <c r="W85" s="4926"/>
      <c r="X85" s="5031"/>
      <c r="Y85" s="5002"/>
      <c r="Z85" s="5003"/>
      <c r="AA85" s="5003"/>
      <c r="AB85" s="5004"/>
      <c r="AC85" s="4925"/>
      <c r="AD85" s="4926"/>
      <c r="AE85" s="4926"/>
      <c r="AF85" s="4926"/>
      <c r="AG85" s="1677"/>
      <c r="AJ85" s="4934"/>
      <c r="AK85" s="4934"/>
      <c r="AL85" s="4934"/>
      <c r="AM85" s="4934"/>
      <c r="AN85" s="4936"/>
      <c r="AO85" s="4468"/>
      <c r="AP85" s="4316"/>
      <c r="AQ85" s="4934"/>
      <c r="BA85" s="4930"/>
      <c r="BB85" s="4930"/>
      <c r="BC85" s="4930"/>
    </row>
    <row r="86" spans="1:55" ht="18" customHeight="1">
      <c r="A86" s="1867"/>
      <c r="B86" s="4983"/>
      <c r="C86" s="4997"/>
      <c r="D86" s="4997"/>
      <c r="E86" s="4997"/>
      <c r="F86" s="4997"/>
      <c r="G86" s="4997"/>
      <c r="H86" s="4997"/>
      <c r="I86" s="4996"/>
      <c r="J86" s="4955"/>
      <c r="K86" s="4953"/>
      <c r="L86" s="4954"/>
      <c r="M86" s="4955"/>
      <c r="N86" s="4953"/>
      <c r="O86" s="4953"/>
      <c r="P86" s="4954"/>
      <c r="Q86" s="4955"/>
      <c r="R86" s="4953"/>
      <c r="S86" s="4953"/>
      <c r="T86" s="4954"/>
      <c r="U86" s="4298"/>
      <c r="V86" s="4926"/>
      <c r="W86" s="4926"/>
      <c r="X86" s="5031"/>
      <c r="Y86" s="5005" t="s">
        <v>1544</v>
      </c>
      <c r="Z86" s="5006"/>
      <c r="AA86" s="5008" t="s">
        <v>1545</v>
      </c>
      <c r="AB86" s="5009"/>
      <c r="AC86" s="4298"/>
      <c r="AD86" s="4926"/>
      <c r="AE86" s="4926"/>
      <c r="AF86" s="4926"/>
      <c r="AG86" s="1677"/>
      <c r="AJ86" s="4935"/>
      <c r="AK86" s="4935"/>
      <c r="AL86" s="4935"/>
      <c r="AM86" s="4935"/>
      <c r="AN86" s="4937"/>
      <c r="AO86" s="4931" t="s">
        <v>1554</v>
      </c>
      <c r="AP86" s="4933" t="s">
        <v>1545</v>
      </c>
      <c r="AQ86" s="4935"/>
      <c r="BA86" s="4930"/>
      <c r="BB86" s="4930"/>
      <c r="BC86" s="4930"/>
    </row>
    <row r="87" spans="1:55" ht="18" customHeight="1">
      <c r="A87" s="1867"/>
      <c r="B87" s="4984"/>
      <c r="C87" s="4998"/>
      <c r="D87" s="4998"/>
      <c r="E87" s="4998"/>
      <c r="F87" s="4998"/>
      <c r="G87" s="4998"/>
      <c r="H87" s="4998"/>
      <c r="I87" s="4999"/>
      <c r="J87" s="4956"/>
      <c r="K87" s="4957"/>
      <c r="L87" s="4958"/>
      <c r="M87" s="4956"/>
      <c r="N87" s="4957"/>
      <c r="O87" s="4957"/>
      <c r="P87" s="4958"/>
      <c r="Q87" s="4956"/>
      <c r="R87" s="4957"/>
      <c r="S87" s="4957"/>
      <c r="T87" s="4958"/>
      <c r="U87" s="4300"/>
      <c r="V87" s="4301"/>
      <c r="W87" s="4301"/>
      <c r="X87" s="5007"/>
      <c r="Y87" s="4300"/>
      <c r="Z87" s="5007"/>
      <c r="AA87" s="4564"/>
      <c r="AB87" s="4452"/>
      <c r="AC87" s="4300"/>
      <c r="AD87" s="4301"/>
      <c r="AE87" s="4301"/>
      <c r="AF87" s="4301"/>
      <c r="AG87" s="1677"/>
      <c r="AJ87" s="4935"/>
      <c r="AK87" s="4935"/>
      <c r="AL87" s="4935"/>
      <c r="AM87" s="4935"/>
      <c r="AN87" s="4937"/>
      <c r="AO87" s="4244"/>
      <c r="AP87" s="4244"/>
      <c r="AQ87" s="4935"/>
      <c r="BA87" s="4930"/>
      <c r="BB87" s="4930"/>
      <c r="BC87" s="4930"/>
    </row>
    <row r="88" spans="1:55" s="2642" customFormat="1" ht="19.5" customHeight="1">
      <c r="A88" s="1867">
        <f>IF(OR(U88&lt;&gt;"",Y88&lt;&gt;""),1,0)</f>
        <v>0</v>
      </c>
      <c r="B88" s="4945" t="str">
        <f t="shared" ref="B88:B115" si="20">IF(AJ88="","",AJ88)</f>
        <v/>
      </c>
      <c r="C88" s="4946"/>
      <c r="D88" s="4946"/>
      <c r="E88" s="4946"/>
      <c r="F88" s="4946"/>
      <c r="G88" s="4946"/>
      <c r="H88" s="4946"/>
      <c r="I88" s="4947"/>
      <c r="J88" s="4943" t="str">
        <f t="shared" ref="J88:J115" si="21">IF(AK88="","",AK88)</f>
        <v/>
      </c>
      <c r="K88" s="4944"/>
      <c r="L88" s="4944"/>
      <c r="M88" s="4943" t="str">
        <f t="shared" ref="M88:M115" si="22">IF(AL88="","",AL88)</f>
        <v/>
      </c>
      <c r="N88" s="4944"/>
      <c r="O88" s="4944"/>
      <c r="P88" s="4948"/>
      <c r="Q88" s="3792" t="str">
        <f t="shared" ref="Q88:Q115" si="23">IF(AM88="","",AM88)</f>
        <v/>
      </c>
      <c r="R88" s="4938"/>
      <c r="S88" s="4938"/>
      <c r="T88" s="4103"/>
      <c r="U88" s="3792" t="str">
        <f t="shared" ref="U88:U115" si="24">IF(AN88="","",AN88)</f>
        <v/>
      </c>
      <c r="V88" s="4938"/>
      <c r="W88" s="4938"/>
      <c r="X88" s="4103"/>
      <c r="Y88" s="4921" t="str">
        <f>IF(AO88&lt;&gt;"",AO88,"")</f>
        <v/>
      </c>
      <c r="Z88" s="3747"/>
      <c r="AA88" s="4921" t="str">
        <f>IF(AP88="","",AP88)</f>
        <v/>
      </c>
      <c r="AB88" s="3747"/>
      <c r="AC88" s="4919" t="str">
        <f>IF(AQ88&lt;&gt;"",AQ88,IF(AND(Q88&lt;&gt;"",U88&lt;&gt;""),SUM(Q88,-U88,AA88),""))</f>
        <v/>
      </c>
      <c r="AD88" s="4920"/>
      <c r="AE88" s="4920"/>
      <c r="AF88" s="4920"/>
      <c r="AG88" s="2837">
        <f>IF(OR(J88="",M88=""),0,IF(OR(BA88,BB88,BC88),1,0))</f>
        <v>0</v>
      </c>
      <c r="AH88" s="1804"/>
      <c r="AI88" s="1804" t="e">
        <f>M88-J88</f>
        <v>#VALUE!</v>
      </c>
      <c r="AJ88" s="2650"/>
      <c r="AK88" s="2654"/>
      <c r="AL88" s="2654"/>
      <c r="AM88" s="2652"/>
      <c r="AN88" s="2652"/>
      <c r="AO88" s="2653"/>
      <c r="AP88" s="2652"/>
      <c r="AQ88" s="2651"/>
      <c r="AR88" s="2826"/>
      <c r="AS88" s="2826" t="e">
        <f>YEAR(J88)</f>
        <v>#VALUE!</v>
      </c>
      <c r="AT88" s="2826" t="e">
        <f>MONTH(J88)</f>
        <v>#VALUE!</v>
      </c>
      <c r="AU88" s="2826" t="e">
        <f>DAY(J88)</f>
        <v>#VALUE!</v>
      </c>
      <c r="AV88" s="2826"/>
      <c r="AW88" s="2826" t="e">
        <f>YEAR(M88)</f>
        <v>#VALUE!</v>
      </c>
      <c r="AX88" s="2826" t="e">
        <f>MONTH(M88)</f>
        <v>#VALUE!</v>
      </c>
      <c r="AY88" s="2826" t="e">
        <f>DAY(M88)</f>
        <v>#VALUE!</v>
      </c>
      <c r="AZ88" s="2826"/>
      <c r="BA88" s="2826" t="e">
        <f>IF(AW88=AS88,TRUE,FALSE)</f>
        <v>#VALUE!</v>
      </c>
      <c r="BB88" s="2826" t="e">
        <f>IF(AND(AW88=AS88+1,AX88&lt;AT88),TRUE,FALSE)</f>
        <v>#VALUE!</v>
      </c>
      <c r="BC88" s="2826" t="e">
        <f>IF(AND(AW88=AS88+1,AX88=AT88,AY88&lt;=AU88),TRUE,FALSE)</f>
        <v>#VALUE!</v>
      </c>
    </row>
    <row r="89" spans="1:55" s="2642" customFormat="1" ht="19.5" customHeight="1">
      <c r="A89" s="1867">
        <f t="shared" ref="A89:A115" si="25">IF(OR(U89&lt;&gt;"",Y89&lt;&gt;""),1,0)</f>
        <v>0</v>
      </c>
      <c r="B89" s="4945" t="str">
        <f t="shared" si="20"/>
        <v/>
      </c>
      <c r="C89" s="4946"/>
      <c r="D89" s="4946"/>
      <c r="E89" s="4946"/>
      <c r="F89" s="4946"/>
      <c r="G89" s="4946"/>
      <c r="H89" s="4946"/>
      <c r="I89" s="4947"/>
      <c r="J89" s="4943" t="str">
        <f t="shared" si="21"/>
        <v/>
      </c>
      <c r="K89" s="4944"/>
      <c r="L89" s="4944"/>
      <c r="M89" s="4943" t="str">
        <f t="shared" si="22"/>
        <v/>
      </c>
      <c r="N89" s="4944"/>
      <c r="O89" s="4944"/>
      <c r="P89" s="4948"/>
      <c r="Q89" s="3792" t="str">
        <f t="shared" si="23"/>
        <v/>
      </c>
      <c r="R89" s="4938"/>
      <c r="S89" s="4938"/>
      <c r="T89" s="4103"/>
      <c r="U89" s="3792" t="str">
        <f t="shared" si="24"/>
        <v/>
      </c>
      <c r="V89" s="4938"/>
      <c r="W89" s="4938"/>
      <c r="X89" s="4103"/>
      <c r="Y89" s="4921" t="str">
        <f t="shared" ref="Y89:Y115" si="26">IF(AO89&lt;&gt;"",AO89,"")</f>
        <v/>
      </c>
      <c r="Z89" s="3747"/>
      <c r="AA89" s="4921" t="str">
        <f t="shared" ref="AA89:AA115" si="27">IF(AP89="","",AP89)</f>
        <v/>
      </c>
      <c r="AB89" s="3747"/>
      <c r="AC89" s="4919" t="str">
        <f t="shared" ref="AC89:AC115" si="28">IF(AQ89&lt;&gt;"",AQ89,IF(AND(Q89&lt;&gt;"",U89&lt;&gt;""),SUM(Q89,-U89,AA89),""))</f>
        <v/>
      </c>
      <c r="AD89" s="4920"/>
      <c r="AE89" s="4920"/>
      <c r="AF89" s="4920"/>
      <c r="AG89" s="2837">
        <f t="shared" ref="AG89:AG115" si="29">IF(OR(J89="",M89=""),0,IF(OR(BA89,BB89,BC89),1,0))</f>
        <v>0</v>
      </c>
      <c r="AH89" s="1804"/>
      <c r="AI89" s="1804" t="e">
        <f t="shared" ref="AI89:AI115" si="30">M89-J89</f>
        <v>#VALUE!</v>
      </c>
      <c r="AJ89" s="2650"/>
      <c r="AK89" s="2654"/>
      <c r="AL89" s="2654"/>
      <c r="AM89" s="2652"/>
      <c r="AN89" s="2652"/>
      <c r="AO89" s="2653"/>
      <c r="AP89" s="2652"/>
      <c r="AQ89" s="2651"/>
      <c r="AR89" s="2826"/>
      <c r="AS89" s="2826" t="e">
        <f t="shared" ref="AS89:AS115" si="31">YEAR(J89)</f>
        <v>#VALUE!</v>
      </c>
      <c r="AT89" s="2826" t="e">
        <f t="shared" ref="AT89:AT115" si="32">MONTH(J89)</f>
        <v>#VALUE!</v>
      </c>
      <c r="AU89" s="2826" t="e">
        <f t="shared" ref="AU89:AU115" si="33">DAY(J89)</f>
        <v>#VALUE!</v>
      </c>
      <c r="AV89" s="2826"/>
      <c r="AW89" s="2826" t="e">
        <f t="shared" ref="AW89:AW115" si="34">YEAR(M89)</f>
        <v>#VALUE!</v>
      </c>
      <c r="AX89" s="2826" t="e">
        <f t="shared" ref="AX89:AX115" si="35">MONTH(M89)</f>
        <v>#VALUE!</v>
      </c>
      <c r="AY89" s="2826" t="e">
        <f t="shared" ref="AY89:AY115" si="36">DAY(M89)</f>
        <v>#VALUE!</v>
      </c>
      <c r="AZ89" s="2826"/>
      <c r="BA89" s="2826" t="e">
        <f t="shared" ref="BA89:BA115" si="37">IF(AW89=AS89,TRUE,FALSE)</f>
        <v>#VALUE!</v>
      </c>
      <c r="BB89" s="2826" t="e">
        <f t="shared" ref="BB89:BB115" si="38">IF(AND(AW89=AS89+1,AX89&lt;AT89),TRUE,FALSE)</f>
        <v>#VALUE!</v>
      </c>
      <c r="BC89" s="2826" t="e">
        <f t="shared" ref="BC89:BC115" si="39">IF(AND(AW89=AS89+1,AX89=AT89,AY89&lt;=AU89),TRUE,FALSE)</f>
        <v>#VALUE!</v>
      </c>
    </row>
    <row r="90" spans="1:55" s="2642" customFormat="1" ht="19.5" customHeight="1">
      <c r="A90" s="1867">
        <f t="shared" si="25"/>
        <v>0</v>
      </c>
      <c r="B90" s="4945" t="str">
        <f t="shared" si="20"/>
        <v/>
      </c>
      <c r="C90" s="4946"/>
      <c r="D90" s="4946"/>
      <c r="E90" s="4946"/>
      <c r="F90" s="4946"/>
      <c r="G90" s="4946"/>
      <c r="H90" s="4946"/>
      <c r="I90" s="4947"/>
      <c r="J90" s="4943" t="str">
        <f t="shared" si="21"/>
        <v/>
      </c>
      <c r="K90" s="4944"/>
      <c r="L90" s="4944"/>
      <c r="M90" s="4943" t="str">
        <f t="shared" si="22"/>
        <v/>
      </c>
      <c r="N90" s="4944"/>
      <c r="O90" s="4944"/>
      <c r="P90" s="4948"/>
      <c r="Q90" s="3792" t="str">
        <f t="shared" si="23"/>
        <v/>
      </c>
      <c r="R90" s="4938"/>
      <c r="S90" s="4938"/>
      <c r="T90" s="4103"/>
      <c r="U90" s="3792" t="str">
        <f t="shared" si="24"/>
        <v/>
      </c>
      <c r="V90" s="4938"/>
      <c r="W90" s="4938"/>
      <c r="X90" s="4103"/>
      <c r="Y90" s="4921" t="str">
        <f t="shared" si="26"/>
        <v/>
      </c>
      <c r="Z90" s="3747"/>
      <c r="AA90" s="4921" t="str">
        <f t="shared" si="27"/>
        <v/>
      </c>
      <c r="AB90" s="3747"/>
      <c r="AC90" s="4919" t="str">
        <f t="shared" si="28"/>
        <v/>
      </c>
      <c r="AD90" s="4920"/>
      <c r="AE90" s="4920"/>
      <c r="AF90" s="4920"/>
      <c r="AG90" s="2837">
        <f t="shared" si="29"/>
        <v>0</v>
      </c>
      <c r="AH90" s="1804"/>
      <c r="AI90" s="1804" t="e">
        <f t="shared" si="30"/>
        <v>#VALUE!</v>
      </c>
      <c r="AJ90" s="2650"/>
      <c r="AK90" s="2654"/>
      <c r="AL90" s="2654"/>
      <c r="AM90" s="2652"/>
      <c r="AN90" s="2652"/>
      <c r="AO90" s="2653"/>
      <c r="AP90" s="2652"/>
      <c r="AQ90" s="2651"/>
      <c r="AR90" s="2826"/>
      <c r="AS90" s="2826" t="e">
        <f t="shared" si="31"/>
        <v>#VALUE!</v>
      </c>
      <c r="AT90" s="2826" t="e">
        <f t="shared" si="32"/>
        <v>#VALUE!</v>
      </c>
      <c r="AU90" s="2826" t="e">
        <f t="shared" si="33"/>
        <v>#VALUE!</v>
      </c>
      <c r="AV90" s="2826"/>
      <c r="AW90" s="2826" t="e">
        <f t="shared" si="34"/>
        <v>#VALUE!</v>
      </c>
      <c r="AX90" s="2826" t="e">
        <f t="shared" si="35"/>
        <v>#VALUE!</v>
      </c>
      <c r="AY90" s="2826" t="e">
        <f t="shared" si="36"/>
        <v>#VALUE!</v>
      </c>
      <c r="AZ90" s="2826"/>
      <c r="BA90" s="2826" t="e">
        <f t="shared" si="37"/>
        <v>#VALUE!</v>
      </c>
      <c r="BB90" s="2826" t="e">
        <f t="shared" si="38"/>
        <v>#VALUE!</v>
      </c>
      <c r="BC90" s="2826" t="e">
        <f t="shared" si="39"/>
        <v>#VALUE!</v>
      </c>
    </row>
    <row r="91" spans="1:55" s="2642" customFormat="1" ht="19.5" customHeight="1">
      <c r="A91" s="1867">
        <f t="shared" si="25"/>
        <v>0</v>
      </c>
      <c r="B91" s="4945" t="str">
        <f t="shared" si="20"/>
        <v/>
      </c>
      <c r="C91" s="4946"/>
      <c r="D91" s="4946"/>
      <c r="E91" s="4946"/>
      <c r="F91" s="4946"/>
      <c r="G91" s="4946"/>
      <c r="H91" s="4946"/>
      <c r="I91" s="4947"/>
      <c r="J91" s="4943" t="str">
        <f t="shared" si="21"/>
        <v/>
      </c>
      <c r="K91" s="4944"/>
      <c r="L91" s="4944"/>
      <c r="M91" s="4943" t="str">
        <f t="shared" si="22"/>
        <v/>
      </c>
      <c r="N91" s="4944"/>
      <c r="O91" s="4944"/>
      <c r="P91" s="4948"/>
      <c r="Q91" s="3792" t="str">
        <f t="shared" si="23"/>
        <v/>
      </c>
      <c r="R91" s="4938"/>
      <c r="S91" s="4938"/>
      <c r="T91" s="4103"/>
      <c r="U91" s="3792" t="str">
        <f t="shared" si="24"/>
        <v/>
      </c>
      <c r="V91" s="4938"/>
      <c r="W91" s="4938"/>
      <c r="X91" s="4103"/>
      <c r="Y91" s="4921" t="str">
        <f t="shared" si="26"/>
        <v/>
      </c>
      <c r="Z91" s="3747"/>
      <c r="AA91" s="4921" t="str">
        <f t="shared" si="27"/>
        <v/>
      </c>
      <c r="AB91" s="3747"/>
      <c r="AC91" s="4919" t="str">
        <f t="shared" si="28"/>
        <v/>
      </c>
      <c r="AD91" s="4920"/>
      <c r="AE91" s="4920"/>
      <c r="AF91" s="4920"/>
      <c r="AG91" s="2837">
        <f t="shared" si="29"/>
        <v>0</v>
      </c>
      <c r="AH91" s="1804"/>
      <c r="AI91" s="1804" t="e">
        <f t="shared" si="30"/>
        <v>#VALUE!</v>
      </c>
      <c r="AJ91" s="2650"/>
      <c r="AK91" s="2654"/>
      <c r="AL91" s="2654"/>
      <c r="AM91" s="2652"/>
      <c r="AN91" s="2652"/>
      <c r="AO91" s="2653"/>
      <c r="AP91" s="2652"/>
      <c r="AQ91" s="2651"/>
      <c r="AR91" s="2826"/>
      <c r="AS91" s="2826" t="e">
        <f t="shared" si="31"/>
        <v>#VALUE!</v>
      </c>
      <c r="AT91" s="2826" t="e">
        <f t="shared" si="32"/>
        <v>#VALUE!</v>
      </c>
      <c r="AU91" s="2826" t="e">
        <f t="shared" si="33"/>
        <v>#VALUE!</v>
      </c>
      <c r="AV91" s="2826"/>
      <c r="AW91" s="2826" t="e">
        <f t="shared" si="34"/>
        <v>#VALUE!</v>
      </c>
      <c r="AX91" s="2826" t="e">
        <f t="shared" si="35"/>
        <v>#VALUE!</v>
      </c>
      <c r="AY91" s="2826" t="e">
        <f t="shared" si="36"/>
        <v>#VALUE!</v>
      </c>
      <c r="AZ91" s="2826"/>
      <c r="BA91" s="2826" t="e">
        <f t="shared" si="37"/>
        <v>#VALUE!</v>
      </c>
      <c r="BB91" s="2826" t="e">
        <f t="shared" si="38"/>
        <v>#VALUE!</v>
      </c>
      <c r="BC91" s="2826" t="e">
        <f t="shared" si="39"/>
        <v>#VALUE!</v>
      </c>
    </row>
    <row r="92" spans="1:55" s="2642" customFormat="1" ht="19.5" customHeight="1">
      <c r="A92" s="1867">
        <f t="shared" si="25"/>
        <v>0</v>
      </c>
      <c r="B92" s="4945" t="str">
        <f t="shared" si="20"/>
        <v/>
      </c>
      <c r="C92" s="4946"/>
      <c r="D92" s="4946"/>
      <c r="E92" s="4946"/>
      <c r="F92" s="4946"/>
      <c r="G92" s="4946"/>
      <c r="H92" s="4946"/>
      <c r="I92" s="4947"/>
      <c r="J92" s="4943" t="str">
        <f t="shared" si="21"/>
        <v/>
      </c>
      <c r="K92" s="4944"/>
      <c r="L92" s="4944"/>
      <c r="M92" s="4943" t="str">
        <f t="shared" si="22"/>
        <v/>
      </c>
      <c r="N92" s="4944"/>
      <c r="O92" s="4944"/>
      <c r="P92" s="4948"/>
      <c r="Q92" s="3792" t="str">
        <f t="shared" si="23"/>
        <v/>
      </c>
      <c r="R92" s="4938"/>
      <c r="S92" s="4938"/>
      <c r="T92" s="4103"/>
      <c r="U92" s="3792" t="str">
        <f t="shared" si="24"/>
        <v/>
      </c>
      <c r="V92" s="4938"/>
      <c r="W92" s="4938"/>
      <c r="X92" s="4103"/>
      <c r="Y92" s="4921" t="str">
        <f t="shared" si="26"/>
        <v/>
      </c>
      <c r="Z92" s="3747"/>
      <c r="AA92" s="4921" t="str">
        <f t="shared" si="27"/>
        <v/>
      </c>
      <c r="AB92" s="3747"/>
      <c r="AC92" s="4919" t="str">
        <f t="shared" si="28"/>
        <v/>
      </c>
      <c r="AD92" s="4920"/>
      <c r="AE92" s="4920"/>
      <c r="AF92" s="4920"/>
      <c r="AG92" s="2837">
        <f t="shared" si="29"/>
        <v>0</v>
      </c>
      <c r="AH92" s="1804"/>
      <c r="AI92" s="1804" t="e">
        <f t="shared" si="30"/>
        <v>#VALUE!</v>
      </c>
      <c r="AJ92" s="2650"/>
      <c r="AK92" s="2654"/>
      <c r="AL92" s="2654"/>
      <c r="AM92" s="2652"/>
      <c r="AN92" s="2652"/>
      <c r="AO92" s="2653"/>
      <c r="AP92" s="2652"/>
      <c r="AQ92" s="2651"/>
      <c r="AR92" s="2826"/>
      <c r="AS92" s="2826" t="e">
        <f t="shared" si="31"/>
        <v>#VALUE!</v>
      </c>
      <c r="AT92" s="2826" t="e">
        <f t="shared" si="32"/>
        <v>#VALUE!</v>
      </c>
      <c r="AU92" s="2826" t="e">
        <f t="shared" si="33"/>
        <v>#VALUE!</v>
      </c>
      <c r="AV92" s="2826"/>
      <c r="AW92" s="2826" t="e">
        <f t="shared" si="34"/>
        <v>#VALUE!</v>
      </c>
      <c r="AX92" s="2826" t="e">
        <f t="shared" si="35"/>
        <v>#VALUE!</v>
      </c>
      <c r="AY92" s="2826" t="e">
        <f t="shared" si="36"/>
        <v>#VALUE!</v>
      </c>
      <c r="AZ92" s="2826"/>
      <c r="BA92" s="2826" t="e">
        <f t="shared" si="37"/>
        <v>#VALUE!</v>
      </c>
      <c r="BB92" s="2826" t="e">
        <f t="shared" si="38"/>
        <v>#VALUE!</v>
      </c>
      <c r="BC92" s="2826" t="e">
        <f t="shared" si="39"/>
        <v>#VALUE!</v>
      </c>
    </row>
    <row r="93" spans="1:55" s="2642" customFormat="1" ht="19.5" customHeight="1">
      <c r="A93" s="1867">
        <f t="shared" si="25"/>
        <v>0</v>
      </c>
      <c r="B93" s="4945" t="str">
        <f t="shared" si="20"/>
        <v/>
      </c>
      <c r="C93" s="4946"/>
      <c r="D93" s="4946"/>
      <c r="E93" s="4946"/>
      <c r="F93" s="4946"/>
      <c r="G93" s="4946"/>
      <c r="H93" s="4946"/>
      <c r="I93" s="4947"/>
      <c r="J93" s="4943" t="str">
        <f t="shared" si="21"/>
        <v/>
      </c>
      <c r="K93" s="4944"/>
      <c r="L93" s="4944"/>
      <c r="M93" s="4943" t="str">
        <f t="shared" si="22"/>
        <v/>
      </c>
      <c r="N93" s="4944"/>
      <c r="O93" s="4944"/>
      <c r="P93" s="4948"/>
      <c r="Q93" s="3792" t="str">
        <f t="shared" si="23"/>
        <v/>
      </c>
      <c r="R93" s="4938"/>
      <c r="S93" s="4938"/>
      <c r="T93" s="4103"/>
      <c r="U93" s="3792" t="str">
        <f t="shared" si="24"/>
        <v/>
      </c>
      <c r="V93" s="4938"/>
      <c r="W93" s="4938"/>
      <c r="X93" s="4103"/>
      <c r="Y93" s="4921" t="str">
        <f t="shared" si="26"/>
        <v/>
      </c>
      <c r="Z93" s="3747"/>
      <c r="AA93" s="4921" t="str">
        <f t="shared" si="27"/>
        <v/>
      </c>
      <c r="AB93" s="3747"/>
      <c r="AC93" s="4919" t="str">
        <f t="shared" si="28"/>
        <v/>
      </c>
      <c r="AD93" s="4920"/>
      <c r="AE93" s="4920"/>
      <c r="AF93" s="4920"/>
      <c r="AG93" s="2837">
        <f t="shared" si="29"/>
        <v>0</v>
      </c>
      <c r="AH93" s="1804"/>
      <c r="AI93" s="1804" t="e">
        <f t="shared" si="30"/>
        <v>#VALUE!</v>
      </c>
      <c r="AJ93" s="2650"/>
      <c r="AK93" s="2654"/>
      <c r="AL93" s="2654"/>
      <c r="AM93" s="2652"/>
      <c r="AN93" s="2652"/>
      <c r="AO93" s="2653"/>
      <c r="AP93" s="2652"/>
      <c r="AQ93" s="2651"/>
      <c r="AR93" s="2826"/>
      <c r="AS93" s="2826" t="e">
        <f t="shared" si="31"/>
        <v>#VALUE!</v>
      </c>
      <c r="AT93" s="2826" t="e">
        <f t="shared" si="32"/>
        <v>#VALUE!</v>
      </c>
      <c r="AU93" s="2826" t="e">
        <f t="shared" si="33"/>
        <v>#VALUE!</v>
      </c>
      <c r="AV93" s="2826"/>
      <c r="AW93" s="2826" t="e">
        <f t="shared" si="34"/>
        <v>#VALUE!</v>
      </c>
      <c r="AX93" s="2826" t="e">
        <f t="shared" si="35"/>
        <v>#VALUE!</v>
      </c>
      <c r="AY93" s="2826" t="e">
        <f t="shared" si="36"/>
        <v>#VALUE!</v>
      </c>
      <c r="AZ93" s="2826"/>
      <c r="BA93" s="2826" t="e">
        <f t="shared" si="37"/>
        <v>#VALUE!</v>
      </c>
      <c r="BB93" s="2826" t="e">
        <f t="shared" si="38"/>
        <v>#VALUE!</v>
      </c>
      <c r="BC93" s="2826" t="e">
        <f t="shared" si="39"/>
        <v>#VALUE!</v>
      </c>
    </row>
    <row r="94" spans="1:55" s="2642" customFormat="1" ht="19.5" customHeight="1">
      <c r="A94" s="1867">
        <f t="shared" si="25"/>
        <v>0</v>
      </c>
      <c r="B94" s="4945" t="str">
        <f t="shared" si="20"/>
        <v/>
      </c>
      <c r="C94" s="4946"/>
      <c r="D94" s="4946"/>
      <c r="E94" s="4946"/>
      <c r="F94" s="4946"/>
      <c r="G94" s="4946"/>
      <c r="H94" s="4946"/>
      <c r="I94" s="4947"/>
      <c r="J94" s="4943" t="str">
        <f t="shared" si="21"/>
        <v/>
      </c>
      <c r="K94" s="4944"/>
      <c r="L94" s="4944"/>
      <c r="M94" s="4943" t="str">
        <f t="shared" si="22"/>
        <v/>
      </c>
      <c r="N94" s="4944"/>
      <c r="O94" s="4944"/>
      <c r="P94" s="4948"/>
      <c r="Q94" s="3792" t="str">
        <f t="shared" si="23"/>
        <v/>
      </c>
      <c r="R94" s="4938"/>
      <c r="S94" s="4938"/>
      <c r="T94" s="4103"/>
      <c r="U94" s="3792" t="str">
        <f t="shared" si="24"/>
        <v/>
      </c>
      <c r="V94" s="4938"/>
      <c r="W94" s="4938"/>
      <c r="X94" s="4103"/>
      <c r="Y94" s="4921" t="str">
        <f t="shared" si="26"/>
        <v/>
      </c>
      <c r="Z94" s="3747"/>
      <c r="AA94" s="4921" t="str">
        <f t="shared" si="27"/>
        <v/>
      </c>
      <c r="AB94" s="3747"/>
      <c r="AC94" s="4919" t="str">
        <f t="shared" si="28"/>
        <v/>
      </c>
      <c r="AD94" s="4920"/>
      <c r="AE94" s="4920"/>
      <c r="AF94" s="4920"/>
      <c r="AG94" s="2837">
        <f t="shared" si="29"/>
        <v>0</v>
      </c>
      <c r="AH94" s="1804"/>
      <c r="AI94" s="1804" t="e">
        <f t="shared" si="30"/>
        <v>#VALUE!</v>
      </c>
      <c r="AJ94" s="2650"/>
      <c r="AK94" s="2654"/>
      <c r="AL94" s="2654"/>
      <c r="AM94" s="2652"/>
      <c r="AN94" s="2652"/>
      <c r="AO94" s="2653"/>
      <c r="AP94" s="2652"/>
      <c r="AQ94" s="2651"/>
      <c r="AR94" s="2826"/>
      <c r="AS94" s="2826" t="e">
        <f t="shared" si="31"/>
        <v>#VALUE!</v>
      </c>
      <c r="AT94" s="2826" t="e">
        <f t="shared" si="32"/>
        <v>#VALUE!</v>
      </c>
      <c r="AU94" s="2826" t="e">
        <f t="shared" si="33"/>
        <v>#VALUE!</v>
      </c>
      <c r="AV94" s="2826"/>
      <c r="AW94" s="2826" t="e">
        <f t="shared" si="34"/>
        <v>#VALUE!</v>
      </c>
      <c r="AX94" s="2826" t="e">
        <f t="shared" si="35"/>
        <v>#VALUE!</v>
      </c>
      <c r="AY94" s="2826" t="e">
        <f t="shared" si="36"/>
        <v>#VALUE!</v>
      </c>
      <c r="AZ94" s="2826"/>
      <c r="BA94" s="2826" t="e">
        <f t="shared" si="37"/>
        <v>#VALUE!</v>
      </c>
      <c r="BB94" s="2826" t="e">
        <f t="shared" si="38"/>
        <v>#VALUE!</v>
      </c>
      <c r="BC94" s="2826" t="e">
        <f t="shared" si="39"/>
        <v>#VALUE!</v>
      </c>
    </row>
    <row r="95" spans="1:55" s="2642" customFormat="1" ht="19.5" customHeight="1">
      <c r="A95" s="1867">
        <f t="shared" si="25"/>
        <v>0</v>
      </c>
      <c r="B95" s="4945" t="str">
        <f t="shared" si="20"/>
        <v/>
      </c>
      <c r="C95" s="4946"/>
      <c r="D95" s="4946"/>
      <c r="E95" s="4946"/>
      <c r="F95" s="4946"/>
      <c r="G95" s="4946"/>
      <c r="H95" s="4946"/>
      <c r="I95" s="4947"/>
      <c r="J95" s="4943" t="str">
        <f t="shared" si="21"/>
        <v/>
      </c>
      <c r="K95" s="4944"/>
      <c r="L95" s="4944"/>
      <c r="M95" s="4943" t="str">
        <f t="shared" si="22"/>
        <v/>
      </c>
      <c r="N95" s="4944"/>
      <c r="O95" s="4944"/>
      <c r="P95" s="4948"/>
      <c r="Q95" s="3792" t="str">
        <f t="shared" si="23"/>
        <v/>
      </c>
      <c r="R95" s="4938"/>
      <c r="S95" s="4938"/>
      <c r="T95" s="4103"/>
      <c r="U95" s="3792" t="str">
        <f t="shared" si="24"/>
        <v/>
      </c>
      <c r="V95" s="4938"/>
      <c r="W95" s="4938"/>
      <c r="X95" s="4103"/>
      <c r="Y95" s="4921" t="str">
        <f t="shared" si="26"/>
        <v/>
      </c>
      <c r="Z95" s="3747"/>
      <c r="AA95" s="4921" t="str">
        <f t="shared" si="27"/>
        <v/>
      </c>
      <c r="AB95" s="3747"/>
      <c r="AC95" s="4919" t="str">
        <f t="shared" si="28"/>
        <v/>
      </c>
      <c r="AD95" s="4920"/>
      <c r="AE95" s="4920"/>
      <c r="AF95" s="4920"/>
      <c r="AG95" s="2837">
        <f t="shared" si="29"/>
        <v>0</v>
      </c>
      <c r="AH95" s="1804"/>
      <c r="AI95" s="1804" t="e">
        <f t="shared" si="30"/>
        <v>#VALUE!</v>
      </c>
      <c r="AJ95" s="2650"/>
      <c r="AK95" s="2654"/>
      <c r="AL95" s="2654"/>
      <c r="AM95" s="2652"/>
      <c r="AN95" s="2652"/>
      <c r="AO95" s="2653"/>
      <c r="AP95" s="2652"/>
      <c r="AQ95" s="2651"/>
      <c r="AR95" s="2826"/>
      <c r="AS95" s="2826" t="e">
        <f t="shared" si="31"/>
        <v>#VALUE!</v>
      </c>
      <c r="AT95" s="2826" t="e">
        <f t="shared" si="32"/>
        <v>#VALUE!</v>
      </c>
      <c r="AU95" s="2826" t="e">
        <f t="shared" si="33"/>
        <v>#VALUE!</v>
      </c>
      <c r="AV95" s="2826"/>
      <c r="AW95" s="2826" t="e">
        <f t="shared" si="34"/>
        <v>#VALUE!</v>
      </c>
      <c r="AX95" s="2826" t="e">
        <f t="shared" si="35"/>
        <v>#VALUE!</v>
      </c>
      <c r="AY95" s="2826" t="e">
        <f t="shared" si="36"/>
        <v>#VALUE!</v>
      </c>
      <c r="AZ95" s="2826"/>
      <c r="BA95" s="2826" t="e">
        <f t="shared" si="37"/>
        <v>#VALUE!</v>
      </c>
      <c r="BB95" s="2826" t="e">
        <f t="shared" si="38"/>
        <v>#VALUE!</v>
      </c>
      <c r="BC95" s="2826" t="e">
        <f t="shared" si="39"/>
        <v>#VALUE!</v>
      </c>
    </row>
    <row r="96" spans="1:55" s="2642" customFormat="1" ht="19.5" customHeight="1">
      <c r="A96" s="1867">
        <f t="shared" si="25"/>
        <v>0</v>
      </c>
      <c r="B96" s="4945" t="str">
        <f t="shared" si="20"/>
        <v/>
      </c>
      <c r="C96" s="4946"/>
      <c r="D96" s="4946"/>
      <c r="E96" s="4946"/>
      <c r="F96" s="4946"/>
      <c r="G96" s="4946"/>
      <c r="H96" s="4946"/>
      <c r="I96" s="4947"/>
      <c r="J96" s="4943" t="str">
        <f t="shared" si="21"/>
        <v/>
      </c>
      <c r="K96" s="4944"/>
      <c r="L96" s="4944"/>
      <c r="M96" s="4943" t="str">
        <f t="shared" si="22"/>
        <v/>
      </c>
      <c r="N96" s="4944"/>
      <c r="O96" s="4944"/>
      <c r="P96" s="4948"/>
      <c r="Q96" s="3792" t="str">
        <f t="shared" si="23"/>
        <v/>
      </c>
      <c r="R96" s="4938"/>
      <c r="S96" s="4938"/>
      <c r="T96" s="4103"/>
      <c r="U96" s="3792" t="str">
        <f t="shared" si="24"/>
        <v/>
      </c>
      <c r="V96" s="4938"/>
      <c r="W96" s="4938"/>
      <c r="X96" s="4103"/>
      <c r="Y96" s="4921" t="str">
        <f t="shared" si="26"/>
        <v/>
      </c>
      <c r="Z96" s="3747"/>
      <c r="AA96" s="4921" t="str">
        <f t="shared" si="27"/>
        <v/>
      </c>
      <c r="AB96" s="3747"/>
      <c r="AC96" s="4919" t="str">
        <f t="shared" si="28"/>
        <v/>
      </c>
      <c r="AD96" s="4920"/>
      <c r="AE96" s="4920"/>
      <c r="AF96" s="4920"/>
      <c r="AG96" s="2837">
        <f t="shared" si="29"/>
        <v>0</v>
      </c>
      <c r="AH96" s="1804"/>
      <c r="AI96" s="1804" t="e">
        <f t="shared" si="30"/>
        <v>#VALUE!</v>
      </c>
      <c r="AJ96" s="2650"/>
      <c r="AK96" s="2654"/>
      <c r="AL96" s="2654"/>
      <c r="AM96" s="2652"/>
      <c r="AN96" s="2652"/>
      <c r="AO96" s="2653"/>
      <c r="AP96" s="2652"/>
      <c r="AQ96" s="2651"/>
      <c r="AR96" s="2826"/>
      <c r="AS96" s="2826" t="e">
        <f t="shared" si="31"/>
        <v>#VALUE!</v>
      </c>
      <c r="AT96" s="2826" t="e">
        <f t="shared" si="32"/>
        <v>#VALUE!</v>
      </c>
      <c r="AU96" s="2826" t="e">
        <f t="shared" si="33"/>
        <v>#VALUE!</v>
      </c>
      <c r="AV96" s="2826"/>
      <c r="AW96" s="2826" t="e">
        <f t="shared" si="34"/>
        <v>#VALUE!</v>
      </c>
      <c r="AX96" s="2826" t="e">
        <f t="shared" si="35"/>
        <v>#VALUE!</v>
      </c>
      <c r="AY96" s="2826" t="e">
        <f t="shared" si="36"/>
        <v>#VALUE!</v>
      </c>
      <c r="AZ96" s="2826"/>
      <c r="BA96" s="2826" t="e">
        <f t="shared" si="37"/>
        <v>#VALUE!</v>
      </c>
      <c r="BB96" s="2826" t="e">
        <f t="shared" si="38"/>
        <v>#VALUE!</v>
      </c>
      <c r="BC96" s="2826" t="e">
        <f t="shared" si="39"/>
        <v>#VALUE!</v>
      </c>
    </row>
    <row r="97" spans="1:55" s="2642" customFormat="1" ht="19.5" customHeight="1">
      <c r="A97" s="1867">
        <f t="shared" si="25"/>
        <v>0</v>
      </c>
      <c r="B97" s="4945" t="str">
        <f t="shared" si="20"/>
        <v/>
      </c>
      <c r="C97" s="4946"/>
      <c r="D97" s="4946"/>
      <c r="E97" s="4946"/>
      <c r="F97" s="4946"/>
      <c r="G97" s="4946"/>
      <c r="H97" s="4946"/>
      <c r="I97" s="4947"/>
      <c r="J97" s="4943" t="str">
        <f t="shared" si="21"/>
        <v/>
      </c>
      <c r="K97" s="4944"/>
      <c r="L97" s="4944"/>
      <c r="M97" s="4943" t="str">
        <f t="shared" si="22"/>
        <v/>
      </c>
      <c r="N97" s="4944"/>
      <c r="O97" s="4944"/>
      <c r="P97" s="4948"/>
      <c r="Q97" s="3792" t="str">
        <f t="shared" si="23"/>
        <v/>
      </c>
      <c r="R97" s="4938"/>
      <c r="S97" s="4938"/>
      <c r="T97" s="4103"/>
      <c r="U97" s="3792" t="str">
        <f t="shared" si="24"/>
        <v/>
      </c>
      <c r="V97" s="4938"/>
      <c r="W97" s="4938"/>
      <c r="X97" s="4103"/>
      <c r="Y97" s="4921" t="str">
        <f t="shared" si="26"/>
        <v/>
      </c>
      <c r="Z97" s="3747"/>
      <c r="AA97" s="4921" t="str">
        <f t="shared" si="27"/>
        <v/>
      </c>
      <c r="AB97" s="3747"/>
      <c r="AC97" s="4919" t="str">
        <f t="shared" si="28"/>
        <v/>
      </c>
      <c r="AD97" s="4920"/>
      <c r="AE97" s="4920"/>
      <c r="AF97" s="4920"/>
      <c r="AG97" s="2837">
        <f t="shared" si="29"/>
        <v>0</v>
      </c>
      <c r="AH97" s="1804"/>
      <c r="AI97" s="1804" t="e">
        <f t="shared" si="30"/>
        <v>#VALUE!</v>
      </c>
      <c r="AJ97" s="2650"/>
      <c r="AK97" s="2654"/>
      <c r="AL97" s="2654"/>
      <c r="AM97" s="2652"/>
      <c r="AN97" s="2652"/>
      <c r="AO97" s="2653"/>
      <c r="AP97" s="2652"/>
      <c r="AQ97" s="2651"/>
      <c r="AR97" s="2826"/>
      <c r="AS97" s="2826" t="e">
        <f t="shared" si="31"/>
        <v>#VALUE!</v>
      </c>
      <c r="AT97" s="2826" t="e">
        <f t="shared" si="32"/>
        <v>#VALUE!</v>
      </c>
      <c r="AU97" s="2826" t="e">
        <f t="shared" si="33"/>
        <v>#VALUE!</v>
      </c>
      <c r="AV97" s="2826"/>
      <c r="AW97" s="2826" t="e">
        <f t="shared" si="34"/>
        <v>#VALUE!</v>
      </c>
      <c r="AX97" s="2826" t="e">
        <f t="shared" si="35"/>
        <v>#VALUE!</v>
      </c>
      <c r="AY97" s="2826" t="e">
        <f t="shared" si="36"/>
        <v>#VALUE!</v>
      </c>
      <c r="AZ97" s="2826"/>
      <c r="BA97" s="2826" t="e">
        <f t="shared" si="37"/>
        <v>#VALUE!</v>
      </c>
      <c r="BB97" s="2826" t="e">
        <f t="shared" si="38"/>
        <v>#VALUE!</v>
      </c>
      <c r="BC97" s="2826" t="e">
        <f t="shared" si="39"/>
        <v>#VALUE!</v>
      </c>
    </row>
    <row r="98" spans="1:55" s="2642" customFormat="1" ht="19.5" customHeight="1">
      <c r="A98" s="1867">
        <f t="shared" si="25"/>
        <v>0</v>
      </c>
      <c r="B98" s="4945" t="str">
        <f t="shared" si="20"/>
        <v/>
      </c>
      <c r="C98" s="4946"/>
      <c r="D98" s="4946"/>
      <c r="E98" s="4946"/>
      <c r="F98" s="4946"/>
      <c r="G98" s="4946"/>
      <c r="H98" s="4946"/>
      <c r="I98" s="4947"/>
      <c r="J98" s="4943" t="str">
        <f t="shared" si="21"/>
        <v/>
      </c>
      <c r="K98" s="4944"/>
      <c r="L98" s="4944"/>
      <c r="M98" s="4943" t="str">
        <f t="shared" si="22"/>
        <v/>
      </c>
      <c r="N98" s="4944"/>
      <c r="O98" s="4944"/>
      <c r="P98" s="4948"/>
      <c r="Q98" s="3792" t="str">
        <f t="shared" si="23"/>
        <v/>
      </c>
      <c r="R98" s="4938"/>
      <c r="S98" s="4938"/>
      <c r="T98" s="4103"/>
      <c r="U98" s="3792" t="str">
        <f t="shared" si="24"/>
        <v/>
      </c>
      <c r="V98" s="4938"/>
      <c r="W98" s="4938"/>
      <c r="X98" s="4103"/>
      <c r="Y98" s="4921" t="str">
        <f t="shared" si="26"/>
        <v/>
      </c>
      <c r="Z98" s="3747"/>
      <c r="AA98" s="4921" t="str">
        <f t="shared" si="27"/>
        <v/>
      </c>
      <c r="AB98" s="3747"/>
      <c r="AC98" s="4919" t="str">
        <f t="shared" si="28"/>
        <v/>
      </c>
      <c r="AD98" s="4920"/>
      <c r="AE98" s="4920"/>
      <c r="AF98" s="4920"/>
      <c r="AG98" s="2837">
        <f t="shared" si="29"/>
        <v>0</v>
      </c>
      <c r="AH98" s="1804"/>
      <c r="AI98" s="1804" t="e">
        <f t="shared" si="30"/>
        <v>#VALUE!</v>
      </c>
      <c r="AJ98" s="2650"/>
      <c r="AK98" s="2654"/>
      <c r="AL98" s="2654"/>
      <c r="AM98" s="2652"/>
      <c r="AN98" s="2652"/>
      <c r="AO98" s="2653"/>
      <c r="AP98" s="2652"/>
      <c r="AQ98" s="2651"/>
      <c r="AR98" s="2826"/>
      <c r="AS98" s="2826" t="e">
        <f t="shared" si="31"/>
        <v>#VALUE!</v>
      </c>
      <c r="AT98" s="2826" t="e">
        <f t="shared" si="32"/>
        <v>#VALUE!</v>
      </c>
      <c r="AU98" s="2826" t="e">
        <f t="shared" si="33"/>
        <v>#VALUE!</v>
      </c>
      <c r="AV98" s="2826"/>
      <c r="AW98" s="2826" t="e">
        <f t="shared" si="34"/>
        <v>#VALUE!</v>
      </c>
      <c r="AX98" s="2826" t="e">
        <f t="shared" si="35"/>
        <v>#VALUE!</v>
      </c>
      <c r="AY98" s="2826" t="e">
        <f t="shared" si="36"/>
        <v>#VALUE!</v>
      </c>
      <c r="AZ98" s="2826"/>
      <c r="BA98" s="2826" t="e">
        <f t="shared" si="37"/>
        <v>#VALUE!</v>
      </c>
      <c r="BB98" s="2826" t="e">
        <f t="shared" si="38"/>
        <v>#VALUE!</v>
      </c>
      <c r="BC98" s="2826" t="e">
        <f t="shared" si="39"/>
        <v>#VALUE!</v>
      </c>
    </row>
    <row r="99" spans="1:55" s="2642" customFormat="1" ht="19.5" customHeight="1">
      <c r="A99" s="1867">
        <f t="shared" si="25"/>
        <v>0</v>
      </c>
      <c r="B99" s="4945" t="str">
        <f t="shared" si="20"/>
        <v/>
      </c>
      <c r="C99" s="4946"/>
      <c r="D99" s="4946"/>
      <c r="E99" s="4946"/>
      <c r="F99" s="4946"/>
      <c r="G99" s="4946"/>
      <c r="H99" s="4946"/>
      <c r="I99" s="4947"/>
      <c r="J99" s="4943" t="str">
        <f t="shared" si="21"/>
        <v/>
      </c>
      <c r="K99" s="4944"/>
      <c r="L99" s="4944"/>
      <c r="M99" s="4943" t="str">
        <f t="shared" si="22"/>
        <v/>
      </c>
      <c r="N99" s="4944"/>
      <c r="O99" s="4944"/>
      <c r="P99" s="4948"/>
      <c r="Q99" s="3792" t="str">
        <f t="shared" si="23"/>
        <v/>
      </c>
      <c r="R99" s="4938"/>
      <c r="S99" s="4938"/>
      <c r="T99" s="4103"/>
      <c r="U99" s="3792" t="str">
        <f t="shared" si="24"/>
        <v/>
      </c>
      <c r="V99" s="4938"/>
      <c r="W99" s="4938"/>
      <c r="X99" s="4103"/>
      <c r="Y99" s="4921" t="str">
        <f t="shared" si="26"/>
        <v/>
      </c>
      <c r="Z99" s="3747"/>
      <c r="AA99" s="4921" t="str">
        <f t="shared" si="27"/>
        <v/>
      </c>
      <c r="AB99" s="3747"/>
      <c r="AC99" s="4919" t="str">
        <f t="shared" si="28"/>
        <v/>
      </c>
      <c r="AD99" s="4920"/>
      <c r="AE99" s="4920"/>
      <c r="AF99" s="4920"/>
      <c r="AG99" s="2837">
        <f t="shared" si="29"/>
        <v>0</v>
      </c>
      <c r="AH99" s="1804"/>
      <c r="AI99" s="1804" t="e">
        <f t="shared" si="30"/>
        <v>#VALUE!</v>
      </c>
      <c r="AJ99" s="2650"/>
      <c r="AK99" s="2654"/>
      <c r="AL99" s="2654"/>
      <c r="AM99" s="2652"/>
      <c r="AN99" s="2652"/>
      <c r="AO99" s="2653"/>
      <c r="AP99" s="2652"/>
      <c r="AQ99" s="2651"/>
      <c r="AR99" s="2826"/>
      <c r="AS99" s="2826" t="e">
        <f t="shared" si="31"/>
        <v>#VALUE!</v>
      </c>
      <c r="AT99" s="2826" t="e">
        <f t="shared" si="32"/>
        <v>#VALUE!</v>
      </c>
      <c r="AU99" s="2826" t="e">
        <f t="shared" si="33"/>
        <v>#VALUE!</v>
      </c>
      <c r="AV99" s="2826"/>
      <c r="AW99" s="2826" t="e">
        <f t="shared" si="34"/>
        <v>#VALUE!</v>
      </c>
      <c r="AX99" s="2826" t="e">
        <f t="shared" si="35"/>
        <v>#VALUE!</v>
      </c>
      <c r="AY99" s="2826" t="e">
        <f t="shared" si="36"/>
        <v>#VALUE!</v>
      </c>
      <c r="AZ99" s="2826"/>
      <c r="BA99" s="2826" t="e">
        <f t="shared" si="37"/>
        <v>#VALUE!</v>
      </c>
      <c r="BB99" s="2826" t="e">
        <f t="shared" si="38"/>
        <v>#VALUE!</v>
      </c>
      <c r="BC99" s="2826" t="e">
        <f t="shared" si="39"/>
        <v>#VALUE!</v>
      </c>
    </row>
    <row r="100" spans="1:55" s="2642" customFormat="1" ht="19.5" customHeight="1">
      <c r="A100" s="1867">
        <f t="shared" si="25"/>
        <v>0</v>
      </c>
      <c r="B100" s="4945" t="str">
        <f t="shared" si="20"/>
        <v/>
      </c>
      <c r="C100" s="4946"/>
      <c r="D100" s="4946"/>
      <c r="E100" s="4946"/>
      <c r="F100" s="4946"/>
      <c r="G100" s="4946"/>
      <c r="H100" s="4946"/>
      <c r="I100" s="4947"/>
      <c r="J100" s="4943" t="str">
        <f t="shared" si="21"/>
        <v/>
      </c>
      <c r="K100" s="4944"/>
      <c r="L100" s="4944"/>
      <c r="M100" s="4943" t="str">
        <f t="shared" si="22"/>
        <v/>
      </c>
      <c r="N100" s="4944"/>
      <c r="O100" s="4944"/>
      <c r="P100" s="4948"/>
      <c r="Q100" s="3792" t="str">
        <f t="shared" si="23"/>
        <v/>
      </c>
      <c r="R100" s="4938"/>
      <c r="S100" s="4938"/>
      <c r="T100" s="4103"/>
      <c r="U100" s="3792" t="str">
        <f t="shared" si="24"/>
        <v/>
      </c>
      <c r="V100" s="4938"/>
      <c r="W100" s="4938"/>
      <c r="X100" s="4103"/>
      <c r="Y100" s="4921" t="str">
        <f t="shared" si="26"/>
        <v/>
      </c>
      <c r="Z100" s="3747"/>
      <c r="AA100" s="4921" t="str">
        <f t="shared" si="27"/>
        <v/>
      </c>
      <c r="AB100" s="3747"/>
      <c r="AC100" s="4919" t="str">
        <f t="shared" si="28"/>
        <v/>
      </c>
      <c r="AD100" s="4920"/>
      <c r="AE100" s="4920"/>
      <c r="AF100" s="4920"/>
      <c r="AG100" s="2837">
        <f t="shared" si="29"/>
        <v>0</v>
      </c>
      <c r="AH100" s="1804"/>
      <c r="AI100" s="1804" t="e">
        <f t="shared" si="30"/>
        <v>#VALUE!</v>
      </c>
      <c r="AJ100" s="2650"/>
      <c r="AK100" s="2654"/>
      <c r="AL100" s="2654"/>
      <c r="AM100" s="2652"/>
      <c r="AN100" s="2652"/>
      <c r="AO100" s="2653"/>
      <c r="AP100" s="2652"/>
      <c r="AQ100" s="2651"/>
      <c r="AR100" s="2826"/>
      <c r="AS100" s="2826" t="e">
        <f t="shared" si="31"/>
        <v>#VALUE!</v>
      </c>
      <c r="AT100" s="2826" t="e">
        <f t="shared" si="32"/>
        <v>#VALUE!</v>
      </c>
      <c r="AU100" s="2826" t="e">
        <f t="shared" si="33"/>
        <v>#VALUE!</v>
      </c>
      <c r="AV100" s="2826"/>
      <c r="AW100" s="2826" t="e">
        <f t="shared" si="34"/>
        <v>#VALUE!</v>
      </c>
      <c r="AX100" s="2826" t="e">
        <f t="shared" si="35"/>
        <v>#VALUE!</v>
      </c>
      <c r="AY100" s="2826" t="e">
        <f t="shared" si="36"/>
        <v>#VALUE!</v>
      </c>
      <c r="AZ100" s="2826"/>
      <c r="BA100" s="2826" t="e">
        <f t="shared" si="37"/>
        <v>#VALUE!</v>
      </c>
      <c r="BB100" s="2826" t="e">
        <f t="shared" si="38"/>
        <v>#VALUE!</v>
      </c>
      <c r="BC100" s="2826" t="e">
        <f t="shared" si="39"/>
        <v>#VALUE!</v>
      </c>
    </row>
    <row r="101" spans="1:55" s="2642" customFormat="1" ht="19.5" customHeight="1">
      <c r="A101" s="1867">
        <f t="shared" si="25"/>
        <v>0</v>
      </c>
      <c r="B101" s="4945" t="str">
        <f t="shared" si="20"/>
        <v/>
      </c>
      <c r="C101" s="4946"/>
      <c r="D101" s="4946"/>
      <c r="E101" s="4946"/>
      <c r="F101" s="4946"/>
      <c r="G101" s="4946"/>
      <c r="H101" s="4946"/>
      <c r="I101" s="4947"/>
      <c r="J101" s="4943" t="str">
        <f t="shared" si="21"/>
        <v/>
      </c>
      <c r="K101" s="4944"/>
      <c r="L101" s="4944"/>
      <c r="M101" s="4943" t="str">
        <f t="shared" si="22"/>
        <v/>
      </c>
      <c r="N101" s="4944"/>
      <c r="O101" s="4944"/>
      <c r="P101" s="4948"/>
      <c r="Q101" s="3792" t="str">
        <f t="shared" si="23"/>
        <v/>
      </c>
      <c r="R101" s="4938"/>
      <c r="S101" s="4938"/>
      <c r="T101" s="4103"/>
      <c r="U101" s="3792" t="str">
        <f t="shared" si="24"/>
        <v/>
      </c>
      <c r="V101" s="4938"/>
      <c r="W101" s="4938"/>
      <c r="X101" s="4103"/>
      <c r="Y101" s="4921" t="str">
        <f t="shared" si="26"/>
        <v/>
      </c>
      <c r="Z101" s="3747"/>
      <c r="AA101" s="4921" t="str">
        <f t="shared" si="27"/>
        <v/>
      </c>
      <c r="AB101" s="3747"/>
      <c r="AC101" s="4919" t="str">
        <f t="shared" si="28"/>
        <v/>
      </c>
      <c r="AD101" s="4920"/>
      <c r="AE101" s="4920"/>
      <c r="AF101" s="4920"/>
      <c r="AG101" s="2837">
        <f t="shared" si="29"/>
        <v>0</v>
      </c>
      <c r="AH101" s="1804"/>
      <c r="AI101" s="1804" t="e">
        <f t="shared" si="30"/>
        <v>#VALUE!</v>
      </c>
      <c r="AJ101" s="2650"/>
      <c r="AK101" s="2654"/>
      <c r="AL101" s="2654"/>
      <c r="AM101" s="2652"/>
      <c r="AN101" s="2652"/>
      <c r="AO101" s="2653"/>
      <c r="AP101" s="2652"/>
      <c r="AQ101" s="2651"/>
      <c r="AR101" s="2826"/>
      <c r="AS101" s="2826" t="e">
        <f t="shared" si="31"/>
        <v>#VALUE!</v>
      </c>
      <c r="AT101" s="2826" t="e">
        <f t="shared" si="32"/>
        <v>#VALUE!</v>
      </c>
      <c r="AU101" s="2826" t="e">
        <f t="shared" si="33"/>
        <v>#VALUE!</v>
      </c>
      <c r="AV101" s="2826"/>
      <c r="AW101" s="2826" t="e">
        <f t="shared" si="34"/>
        <v>#VALUE!</v>
      </c>
      <c r="AX101" s="2826" t="e">
        <f t="shared" si="35"/>
        <v>#VALUE!</v>
      </c>
      <c r="AY101" s="2826" t="e">
        <f t="shared" si="36"/>
        <v>#VALUE!</v>
      </c>
      <c r="AZ101" s="2826"/>
      <c r="BA101" s="2826" t="e">
        <f t="shared" si="37"/>
        <v>#VALUE!</v>
      </c>
      <c r="BB101" s="2826" t="e">
        <f t="shared" si="38"/>
        <v>#VALUE!</v>
      </c>
      <c r="BC101" s="2826" t="e">
        <f t="shared" si="39"/>
        <v>#VALUE!</v>
      </c>
    </row>
    <row r="102" spans="1:55" s="2642" customFormat="1" ht="19.5" customHeight="1">
      <c r="A102" s="1867">
        <f t="shared" si="25"/>
        <v>0</v>
      </c>
      <c r="B102" s="4945" t="str">
        <f t="shared" si="20"/>
        <v/>
      </c>
      <c r="C102" s="4946"/>
      <c r="D102" s="4946"/>
      <c r="E102" s="4946"/>
      <c r="F102" s="4946"/>
      <c r="G102" s="4946"/>
      <c r="H102" s="4946"/>
      <c r="I102" s="4947"/>
      <c r="J102" s="4943" t="str">
        <f t="shared" si="21"/>
        <v/>
      </c>
      <c r="K102" s="4944"/>
      <c r="L102" s="4944"/>
      <c r="M102" s="4943" t="str">
        <f t="shared" si="22"/>
        <v/>
      </c>
      <c r="N102" s="4944"/>
      <c r="O102" s="4944"/>
      <c r="P102" s="4948"/>
      <c r="Q102" s="3792" t="str">
        <f t="shared" si="23"/>
        <v/>
      </c>
      <c r="R102" s="4938"/>
      <c r="S102" s="4938"/>
      <c r="T102" s="4103"/>
      <c r="U102" s="3792" t="str">
        <f t="shared" si="24"/>
        <v/>
      </c>
      <c r="V102" s="4938"/>
      <c r="W102" s="4938"/>
      <c r="X102" s="4103"/>
      <c r="Y102" s="4921" t="str">
        <f t="shared" si="26"/>
        <v/>
      </c>
      <c r="Z102" s="3747"/>
      <c r="AA102" s="4921" t="str">
        <f t="shared" si="27"/>
        <v/>
      </c>
      <c r="AB102" s="3747"/>
      <c r="AC102" s="4919" t="str">
        <f t="shared" si="28"/>
        <v/>
      </c>
      <c r="AD102" s="4920"/>
      <c r="AE102" s="4920"/>
      <c r="AF102" s="4920"/>
      <c r="AG102" s="2837">
        <f t="shared" si="29"/>
        <v>0</v>
      </c>
      <c r="AH102" s="1804"/>
      <c r="AI102" s="1804" t="e">
        <f t="shared" si="30"/>
        <v>#VALUE!</v>
      </c>
      <c r="AJ102" s="2650"/>
      <c r="AK102" s="2654"/>
      <c r="AL102" s="2654"/>
      <c r="AM102" s="2652"/>
      <c r="AN102" s="2652"/>
      <c r="AO102" s="2653"/>
      <c r="AP102" s="2652"/>
      <c r="AQ102" s="2651"/>
      <c r="AR102" s="2826"/>
      <c r="AS102" s="2826" t="e">
        <f t="shared" si="31"/>
        <v>#VALUE!</v>
      </c>
      <c r="AT102" s="2826" t="e">
        <f t="shared" si="32"/>
        <v>#VALUE!</v>
      </c>
      <c r="AU102" s="2826" t="e">
        <f t="shared" si="33"/>
        <v>#VALUE!</v>
      </c>
      <c r="AV102" s="2826"/>
      <c r="AW102" s="2826" t="e">
        <f t="shared" si="34"/>
        <v>#VALUE!</v>
      </c>
      <c r="AX102" s="2826" t="e">
        <f t="shared" si="35"/>
        <v>#VALUE!</v>
      </c>
      <c r="AY102" s="2826" t="e">
        <f t="shared" si="36"/>
        <v>#VALUE!</v>
      </c>
      <c r="AZ102" s="2826"/>
      <c r="BA102" s="2826" t="e">
        <f t="shared" si="37"/>
        <v>#VALUE!</v>
      </c>
      <c r="BB102" s="2826" t="e">
        <f t="shared" si="38"/>
        <v>#VALUE!</v>
      </c>
      <c r="BC102" s="2826" t="e">
        <f t="shared" si="39"/>
        <v>#VALUE!</v>
      </c>
    </row>
    <row r="103" spans="1:55" s="2642" customFormat="1" ht="19.5" customHeight="1">
      <c r="A103" s="1867">
        <f t="shared" si="25"/>
        <v>0</v>
      </c>
      <c r="B103" s="4945" t="str">
        <f t="shared" si="20"/>
        <v/>
      </c>
      <c r="C103" s="4946"/>
      <c r="D103" s="4946"/>
      <c r="E103" s="4946"/>
      <c r="F103" s="4946"/>
      <c r="G103" s="4946"/>
      <c r="H103" s="4946"/>
      <c r="I103" s="4947"/>
      <c r="J103" s="4943" t="str">
        <f t="shared" si="21"/>
        <v/>
      </c>
      <c r="K103" s="4944"/>
      <c r="L103" s="4944"/>
      <c r="M103" s="4943" t="str">
        <f t="shared" si="22"/>
        <v/>
      </c>
      <c r="N103" s="4944"/>
      <c r="O103" s="4944"/>
      <c r="P103" s="4948"/>
      <c r="Q103" s="3792" t="str">
        <f t="shared" si="23"/>
        <v/>
      </c>
      <c r="R103" s="4938"/>
      <c r="S103" s="4938"/>
      <c r="T103" s="4103"/>
      <c r="U103" s="3792" t="str">
        <f t="shared" si="24"/>
        <v/>
      </c>
      <c r="V103" s="4938"/>
      <c r="W103" s="4938"/>
      <c r="X103" s="4103"/>
      <c r="Y103" s="4921" t="str">
        <f t="shared" si="26"/>
        <v/>
      </c>
      <c r="Z103" s="3747"/>
      <c r="AA103" s="4921" t="str">
        <f t="shared" si="27"/>
        <v/>
      </c>
      <c r="AB103" s="3747"/>
      <c r="AC103" s="4919" t="str">
        <f t="shared" si="28"/>
        <v/>
      </c>
      <c r="AD103" s="4920"/>
      <c r="AE103" s="4920"/>
      <c r="AF103" s="4920"/>
      <c r="AG103" s="2837">
        <f t="shared" si="29"/>
        <v>0</v>
      </c>
      <c r="AH103" s="1804"/>
      <c r="AI103" s="1804" t="e">
        <f t="shared" si="30"/>
        <v>#VALUE!</v>
      </c>
      <c r="AJ103" s="2650"/>
      <c r="AK103" s="2654"/>
      <c r="AL103" s="2654"/>
      <c r="AM103" s="2652"/>
      <c r="AN103" s="2652"/>
      <c r="AO103" s="2653"/>
      <c r="AP103" s="2652"/>
      <c r="AQ103" s="2651"/>
      <c r="AR103" s="2826"/>
      <c r="AS103" s="2826" t="e">
        <f t="shared" si="31"/>
        <v>#VALUE!</v>
      </c>
      <c r="AT103" s="2826" t="e">
        <f t="shared" si="32"/>
        <v>#VALUE!</v>
      </c>
      <c r="AU103" s="2826" t="e">
        <f t="shared" si="33"/>
        <v>#VALUE!</v>
      </c>
      <c r="AV103" s="2826"/>
      <c r="AW103" s="2826" t="e">
        <f t="shared" si="34"/>
        <v>#VALUE!</v>
      </c>
      <c r="AX103" s="2826" t="e">
        <f t="shared" si="35"/>
        <v>#VALUE!</v>
      </c>
      <c r="AY103" s="2826" t="e">
        <f t="shared" si="36"/>
        <v>#VALUE!</v>
      </c>
      <c r="AZ103" s="2826"/>
      <c r="BA103" s="2826" t="e">
        <f t="shared" si="37"/>
        <v>#VALUE!</v>
      </c>
      <c r="BB103" s="2826" t="e">
        <f t="shared" si="38"/>
        <v>#VALUE!</v>
      </c>
      <c r="BC103" s="2826" t="e">
        <f t="shared" si="39"/>
        <v>#VALUE!</v>
      </c>
    </row>
    <row r="104" spans="1:55" s="2642" customFormat="1" ht="19.5" customHeight="1">
      <c r="A104" s="1867">
        <f t="shared" si="25"/>
        <v>0</v>
      </c>
      <c r="B104" s="4945" t="str">
        <f t="shared" si="20"/>
        <v/>
      </c>
      <c r="C104" s="4946"/>
      <c r="D104" s="4946"/>
      <c r="E104" s="4946"/>
      <c r="F104" s="4946"/>
      <c r="G104" s="4946"/>
      <c r="H104" s="4946"/>
      <c r="I104" s="4947"/>
      <c r="J104" s="4943" t="str">
        <f t="shared" si="21"/>
        <v/>
      </c>
      <c r="K104" s="4944"/>
      <c r="L104" s="4944"/>
      <c r="M104" s="4943" t="str">
        <f t="shared" si="22"/>
        <v/>
      </c>
      <c r="N104" s="4944"/>
      <c r="O104" s="4944"/>
      <c r="P104" s="4948"/>
      <c r="Q104" s="3792" t="str">
        <f t="shared" si="23"/>
        <v/>
      </c>
      <c r="R104" s="4938"/>
      <c r="S104" s="4938"/>
      <c r="T104" s="4103"/>
      <c r="U104" s="3792" t="str">
        <f t="shared" si="24"/>
        <v/>
      </c>
      <c r="V104" s="4938"/>
      <c r="W104" s="4938"/>
      <c r="X104" s="4103"/>
      <c r="Y104" s="4921" t="str">
        <f t="shared" si="26"/>
        <v/>
      </c>
      <c r="Z104" s="3747"/>
      <c r="AA104" s="4921" t="str">
        <f t="shared" si="27"/>
        <v/>
      </c>
      <c r="AB104" s="3747"/>
      <c r="AC104" s="4919" t="str">
        <f t="shared" si="28"/>
        <v/>
      </c>
      <c r="AD104" s="4920"/>
      <c r="AE104" s="4920"/>
      <c r="AF104" s="4920"/>
      <c r="AG104" s="2837">
        <f t="shared" si="29"/>
        <v>0</v>
      </c>
      <c r="AH104" s="1804"/>
      <c r="AI104" s="1804" t="e">
        <f t="shared" si="30"/>
        <v>#VALUE!</v>
      </c>
      <c r="AJ104" s="2650"/>
      <c r="AK104" s="2654"/>
      <c r="AL104" s="2654"/>
      <c r="AM104" s="2652"/>
      <c r="AN104" s="2652"/>
      <c r="AO104" s="2653"/>
      <c r="AP104" s="2652"/>
      <c r="AQ104" s="2651"/>
      <c r="AR104" s="2826"/>
      <c r="AS104" s="2826" t="e">
        <f t="shared" si="31"/>
        <v>#VALUE!</v>
      </c>
      <c r="AT104" s="2826" t="e">
        <f t="shared" si="32"/>
        <v>#VALUE!</v>
      </c>
      <c r="AU104" s="2826" t="e">
        <f t="shared" si="33"/>
        <v>#VALUE!</v>
      </c>
      <c r="AV104" s="2826"/>
      <c r="AW104" s="2826" t="e">
        <f t="shared" si="34"/>
        <v>#VALUE!</v>
      </c>
      <c r="AX104" s="2826" t="e">
        <f t="shared" si="35"/>
        <v>#VALUE!</v>
      </c>
      <c r="AY104" s="2826" t="e">
        <f t="shared" si="36"/>
        <v>#VALUE!</v>
      </c>
      <c r="AZ104" s="2826"/>
      <c r="BA104" s="2826" t="e">
        <f t="shared" si="37"/>
        <v>#VALUE!</v>
      </c>
      <c r="BB104" s="2826" t="e">
        <f t="shared" si="38"/>
        <v>#VALUE!</v>
      </c>
      <c r="BC104" s="2826" t="e">
        <f t="shared" si="39"/>
        <v>#VALUE!</v>
      </c>
    </row>
    <row r="105" spans="1:55" s="2642" customFormat="1" ht="19.5" customHeight="1">
      <c r="A105" s="1867">
        <f t="shared" si="25"/>
        <v>0</v>
      </c>
      <c r="B105" s="4945" t="str">
        <f t="shared" si="20"/>
        <v/>
      </c>
      <c r="C105" s="4946"/>
      <c r="D105" s="4946"/>
      <c r="E105" s="4946"/>
      <c r="F105" s="4946"/>
      <c r="G105" s="4946"/>
      <c r="H105" s="4946"/>
      <c r="I105" s="4947"/>
      <c r="J105" s="4943" t="str">
        <f t="shared" si="21"/>
        <v/>
      </c>
      <c r="K105" s="4944"/>
      <c r="L105" s="4944"/>
      <c r="M105" s="4943" t="str">
        <f t="shared" si="22"/>
        <v/>
      </c>
      <c r="N105" s="4944"/>
      <c r="O105" s="4944"/>
      <c r="P105" s="4948"/>
      <c r="Q105" s="3792" t="str">
        <f t="shared" si="23"/>
        <v/>
      </c>
      <c r="R105" s="4938"/>
      <c r="S105" s="4938"/>
      <c r="T105" s="4103"/>
      <c r="U105" s="3792" t="str">
        <f t="shared" si="24"/>
        <v/>
      </c>
      <c r="V105" s="4938"/>
      <c r="W105" s="4938"/>
      <c r="X105" s="4103"/>
      <c r="Y105" s="4921" t="str">
        <f t="shared" si="26"/>
        <v/>
      </c>
      <c r="Z105" s="3747"/>
      <c r="AA105" s="4921" t="str">
        <f t="shared" si="27"/>
        <v/>
      </c>
      <c r="AB105" s="3747"/>
      <c r="AC105" s="4919" t="str">
        <f t="shared" si="28"/>
        <v/>
      </c>
      <c r="AD105" s="4920"/>
      <c r="AE105" s="4920"/>
      <c r="AF105" s="4920"/>
      <c r="AG105" s="2837">
        <f t="shared" si="29"/>
        <v>0</v>
      </c>
      <c r="AH105" s="1804"/>
      <c r="AI105" s="1804" t="e">
        <f t="shared" si="30"/>
        <v>#VALUE!</v>
      </c>
      <c r="AJ105" s="2650"/>
      <c r="AK105" s="2654"/>
      <c r="AL105" s="2654"/>
      <c r="AM105" s="2652"/>
      <c r="AN105" s="2652"/>
      <c r="AO105" s="2653"/>
      <c r="AP105" s="2652"/>
      <c r="AQ105" s="2651"/>
      <c r="AR105" s="2826"/>
      <c r="AS105" s="2826" t="e">
        <f t="shared" si="31"/>
        <v>#VALUE!</v>
      </c>
      <c r="AT105" s="2826" t="e">
        <f t="shared" si="32"/>
        <v>#VALUE!</v>
      </c>
      <c r="AU105" s="2826" t="e">
        <f t="shared" si="33"/>
        <v>#VALUE!</v>
      </c>
      <c r="AV105" s="2826"/>
      <c r="AW105" s="2826" t="e">
        <f t="shared" si="34"/>
        <v>#VALUE!</v>
      </c>
      <c r="AX105" s="2826" t="e">
        <f t="shared" si="35"/>
        <v>#VALUE!</v>
      </c>
      <c r="AY105" s="2826" t="e">
        <f t="shared" si="36"/>
        <v>#VALUE!</v>
      </c>
      <c r="AZ105" s="2826"/>
      <c r="BA105" s="2826" t="e">
        <f t="shared" si="37"/>
        <v>#VALUE!</v>
      </c>
      <c r="BB105" s="2826" t="e">
        <f t="shared" si="38"/>
        <v>#VALUE!</v>
      </c>
      <c r="BC105" s="2826" t="e">
        <f t="shared" si="39"/>
        <v>#VALUE!</v>
      </c>
    </row>
    <row r="106" spans="1:55" s="2642" customFormat="1" ht="19.5" customHeight="1">
      <c r="A106" s="1867">
        <f t="shared" si="25"/>
        <v>0</v>
      </c>
      <c r="B106" s="4945" t="str">
        <f t="shared" si="20"/>
        <v/>
      </c>
      <c r="C106" s="4946"/>
      <c r="D106" s="4946"/>
      <c r="E106" s="4946"/>
      <c r="F106" s="4946"/>
      <c r="G106" s="4946"/>
      <c r="H106" s="4946"/>
      <c r="I106" s="4947"/>
      <c r="J106" s="4943" t="str">
        <f t="shared" si="21"/>
        <v/>
      </c>
      <c r="K106" s="4944"/>
      <c r="L106" s="4944"/>
      <c r="M106" s="4943" t="str">
        <f t="shared" si="22"/>
        <v/>
      </c>
      <c r="N106" s="4944"/>
      <c r="O106" s="4944"/>
      <c r="P106" s="4948"/>
      <c r="Q106" s="3792" t="str">
        <f t="shared" si="23"/>
        <v/>
      </c>
      <c r="R106" s="4938"/>
      <c r="S106" s="4938"/>
      <c r="T106" s="4103"/>
      <c r="U106" s="3792" t="str">
        <f t="shared" si="24"/>
        <v/>
      </c>
      <c r="V106" s="4938"/>
      <c r="W106" s="4938"/>
      <c r="X106" s="4103"/>
      <c r="Y106" s="4921" t="str">
        <f t="shared" si="26"/>
        <v/>
      </c>
      <c r="Z106" s="3747"/>
      <c r="AA106" s="4921" t="str">
        <f t="shared" si="27"/>
        <v/>
      </c>
      <c r="AB106" s="3747"/>
      <c r="AC106" s="4919" t="str">
        <f t="shared" si="28"/>
        <v/>
      </c>
      <c r="AD106" s="4920"/>
      <c r="AE106" s="4920"/>
      <c r="AF106" s="4920"/>
      <c r="AG106" s="2837">
        <f t="shared" si="29"/>
        <v>0</v>
      </c>
      <c r="AH106" s="1804"/>
      <c r="AI106" s="1804" t="e">
        <f t="shared" si="30"/>
        <v>#VALUE!</v>
      </c>
      <c r="AJ106" s="2650"/>
      <c r="AK106" s="2654"/>
      <c r="AL106" s="2654"/>
      <c r="AM106" s="2652"/>
      <c r="AN106" s="2652"/>
      <c r="AO106" s="2653"/>
      <c r="AP106" s="2652"/>
      <c r="AQ106" s="2651"/>
      <c r="AR106" s="2826"/>
      <c r="AS106" s="2826" t="e">
        <f t="shared" si="31"/>
        <v>#VALUE!</v>
      </c>
      <c r="AT106" s="2826" t="e">
        <f t="shared" si="32"/>
        <v>#VALUE!</v>
      </c>
      <c r="AU106" s="2826" t="e">
        <f t="shared" si="33"/>
        <v>#VALUE!</v>
      </c>
      <c r="AV106" s="2826"/>
      <c r="AW106" s="2826" t="e">
        <f t="shared" si="34"/>
        <v>#VALUE!</v>
      </c>
      <c r="AX106" s="2826" t="e">
        <f t="shared" si="35"/>
        <v>#VALUE!</v>
      </c>
      <c r="AY106" s="2826" t="e">
        <f t="shared" si="36"/>
        <v>#VALUE!</v>
      </c>
      <c r="AZ106" s="2826"/>
      <c r="BA106" s="2826" t="e">
        <f t="shared" si="37"/>
        <v>#VALUE!</v>
      </c>
      <c r="BB106" s="2826" t="e">
        <f t="shared" si="38"/>
        <v>#VALUE!</v>
      </c>
      <c r="BC106" s="2826" t="e">
        <f t="shared" si="39"/>
        <v>#VALUE!</v>
      </c>
    </row>
    <row r="107" spans="1:55" s="2642" customFormat="1" ht="19.5" customHeight="1">
      <c r="A107" s="1867">
        <f t="shared" si="25"/>
        <v>0</v>
      </c>
      <c r="B107" s="4945" t="str">
        <f t="shared" si="20"/>
        <v/>
      </c>
      <c r="C107" s="4946"/>
      <c r="D107" s="4946"/>
      <c r="E107" s="4946"/>
      <c r="F107" s="4946"/>
      <c r="G107" s="4946"/>
      <c r="H107" s="4946"/>
      <c r="I107" s="4947"/>
      <c r="J107" s="4943" t="str">
        <f t="shared" si="21"/>
        <v/>
      </c>
      <c r="K107" s="4944"/>
      <c r="L107" s="4944"/>
      <c r="M107" s="4943" t="str">
        <f t="shared" si="22"/>
        <v/>
      </c>
      <c r="N107" s="4944"/>
      <c r="O107" s="4944"/>
      <c r="P107" s="4948"/>
      <c r="Q107" s="3792" t="str">
        <f t="shared" si="23"/>
        <v/>
      </c>
      <c r="R107" s="4938"/>
      <c r="S107" s="4938"/>
      <c r="T107" s="4103"/>
      <c r="U107" s="3792" t="str">
        <f t="shared" si="24"/>
        <v/>
      </c>
      <c r="V107" s="4938"/>
      <c r="W107" s="4938"/>
      <c r="X107" s="4103"/>
      <c r="Y107" s="4921" t="str">
        <f t="shared" si="26"/>
        <v/>
      </c>
      <c r="Z107" s="3747"/>
      <c r="AA107" s="4921" t="str">
        <f t="shared" si="27"/>
        <v/>
      </c>
      <c r="AB107" s="3747"/>
      <c r="AC107" s="4919" t="str">
        <f t="shared" si="28"/>
        <v/>
      </c>
      <c r="AD107" s="4920"/>
      <c r="AE107" s="4920"/>
      <c r="AF107" s="4920"/>
      <c r="AG107" s="2837">
        <f t="shared" si="29"/>
        <v>0</v>
      </c>
      <c r="AH107" s="1804"/>
      <c r="AI107" s="1804" t="e">
        <f t="shared" si="30"/>
        <v>#VALUE!</v>
      </c>
      <c r="AJ107" s="2650"/>
      <c r="AK107" s="2654"/>
      <c r="AL107" s="2654"/>
      <c r="AM107" s="2652"/>
      <c r="AN107" s="2652"/>
      <c r="AO107" s="2653"/>
      <c r="AP107" s="2652"/>
      <c r="AQ107" s="2651"/>
      <c r="AR107" s="2826"/>
      <c r="AS107" s="2826" t="e">
        <f t="shared" si="31"/>
        <v>#VALUE!</v>
      </c>
      <c r="AT107" s="2826" t="e">
        <f t="shared" si="32"/>
        <v>#VALUE!</v>
      </c>
      <c r="AU107" s="2826" t="e">
        <f t="shared" si="33"/>
        <v>#VALUE!</v>
      </c>
      <c r="AV107" s="2826"/>
      <c r="AW107" s="2826" t="e">
        <f t="shared" si="34"/>
        <v>#VALUE!</v>
      </c>
      <c r="AX107" s="2826" t="e">
        <f t="shared" si="35"/>
        <v>#VALUE!</v>
      </c>
      <c r="AY107" s="2826" t="e">
        <f t="shared" si="36"/>
        <v>#VALUE!</v>
      </c>
      <c r="AZ107" s="2826"/>
      <c r="BA107" s="2826" t="e">
        <f t="shared" si="37"/>
        <v>#VALUE!</v>
      </c>
      <c r="BB107" s="2826" t="e">
        <f t="shared" si="38"/>
        <v>#VALUE!</v>
      </c>
      <c r="BC107" s="2826" t="e">
        <f t="shared" si="39"/>
        <v>#VALUE!</v>
      </c>
    </row>
    <row r="108" spans="1:55" s="2642" customFormat="1" ht="19.5" customHeight="1">
      <c r="A108" s="1867">
        <f t="shared" si="25"/>
        <v>0</v>
      </c>
      <c r="B108" s="4945" t="str">
        <f t="shared" si="20"/>
        <v/>
      </c>
      <c r="C108" s="4946"/>
      <c r="D108" s="4946"/>
      <c r="E108" s="4946"/>
      <c r="F108" s="4946"/>
      <c r="G108" s="4946"/>
      <c r="H108" s="4946"/>
      <c r="I108" s="4947"/>
      <c r="J108" s="4943" t="str">
        <f t="shared" si="21"/>
        <v/>
      </c>
      <c r="K108" s="4944"/>
      <c r="L108" s="4944"/>
      <c r="M108" s="4943" t="str">
        <f t="shared" si="22"/>
        <v/>
      </c>
      <c r="N108" s="4944"/>
      <c r="O108" s="4944"/>
      <c r="P108" s="4948"/>
      <c r="Q108" s="3792" t="str">
        <f t="shared" si="23"/>
        <v/>
      </c>
      <c r="R108" s="4938"/>
      <c r="S108" s="4938"/>
      <c r="T108" s="4103"/>
      <c r="U108" s="3792" t="str">
        <f t="shared" si="24"/>
        <v/>
      </c>
      <c r="V108" s="4938"/>
      <c r="W108" s="4938"/>
      <c r="X108" s="4103"/>
      <c r="Y108" s="4921" t="str">
        <f t="shared" si="26"/>
        <v/>
      </c>
      <c r="Z108" s="3747"/>
      <c r="AA108" s="4921" t="str">
        <f t="shared" si="27"/>
        <v/>
      </c>
      <c r="AB108" s="3747"/>
      <c r="AC108" s="4919" t="str">
        <f t="shared" si="28"/>
        <v/>
      </c>
      <c r="AD108" s="4920"/>
      <c r="AE108" s="4920"/>
      <c r="AF108" s="4920"/>
      <c r="AG108" s="2837">
        <f t="shared" si="29"/>
        <v>0</v>
      </c>
      <c r="AH108" s="1804"/>
      <c r="AI108" s="1804" t="e">
        <f t="shared" si="30"/>
        <v>#VALUE!</v>
      </c>
      <c r="AJ108" s="2650"/>
      <c r="AK108" s="2654"/>
      <c r="AL108" s="2654"/>
      <c r="AM108" s="2652"/>
      <c r="AN108" s="2652"/>
      <c r="AO108" s="2653"/>
      <c r="AP108" s="2652"/>
      <c r="AQ108" s="2651"/>
      <c r="AS108" s="2826" t="e">
        <f t="shared" si="31"/>
        <v>#VALUE!</v>
      </c>
      <c r="AT108" s="2826" t="e">
        <f t="shared" si="32"/>
        <v>#VALUE!</v>
      </c>
      <c r="AU108" s="2826" t="e">
        <f t="shared" si="33"/>
        <v>#VALUE!</v>
      </c>
      <c r="AV108" s="2826"/>
      <c r="AW108" s="2826" t="e">
        <f t="shared" si="34"/>
        <v>#VALUE!</v>
      </c>
      <c r="AX108" s="2826" t="e">
        <f t="shared" si="35"/>
        <v>#VALUE!</v>
      </c>
      <c r="AY108" s="2826" t="e">
        <f t="shared" si="36"/>
        <v>#VALUE!</v>
      </c>
      <c r="AZ108" s="2826"/>
      <c r="BA108" s="2826" t="e">
        <f t="shared" si="37"/>
        <v>#VALUE!</v>
      </c>
      <c r="BB108" s="2826" t="e">
        <f t="shared" si="38"/>
        <v>#VALUE!</v>
      </c>
      <c r="BC108" s="2826" t="e">
        <f t="shared" si="39"/>
        <v>#VALUE!</v>
      </c>
    </row>
    <row r="109" spans="1:55" s="2642" customFormat="1" ht="19.5" customHeight="1">
      <c r="A109" s="1867">
        <f t="shared" si="25"/>
        <v>0</v>
      </c>
      <c r="B109" s="4945" t="str">
        <f t="shared" si="20"/>
        <v/>
      </c>
      <c r="C109" s="4946"/>
      <c r="D109" s="4946"/>
      <c r="E109" s="4946"/>
      <c r="F109" s="4946"/>
      <c r="G109" s="4946"/>
      <c r="H109" s="4946"/>
      <c r="I109" s="4947"/>
      <c r="J109" s="4943" t="str">
        <f t="shared" si="21"/>
        <v/>
      </c>
      <c r="K109" s="4944"/>
      <c r="L109" s="4944"/>
      <c r="M109" s="4943" t="str">
        <f t="shared" si="22"/>
        <v/>
      </c>
      <c r="N109" s="4944"/>
      <c r="O109" s="4944"/>
      <c r="P109" s="4948"/>
      <c r="Q109" s="3792" t="str">
        <f t="shared" si="23"/>
        <v/>
      </c>
      <c r="R109" s="4938"/>
      <c r="S109" s="4938"/>
      <c r="T109" s="4103"/>
      <c r="U109" s="3792" t="str">
        <f t="shared" si="24"/>
        <v/>
      </c>
      <c r="V109" s="4938"/>
      <c r="W109" s="4938"/>
      <c r="X109" s="4103"/>
      <c r="Y109" s="4921" t="str">
        <f t="shared" si="26"/>
        <v/>
      </c>
      <c r="Z109" s="3747"/>
      <c r="AA109" s="4921" t="str">
        <f t="shared" si="27"/>
        <v/>
      </c>
      <c r="AB109" s="3747"/>
      <c r="AC109" s="4919" t="str">
        <f t="shared" si="28"/>
        <v/>
      </c>
      <c r="AD109" s="4920"/>
      <c r="AE109" s="4920"/>
      <c r="AF109" s="4920"/>
      <c r="AG109" s="2837">
        <f t="shared" si="29"/>
        <v>0</v>
      </c>
      <c r="AH109" s="1804"/>
      <c r="AI109" s="1804" t="e">
        <f t="shared" si="30"/>
        <v>#VALUE!</v>
      </c>
      <c r="AJ109" s="2650"/>
      <c r="AK109" s="2654"/>
      <c r="AL109" s="2654"/>
      <c r="AM109" s="2652"/>
      <c r="AN109" s="2652"/>
      <c r="AO109" s="2653"/>
      <c r="AP109" s="2652"/>
      <c r="AQ109" s="2651"/>
      <c r="AS109" s="2826" t="e">
        <f t="shared" si="31"/>
        <v>#VALUE!</v>
      </c>
      <c r="AT109" s="2826" t="e">
        <f t="shared" si="32"/>
        <v>#VALUE!</v>
      </c>
      <c r="AU109" s="2826" t="e">
        <f t="shared" si="33"/>
        <v>#VALUE!</v>
      </c>
      <c r="AV109" s="2826"/>
      <c r="AW109" s="2826" t="e">
        <f t="shared" si="34"/>
        <v>#VALUE!</v>
      </c>
      <c r="AX109" s="2826" t="e">
        <f t="shared" si="35"/>
        <v>#VALUE!</v>
      </c>
      <c r="AY109" s="2826" t="e">
        <f t="shared" si="36"/>
        <v>#VALUE!</v>
      </c>
      <c r="AZ109" s="2826"/>
      <c r="BA109" s="2826" t="e">
        <f t="shared" si="37"/>
        <v>#VALUE!</v>
      </c>
      <c r="BB109" s="2826" t="e">
        <f t="shared" si="38"/>
        <v>#VALUE!</v>
      </c>
      <c r="BC109" s="2826" t="e">
        <f t="shared" si="39"/>
        <v>#VALUE!</v>
      </c>
    </row>
    <row r="110" spans="1:55" s="2642" customFormat="1" ht="19.5" customHeight="1">
      <c r="A110" s="1867">
        <f t="shared" si="25"/>
        <v>0</v>
      </c>
      <c r="B110" s="4945" t="str">
        <f t="shared" si="20"/>
        <v/>
      </c>
      <c r="C110" s="4946"/>
      <c r="D110" s="4946"/>
      <c r="E110" s="4946"/>
      <c r="F110" s="4946"/>
      <c r="G110" s="4946"/>
      <c r="H110" s="4946"/>
      <c r="I110" s="4947"/>
      <c r="J110" s="4943" t="str">
        <f t="shared" si="21"/>
        <v/>
      </c>
      <c r="K110" s="4944"/>
      <c r="L110" s="4944"/>
      <c r="M110" s="4943" t="str">
        <f t="shared" si="22"/>
        <v/>
      </c>
      <c r="N110" s="4944"/>
      <c r="O110" s="4944"/>
      <c r="P110" s="4948"/>
      <c r="Q110" s="3792" t="str">
        <f t="shared" si="23"/>
        <v/>
      </c>
      <c r="R110" s="4938"/>
      <c r="S110" s="4938"/>
      <c r="T110" s="4103"/>
      <c r="U110" s="3792" t="str">
        <f t="shared" si="24"/>
        <v/>
      </c>
      <c r="V110" s="4938"/>
      <c r="W110" s="4938"/>
      <c r="X110" s="4103"/>
      <c r="Y110" s="4921" t="str">
        <f t="shared" si="26"/>
        <v/>
      </c>
      <c r="Z110" s="3747"/>
      <c r="AA110" s="4921" t="str">
        <f t="shared" si="27"/>
        <v/>
      </c>
      <c r="AB110" s="3747"/>
      <c r="AC110" s="4919" t="str">
        <f t="shared" si="28"/>
        <v/>
      </c>
      <c r="AD110" s="4920"/>
      <c r="AE110" s="4920"/>
      <c r="AF110" s="4920"/>
      <c r="AG110" s="2837">
        <f t="shared" si="29"/>
        <v>0</v>
      </c>
      <c r="AH110" s="1804"/>
      <c r="AI110" s="1804" t="e">
        <f t="shared" si="30"/>
        <v>#VALUE!</v>
      </c>
      <c r="AJ110" s="2650"/>
      <c r="AK110" s="2654"/>
      <c r="AL110" s="2654"/>
      <c r="AM110" s="2652"/>
      <c r="AN110" s="2652"/>
      <c r="AO110" s="2653"/>
      <c r="AP110" s="2652"/>
      <c r="AQ110" s="2651"/>
      <c r="AS110" s="2826" t="e">
        <f t="shared" si="31"/>
        <v>#VALUE!</v>
      </c>
      <c r="AT110" s="2826" t="e">
        <f t="shared" si="32"/>
        <v>#VALUE!</v>
      </c>
      <c r="AU110" s="2826" t="e">
        <f t="shared" si="33"/>
        <v>#VALUE!</v>
      </c>
      <c r="AV110" s="2826"/>
      <c r="AW110" s="2826" t="e">
        <f t="shared" si="34"/>
        <v>#VALUE!</v>
      </c>
      <c r="AX110" s="2826" t="e">
        <f t="shared" si="35"/>
        <v>#VALUE!</v>
      </c>
      <c r="AY110" s="2826" t="e">
        <f t="shared" si="36"/>
        <v>#VALUE!</v>
      </c>
      <c r="AZ110" s="2826"/>
      <c r="BA110" s="2826" t="e">
        <f t="shared" si="37"/>
        <v>#VALUE!</v>
      </c>
      <c r="BB110" s="2826" t="e">
        <f t="shared" si="38"/>
        <v>#VALUE!</v>
      </c>
      <c r="BC110" s="2826" t="e">
        <f t="shared" si="39"/>
        <v>#VALUE!</v>
      </c>
    </row>
    <row r="111" spans="1:55" s="2642" customFormat="1" ht="19.5" customHeight="1">
      <c r="A111" s="1867">
        <f t="shared" si="25"/>
        <v>0</v>
      </c>
      <c r="B111" s="4945" t="str">
        <f t="shared" si="20"/>
        <v/>
      </c>
      <c r="C111" s="4946"/>
      <c r="D111" s="4946"/>
      <c r="E111" s="4946"/>
      <c r="F111" s="4946"/>
      <c r="G111" s="4946"/>
      <c r="H111" s="4946"/>
      <c r="I111" s="4947"/>
      <c r="J111" s="4943" t="str">
        <f t="shared" si="21"/>
        <v/>
      </c>
      <c r="K111" s="4944"/>
      <c r="L111" s="4944"/>
      <c r="M111" s="4943" t="str">
        <f t="shared" si="22"/>
        <v/>
      </c>
      <c r="N111" s="4944"/>
      <c r="O111" s="4944"/>
      <c r="P111" s="4948"/>
      <c r="Q111" s="3792" t="str">
        <f t="shared" si="23"/>
        <v/>
      </c>
      <c r="R111" s="4938"/>
      <c r="S111" s="4938"/>
      <c r="T111" s="4103"/>
      <c r="U111" s="3792" t="str">
        <f t="shared" si="24"/>
        <v/>
      </c>
      <c r="V111" s="4938"/>
      <c r="W111" s="4938"/>
      <c r="X111" s="4103"/>
      <c r="Y111" s="4921" t="str">
        <f t="shared" si="26"/>
        <v/>
      </c>
      <c r="Z111" s="3747"/>
      <c r="AA111" s="4921" t="str">
        <f t="shared" si="27"/>
        <v/>
      </c>
      <c r="AB111" s="3747"/>
      <c r="AC111" s="4919" t="str">
        <f t="shared" si="28"/>
        <v/>
      </c>
      <c r="AD111" s="4920"/>
      <c r="AE111" s="4920"/>
      <c r="AF111" s="4920"/>
      <c r="AG111" s="2837">
        <f t="shared" si="29"/>
        <v>0</v>
      </c>
      <c r="AH111" s="1804"/>
      <c r="AI111" s="1804" t="e">
        <f t="shared" si="30"/>
        <v>#VALUE!</v>
      </c>
      <c r="AJ111" s="2650"/>
      <c r="AK111" s="2654"/>
      <c r="AL111" s="2654"/>
      <c r="AM111" s="2652"/>
      <c r="AN111" s="2652"/>
      <c r="AO111" s="2653"/>
      <c r="AP111" s="2652"/>
      <c r="AQ111" s="2651"/>
      <c r="AS111" s="2826" t="e">
        <f t="shared" si="31"/>
        <v>#VALUE!</v>
      </c>
      <c r="AT111" s="2826" t="e">
        <f t="shared" si="32"/>
        <v>#VALUE!</v>
      </c>
      <c r="AU111" s="2826" t="e">
        <f t="shared" si="33"/>
        <v>#VALUE!</v>
      </c>
      <c r="AV111" s="2826"/>
      <c r="AW111" s="2826" t="e">
        <f t="shared" si="34"/>
        <v>#VALUE!</v>
      </c>
      <c r="AX111" s="2826" t="e">
        <f t="shared" si="35"/>
        <v>#VALUE!</v>
      </c>
      <c r="AY111" s="2826" t="e">
        <f t="shared" si="36"/>
        <v>#VALUE!</v>
      </c>
      <c r="AZ111" s="2826"/>
      <c r="BA111" s="2826" t="e">
        <f t="shared" si="37"/>
        <v>#VALUE!</v>
      </c>
      <c r="BB111" s="2826" t="e">
        <f t="shared" si="38"/>
        <v>#VALUE!</v>
      </c>
      <c r="BC111" s="2826" t="e">
        <f t="shared" si="39"/>
        <v>#VALUE!</v>
      </c>
    </row>
    <row r="112" spans="1:55" s="2642" customFormat="1" ht="19.5" customHeight="1">
      <c r="A112" s="1867">
        <f t="shared" si="25"/>
        <v>0</v>
      </c>
      <c r="B112" s="4945" t="str">
        <f t="shared" si="20"/>
        <v/>
      </c>
      <c r="C112" s="4946"/>
      <c r="D112" s="4946"/>
      <c r="E112" s="4946"/>
      <c r="F112" s="4946"/>
      <c r="G112" s="4946"/>
      <c r="H112" s="4946"/>
      <c r="I112" s="4947"/>
      <c r="J112" s="4943" t="str">
        <f t="shared" si="21"/>
        <v/>
      </c>
      <c r="K112" s="4944"/>
      <c r="L112" s="4944"/>
      <c r="M112" s="4943" t="str">
        <f t="shared" si="22"/>
        <v/>
      </c>
      <c r="N112" s="4944"/>
      <c r="O112" s="4944"/>
      <c r="P112" s="4948"/>
      <c r="Q112" s="3792" t="str">
        <f t="shared" si="23"/>
        <v/>
      </c>
      <c r="R112" s="4938"/>
      <c r="S112" s="4938"/>
      <c r="T112" s="4103"/>
      <c r="U112" s="3792" t="str">
        <f t="shared" si="24"/>
        <v/>
      </c>
      <c r="V112" s="4938"/>
      <c r="W112" s="4938"/>
      <c r="X112" s="4103"/>
      <c r="Y112" s="4921" t="str">
        <f t="shared" si="26"/>
        <v/>
      </c>
      <c r="Z112" s="3747"/>
      <c r="AA112" s="4921" t="str">
        <f t="shared" si="27"/>
        <v/>
      </c>
      <c r="AB112" s="3747"/>
      <c r="AC112" s="4919" t="str">
        <f t="shared" si="28"/>
        <v/>
      </c>
      <c r="AD112" s="4920"/>
      <c r="AE112" s="4920"/>
      <c r="AF112" s="4920"/>
      <c r="AG112" s="2837">
        <f t="shared" si="29"/>
        <v>0</v>
      </c>
      <c r="AH112" s="1804"/>
      <c r="AI112" s="1804" t="e">
        <f t="shared" si="30"/>
        <v>#VALUE!</v>
      </c>
      <c r="AJ112" s="2650"/>
      <c r="AK112" s="2654"/>
      <c r="AL112" s="2654"/>
      <c r="AM112" s="2652"/>
      <c r="AN112" s="2652"/>
      <c r="AO112" s="2653"/>
      <c r="AP112" s="2652"/>
      <c r="AQ112" s="2651"/>
      <c r="AS112" s="2826" t="e">
        <f t="shared" si="31"/>
        <v>#VALUE!</v>
      </c>
      <c r="AT112" s="2826" t="e">
        <f t="shared" si="32"/>
        <v>#VALUE!</v>
      </c>
      <c r="AU112" s="2826" t="e">
        <f t="shared" si="33"/>
        <v>#VALUE!</v>
      </c>
      <c r="AV112" s="2826"/>
      <c r="AW112" s="2826" t="e">
        <f t="shared" si="34"/>
        <v>#VALUE!</v>
      </c>
      <c r="AX112" s="2826" t="e">
        <f t="shared" si="35"/>
        <v>#VALUE!</v>
      </c>
      <c r="AY112" s="2826" t="e">
        <f t="shared" si="36"/>
        <v>#VALUE!</v>
      </c>
      <c r="AZ112" s="2826"/>
      <c r="BA112" s="2826" t="e">
        <f t="shared" si="37"/>
        <v>#VALUE!</v>
      </c>
      <c r="BB112" s="2826" t="e">
        <f t="shared" si="38"/>
        <v>#VALUE!</v>
      </c>
      <c r="BC112" s="2826" t="e">
        <f t="shared" si="39"/>
        <v>#VALUE!</v>
      </c>
    </row>
    <row r="113" spans="1:55" s="2642" customFormat="1" ht="19.5" customHeight="1">
      <c r="A113" s="1867">
        <f t="shared" si="25"/>
        <v>0</v>
      </c>
      <c r="B113" s="4945" t="str">
        <f t="shared" si="20"/>
        <v/>
      </c>
      <c r="C113" s="4946"/>
      <c r="D113" s="4946"/>
      <c r="E113" s="4946"/>
      <c r="F113" s="4946"/>
      <c r="G113" s="4946"/>
      <c r="H113" s="4946"/>
      <c r="I113" s="4947"/>
      <c r="J113" s="4943" t="str">
        <f t="shared" si="21"/>
        <v/>
      </c>
      <c r="K113" s="4944"/>
      <c r="L113" s="4944"/>
      <c r="M113" s="4943" t="str">
        <f t="shared" si="22"/>
        <v/>
      </c>
      <c r="N113" s="4944"/>
      <c r="O113" s="4944"/>
      <c r="P113" s="4948"/>
      <c r="Q113" s="3792" t="str">
        <f t="shared" si="23"/>
        <v/>
      </c>
      <c r="R113" s="4938"/>
      <c r="S113" s="4938"/>
      <c r="T113" s="4103"/>
      <c r="U113" s="3792" t="str">
        <f t="shared" si="24"/>
        <v/>
      </c>
      <c r="V113" s="4938"/>
      <c r="W113" s="4938"/>
      <c r="X113" s="4103"/>
      <c r="Y113" s="4921" t="str">
        <f t="shared" si="26"/>
        <v/>
      </c>
      <c r="Z113" s="3747"/>
      <c r="AA113" s="4921" t="str">
        <f t="shared" si="27"/>
        <v/>
      </c>
      <c r="AB113" s="3747"/>
      <c r="AC113" s="4919" t="str">
        <f t="shared" si="28"/>
        <v/>
      </c>
      <c r="AD113" s="4920"/>
      <c r="AE113" s="4920"/>
      <c r="AF113" s="4920"/>
      <c r="AG113" s="2837">
        <f t="shared" si="29"/>
        <v>0</v>
      </c>
      <c r="AH113" s="1804"/>
      <c r="AI113" s="1804" t="e">
        <f t="shared" si="30"/>
        <v>#VALUE!</v>
      </c>
      <c r="AJ113" s="2650"/>
      <c r="AK113" s="2654"/>
      <c r="AL113" s="2654"/>
      <c r="AM113" s="2652"/>
      <c r="AN113" s="2652"/>
      <c r="AO113" s="2653"/>
      <c r="AP113" s="2652"/>
      <c r="AQ113" s="2651"/>
      <c r="AS113" s="2826" t="e">
        <f t="shared" si="31"/>
        <v>#VALUE!</v>
      </c>
      <c r="AT113" s="2826" t="e">
        <f t="shared" si="32"/>
        <v>#VALUE!</v>
      </c>
      <c r="AU113" s="2826" t="e">
        <f t="shared" si="33"/>
        <v>#VALUE!</v>
      </c>
      <c r="AV113" s="2826"/>
      <c r="AW113" s="2826" t="e">
        <f t="shared" si="34"/>
        <v>#VALUE!</v>
      </c>
      <c r="AX113" s="2826" t="e">
        <f t="shared" si="35"/>
        <v>#VALUE!</v>
      </c>
      <c r="AY113" s="2826" t="e">
        <f t="shared" si="36"/>
        <v>#VALUE!</v>
      </c>
      <c r="AZ113" s="2826"/>
      <c r="BA113" s="2826" t="e">
        <f t="shared" si="37"/>
        <v>#VALUE!</v>
      </c>
      <c r="BB113" s="2826" t="e">
        <f t="shared" si="38"/>
        <v>#VALUE!</v>
      </c>
      <c r="BC113" s="2826" t="e">
        <f t="shared" si="39"/>
        <v>#VALUE!</v>
      </c>
    </row>
    <row r="114" spans="1:55" s="2642" customFormat="1" ht="19.5" customHeight="1">
      <c r="A114" s="1867">
        <f t="shared" si="25"/>
        <v>0</v>
      </c>
      <c r="B114" s="4945" t="str">
        <f t="shared" si="20"/>
        <v/>
      </c>
      <c r="C114" s="4946"/>
      <c r="D114" s="4946"/>
      <c r="E114" s="4946"/>
      <c r="F114" s="4946"/>
      <c r="G114" s="4946"/>
      <c r="H114" s="4946"/>
      <c r="I114" s="4947"/>
      <c r="J114" s="4943" t="str">
        <f t="shared" si="21"/>
        <v/>
      </c>
      <c r="K114" s="4944"/>
      <c r="L114" s="4944"/>
      <c r="M114" s="4943" t="str">
        <f t="shared" si="22"/>
        <v/>
      </c>
      <c r="N114" s="4944"/>
      <c r="O114" s="4944"/>
      <c r="P114" s="4948"/>
      <c r="Q114" s="3792" t="str">
        <f t="shared" si="23"/>
        <v/>
      </c>
      <c r="R114" s="4938"/>
      <c r="S114" s="4938"/>
      <c r="T114" s="4103"/>
      <c r="U114" s="3792" t="str">
        <f t="shared" si="24"/>
        <v/>
      </c>
      <c r="V114" s="4938"/>
      <c r="W114" s="4938"/>
      <c r="X114" s="4103"/>
      <c r="Y114" s="4921" t="str">
        <f t="shared" si="26"/>
        <v/>
      </c>
      <c r="Z114" s="3747"/>
      <c r="AA114" s="4921" t="str">
        <f t="shared" si="27"/>
        <v/>
      </c>
      <c r="AB114" s="3747"/>
      <c r="AC114" s="4919" t="str">
        <f t="shared" si="28"/>
        <v/>
      </c>
      <c r="AD114" s="4920"/>
      <c r="AE114" s="4920"/>
      <c r="AF114" s="4920"/>
      <c r="AG114" s="2837">
        <f t="shared" si="29"/>
        <v>0</v>
      </c>
      <c r="AH114" s="1804"/>
      <c r="AI114" s="1804" t="e">
        <f t="shared" si="30"/>
        <v>#VALUE!</v>
      </c>
      <c r="AJ114" s="2650"/>
      <c r="AK114" s="2654"/>
      <c r="AL114" s="2654"/>
      <c r="AM114" s="2652"/>
      <c r="AN114" s="2652"/>
      <c r="AO114" s="2653"/>
      <c r="AP114" s="2652"/>
      <c r="AQ114" s="2651"/>
      <c r="AS114" s="2826" t="e">
        <f t="shared" si="31"/>
        <v>#VALUE!</v>
      </c>
      <c r="AT114" s="2826" t="e">
        <f t="shared" si="32"/>
        <v>#VALUE!</v>
      </c>
      <c r="AU114" s="2826" t="e">
        <f t="shared" si="33"/>
        <v>#VALUE!</v>
      </c>
      <c r="AV114" s="2826"/>
      <c r="AW114" s="2826" t="e">
        <f t="shared" si="34"/>
        <v>#VALUE!</v>
      </c>
      <c r="AX114" s="2826" t="e">
        <f t="shared" si="35"/>
        <v>#VALUE!</v>
      </c>
      <c r="AY114" s="2826" t="e">
        <f t="shared" si="36"/>
        <v>#VALUE!</v>
      </c>
      <c r="AZ114" s="2826"/>
      <c r="BA114" s="2826" t="e">
        <f t="shared" si="37"/>
        <v>#VALUE!</v>
      </c>
      <c r="BB114" s="2826" t="e">
        <f t="shared" si="38"/>
        <v>#VALUE!</v>
      </c>
      <c r="BC114" s="2826" t="e">
        <f t="shared" si="39"/>
        <v>#VALUE!</v>
      </c>
    </row>
    <row r="115" spans="1:55" s="2642" customFormat="1" ht="19.5" customHeight="1">
      <c r="A115" s="1867">
        <f t="shared" si="25"/>
        <v>0</v>
      </c>
      <c r="B115" s="4945" t="str">
        <f t="shared" si="20"/>
        <v/>
      </c>
      <c r="C115" s="4946"/>
      <c r="D115" s="4946"/>
      <c r="E115" s="4946"/>
      <c r="F115" s="4946"/>
      <c r="G115" s="4946"/>
      <c r="H115" s="4946"/>
      <c r="I115" s="4947"/>
      <c r="J115" s="4943" t="str">
        <f t="shared" si="21"/>
        <v/>
      </c>
      <c r="K115" s="4944"/>
      <c r="L115" s="4944"/>
      <c r="M115" s="4943" t="str">
        <f t="shared" si="22"/>
        <v/>
      </c>
      <c r="N115" s="4944"/>
      <c r="O115" s="4944"/>
      <c r="P115" s="4948"/>
      <c r="Q115" s="3792" t="str">
        <f t="shared" si="23"/>
        <v/>
      </c>
      <c r="R115" s="4938"/>
      <c r="S115" s="4938"/>
      <c r="T115" s="4103"/>
      <c r="U115" s="3792" t="str">
        <f t="shared" si="24"/>
        <v/>
      </c>
      <c r="V115" s="4938"/>
      <c r="W115" s="4938"/>
      <c r="X115" s="4103"/>
      <c r="Y115" s="4921" t="str">
        <f t="shared" si="26"/>
        <v/>
      </c>
      <c r="Z115" s="3747"/>
      <c r="AA115" s="4921" t="str">
        <f t="shared" si="27"/>
        <v/>
      </c>
      <c r="AB115" s="3747"/>
      <c r="AC115" s="4919" t="str">
        <f t="shared" si="28"/>
        <v/>
      </c>
      <c r="AD115" s="4920"/>
      <c r="AE115" s="4920"/>
      <c r="AF115" s="4920"/>
      <c r="AG115" s="2837">
        <f t="shared" si="29"/>
        <v>0</v>
      </c>
      <c r="AH115" s="1804"/>
      <c r="AI115" s="1804" t="e">
        <f t="shared" si="30"/>
        <v>#VALUE!</v>
      </c>
      <c r="AJ115" s="2650"/>
      <c r="AK115" s="2654"/>
      <c r="AL115" s="2654"/>
      <c r="AM115" s="2652"/>
      <c r="AN115" s="2652"/>
      <c r="AO115" s="2653"/>
      <c r="AP115" s="2652"/>
      <c r="AQ115" s="2651"/>
      <c r="AS115" s="2826" t="e">
        <f t="shared" si="31"/>
        <v>#VALUE!</v>
      </c>
      <c r="AT115" s="2826" t="e">
        <f t="shared" si="32"/>
        <v>#VALUE!</v>
      </c>
      <c r="AU115" s="2826" t="e">
        <f t="shared" si="33"/>
        <v>#VALUE!</v>
      </c>
      <c r="AV115" s="2826"/>
      <c r="AW115" s="2826" t="e">
        <f t="shared" si="34"/>
        <v>#VALUE!</v>
      </c>
      <c r="AX115" s="2826" t="e">
        <f t="shared" si="35"/>
        <v>#VALUE!</v>
      </c>
      <c r="AY115" s="2826" t="e">
        <f t="shared" si="36"/>
        <v>#VALUE!</v>
      </c>
      <c r="AZ115" s="2826"/>
      <c r="BA115" s="2826" t="e">
        <f t="shared" si="37"/>
        <v>#VALUE!</v>
      </c>
      <c r="BB115" s="2826" t="e">
        <f t="shared" si="38"/>
        <v>#VALUE!</v>
      </c>
      <c r="BC115" s="2826" t="e">
        <f t="shared" si="39"/>
        <v>#VALUE!</v>
      </c>
    </row>
    <row r="116" spans="1:55" ht="11.25" customHeight="1">
      <c r="A116" s="1867">
        <f>SUM(A88:A115)</f>
        <v>0</v>
      </c>
      <c r="B116" s="5010">
        <v>2</v>
      </c>
      <c r="C116" s="5034" t="s">
        <v>2002</v>
      </c>
      <c r="D116" s="5035"/>
      <c r="E116" s="5035"/>
      <c r="F116" s="5035"/>
      <c r="G116" s="5035"/>
      <c r="H116" s="5035"/>
      <c r="I116" s="5035"/>
      <c r="J116" s="5035"/>
      <c r="K116" s="5035"/>
      <c r="L116" s="5035"/>
      <c r="M116" s="5035"/>
      <c r="N116" s="5035"/>
      <c r="O116" s="5035"/>
      <c r="P116" s="5035"/>
      <c r="Q116" s="5012" t="str">
        <f>IF(A116=0,"",SUM(Q88:Q115))</f>
        <v/>
      </c>
      <c r="R116" s="5038"/>
      <c r="S116" s="5038"/>
      <c r="T116" s="5027"/>
      <c r="U116" s="5012" t="str">
        <f>IF(A116=0,"",SUM(U88:U115))</f>
        <v/>
      </c>
      <c r="V116" s="5013"/>
      <c r="W116" s="5013"/>
      <c r="X116" s="5014"/>
      <c r="Y116" s="5021"/>
      <c r="Z116" s="5022"/>
      <c r="AA116" s="5012" t="str">
        <f>IF(A116=0,"",SUM(AA88:AA115))</f>
        <v/>
      </c>
      <c r="AB116" s="5027"/>
      <c r="AC116" s="5012" t="str">
        <f>IF(A116=0,"",SUM(AC88:AC115))</f>
        <v/>
      </c>
      <c r="AD116" s="5013"/>
      <c r="AE116" s="5013"/>
      <c r="AF116" s="5013"/>
      <c r="AG116" s="1677"/>
    </row>
    <row r="117" spans="1:55" ht="11.25" customHeight="1">
      <c r="A117" s="1867"/>
      <c r="B117" s="5011"/>
      <c r="C117" s="5036"/>
      <c r="D117" s="5036"/>
      <c r="E117" s="5036"/>
      <c r="F117" s="5036"/>
      <c r="G117" s="5036"/>
      <c r="H117" s="5036"/>
      <c r="I117" s="5036"/>
      <c r="J117" s="5036"/>
      <c r="K117" s="5036"/>
      <c r="L117" s="5036"/>
      <c r="M117" s="5036"/>
      <c r="N117" s="5036"/>
      <c r="O117" s="5036"/>
      <c r="P117" s="5036"/>
      <c r="Q117" s="5028"/>
      <c r="R117" s="5039"/>
      <c r="S117" s="5039"/>
      <c r="T117" s="5029"/>
      <c r="U117" s="5015"/>
      <c r="V117" s="5016"/>
      <c r="W117" s="5016"/>
      <c r="X117" s="5017"/>
      <c r="Y117" s="5023"/>
      <c r="Z117" s="5024"/>
      <c r="AA117" s="5028"/>
      <c r="AB117" s="5029"/>
      <c r="AC117" s="5015"/>
      <c r="AD117" s="5016"/>
      <c r="AE117" s="5016"/>
      <c r="AF117" s="5016"/>
      <c r="AG117" s="1677"/>
    </row>
    <row r="118" spans="1:55" ht="11.25" customHeight="1">
      <c r="A118" s="1867"/>
      <c r="B118" s="5011"/>
      <c r="C118" s="5036"/>
      <c r="D118" s="5036"/>
      <c r="E118" s="5036"/>
      <c r="F118" s="5036"/>
      <c r="G118" s="5036"/>
      <c r="H118" s="5036"/>
      <c r="I118" s="5036"/>
      <c r="J118" s="5036"/>
      <c r="K118" s="5036"/>
      <c r="L118" s="5036"/>
      <c r="M118" s="5036"/>
      <c r="N118" s="5036"/>
      <c r="O118" s="5036"/>
      <c r="P118" s="5036"/>
      <c r="Q118" s="5028"/>
      <c r="R118" s="5039"/>
      <c r="S118" s="5039"/>
      <c r="T118" s="5029"/>
      <c r="U118" s="5015"/>
      <c r="V118" s="5016"/>
      <c r="W118" s="5016"/>
      <c r="X118" s="5017"/>
      <c r="Y118" s="5023"/>
      <c r="Z118" s="5024"/>
      <c r="AA118" s="5028"/>
      <c r="AB118" s="5029"/>
      <c r="AC118" s="5015"/>
      <c r="AD118" s="5016"/>
      <c r="AE118" s="5016"/>
      <c r="AF118" s="5016"/>
      <c r="AG118" s="1677"/>
    </row>
    <row r="119" spans="1:55" ht="11.25" customHeight="1">
      <c r="A119" s="1867"/>
      <c r="B119" s="5011"/>
      <c r="C119" s="5036"/>
      <c r="D119" s="5036"/>
      <c r="E119" s="5036"/>
      <c r="F119" s="5036"/>
      <c r="G119" s="5036"/>
      <c r="H119" s="5036"/>
      <c r="I119" s="5036"/>
      <c r="J119" s="5036"/>
      <c r="K119" s="5036"/>
      <c r="L119" s="5036"/>
      <c r="M119" s="5036"/>
      <c r="N119" s="5036"/>
      <c r="O119" s="5036"/>
      <c r="P119" s="5036"/>
      <c r="Q119" s="5028"/>
      <c r="R119" s="5039"/>
      <c r="S119" s="5039"/>
      <c r="T119" s="5029"/>
      <c r="U119" s="5015"/>
      <c r="V119" s="5016"/>
      <c r="W119" s="5016"/>
      <c r="X119" s="5017"/>
      <c r="Y119" s="5023"/>
      <c r="Z119" s="5024"/>
      <c r="AA119" s="5028"/>
      <c r="AB119" s="5029"/>
      <c r="AC119" s="5015"/>
      <c r="AD119" s="5016"/>
      <c r="AE119" s="5016"/>
      <c r="AF119" s="5016"/>
      <c r="AG119" s="1677"/>
    </row>
    <row r="120" spans="1:55" ht="6" customHeight="1" thickBot="1">
      <c r="A120" s="1867"/>
      <c r="B120" s="5011"/>
      <c r="C120" s="5037"/>
      <c r="D120" s="5037"/>
      <c r="E120" s="5037"/>
      <c r="F120" s="5037"/>
      <c r="G120" s="5037"/>
      <c r="H120" s="5037"/>
      <c r="I120" s="5037"/>
      <c r="J120" s="5037"/>
      <c r="K120" s="5037"/>
      <c r="L120" s="5037"/>
      <c r="M120" s="5037"/>
      <c r="N120" s="5037"/>
      <c r="O120" s="5037"/>
      <c r="P120" s="5037"/>
      <c r="Q120" s="5028"/>
      <c r="R120" s="5039"/>
      <c r="S120" s="5039"/>
      <c r="T120" s="5029"/>
      <c r="U120" s="5018"/>
      <c r="V120" s="5019"/>
      <c r="W120" s="5019"/>
      <c r="X120" s="5020"/>
      <c r="Y120" s="5025"/>
      <c r="Z120" s="5026"/>
      <c r="AA120" s="5030"/>
      <c r="AB120" s="3733"/>
      <c r="AC120" s="5015"/>
      <c r="AD120" s="5016"/>
      <c r="AE120" s="5016"/>
      <c r="AF120" s="5016"/>
      <c r="AG120" s="1677"/>
    </row>
    <row r="121" spans="1:55" ht="25.5" customHeight="1" thickBot="1">
      <c r="A121" s="1867"/>
      <c r="B121" s="5040" t="s">
        <v>1548</v>
      </c>
      <c r="C121" s="5041"/>
      <c r="D121" s="5041"/>
      <c r="E121" s="5041"/>
      <c r="F121" s="5041"/>
      <c r="G121" s="5041"/>
      <c r="H121" s="5041"/>
      <c r="I121" s="5041"/>
      <c r="J121" s="5041"/>
      <c r="K121" s="5041"/>
      <c r="L121" s="5041"/>
      <c r="M121" s="5041"/>
      <c r="N121" s="5041"/>
      <c r="O121" s="5041"/>
      <c r="P121" s="5041"/>
      <c r="Q121" s="5041"/>
      <c r="R121" s="5041"/>
      <c r="S121" s="5041"/>
      <c r="T121" s="5041"/>
      <c r="U121" s="5042"/>
      <c r="V121" s="5042"/>
      <c r="W121" s="5042"/>
      <c r="X121" s="5042"/>
      <c r="Y121" s="5041"/>
      <c r="Z121" s="5041"/>
      <c r="AA121" s="5041"/>
      <c r="AB121" s="5041"/>
      <c r="AC121" s="5041"/>
      <c r="AD121" s="5041"/>
      <c r="AE121" s="5041"/>
      <c r="AF121" s="5041"/>
      <c r="AG121" s="1677"/>
    </row>
    <row r="122" spans="1:55" ht="14.25" customHeight="1" thickTop="1">
      <c r="A122" s="186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1816"/>
      <c r="AD122" s="1816" t="s">
        <v>1222</v>
      </c>
      <c r="AE122" s="37"/>
      <c r="AF122" s="1816" t="str">
        <f>"("&amp;TaxYear&amp;")"</f>
        <v>(2014)</v>
      </c>
      <c r="AG122" s="1677"/>
    </row>
    <row r="123" spans="1:55">
      <c r="A123" s="1867"/>
      <c r="B123" s="1867"/>
      <c r="C123" s="1867"/>
      <c r="D123" s="1867"/>
      <c r="E123" s="1867"/>
      <c r="F123" s="1867"/>
      <c r="G123" s="1867"/>
      <c r="H123" s="1867"/>
      <c r="I123" s="1867"/>
      <c r="J123" s="1867"/>
      <c r="K123" s="1867"/>
      <c r="L123" s="1867"/>
      <c r="M123" s="1867"/>
      <c r="N123" s="1867"/>
      <c r="O123" s="1867"/>
      <c r="P123" s="1867"/>
      <c r="Q123" s="1867"/>
      <c r="R123" s="1867"/>
      <c r="S123" s="1867"/>
      <c r="T123" s="1867"/>
      <c r="U123" s="1867"/>
      <c r="V123" s="1867"/>
      <c r="W123" s="1867"/>
      <c r="X123" s="1867"/>
      <c r="Y123" s="1867"/>
      <c r="Z123" s="1867"/>
      <c r="AA123" s="1867"/>
      <c r="AB123" s="1867"/>
      <c r="AC123" s="1867"/>
      <c r="AD123" s="1867"/>
      <c r="AE123" s="1867"/>
      <c r="AF123" s="1867"/>
      <c r="AG123" s="1677"/>
    </row>
  </sheetData>
  <sheetProtection password="F07E" sheet="1" objects="1" scenarios="1"/>
  <mergeCells count="471">
    <mergeCell ref="BA23:BA34"/>
    <mergeCell ref="BB23:BB34"/>
    <mergeCell ref="BC23:BC34"/>
    <mergeCell ref="R82:AE82"/>
    <mergeCell ref="R28:AE28"/>
    <mergeCell ref="R29:AE29"/>
    <mergeCell ref="H8:AA8"/>
    <mergeCell ref="AB8:AF9"/>
    <mergeCell ref="B11:U11"/>
    <mergeCell ref="V11:AF11"/>
    <mergeCell ref="AA35:AB35"/>
    <mergeCell ref="AC35:AF35"/>
    <mergeCell ref="B36:I36"/>
    <mergeCell ref="J36:L36"/>
    <mergeCell ref="M36:P36"/>
    <mergeCell ref="Q36:T36"/>
    <mergeCell ref="U36:X36"/>
    <mergeCell ref="Y36:Z36"/>
    <mergeCell ref="AA36:AB36"/>
    <mergeCell ref="AC36:AF36"/>
    <mergeCell ref="B35:I35"/>
    <mergeCell ref="J35:L35"/>
    <mergeCell ref="M35:P35"/>
    <mergeCell ref="Q35:T35"/>
    <mergeCell ref="U35:X35"/>
    <mergeCell ref="B2:K2"/>
    <mergeCell ref="B4:F6"/>
    <mergeCell ref="H4:AA6"/>
    <mergeCell ref="AB4:AF4"/>
    <mergeCell ref="AB5:AF7"/>
    <mergeCell ref="H7:AA7"/>
    <mergeCell ref="B16:C16"/>
    <mergeCell ref="Y35:Z35"/>
    <mergeCell ref="B12:AF14"/>
    <mergeCell ref="AJ25:AQ25"/>
    <mergeCell ref="AJ27:AQ27"/>
    <mergeCell ref="AJ29:AQ29"/>
    <mergeCell ref="B31:B34"/>
    <mergeCell ref="C31:I34"/>
    <mergeCell ref="J31:L34"/>
    <mergeCell ref="M31:P34"/>
    <mergeCell ref="Q31:T34"/>
    <mergeCell ref="AM31:AM34"/>
    <mergeCell ref="AN31:AN34"/>
    <mergeCell ref="AO31:AP32"/>
    <mergeCell ref="AQ31:AQ34"/>
    <mergeCell ref="Y33:Z34"/>
    <mergeCell ref="AA33:AB34"/>
    <mergeCell ref="AO33:AO34"/>
    <mergeCell ref="AP33:AP34"/>
    <mergeCell ref="U31:X34"/>
    <mergeCell ref="Y31:AB32"/>
    <mergeCell ref="AC31:AF34"/>
    <mergeCell ref="AJ31:AJ34"/>
    <mergeCell ref="AK31:AK34"/>
    <mergeCell ref="AL31:AL34"/>
    <mergeCell ref="AA37:AB37"/>
    <mergeCell ref="AC37:AF37"/>
    <mergeCell ref="B38:I38"/>
    <mergeCell ref="J38:L38"/>
    <mergeCell ref="M38:P38"/>
    <mergeCell ref="Q38:T38"/>
    <mergeCell ref="U38:X38"/>
    <mergeCell ref="Y38:Z38"/>
    <mergeCell ref="AA38:AB38"/>
    <mergeCell ref="AC38:AF38"/>
    <mergeCell ref="B37:I37"/>
    <mergeCell ref="J37:L37"/>
    <mergeCell ref="M37:P37"/>
    <mergeCell ref="Q37:T37"/>
    <mergeCell ref="U37:X37"/>
    <mergeCell ref="Y37:Z37"/>
    <mergeCell ref="AA39:AB39"/>
    <mergeCell ref="AC39:AF39"/>
    <mergeCell ref="B40:I40"/>
    <mergeCell ref="J40:L40"/>
    <mergeCell ref="M40:P40"/>
    <mergeCell ref="Q40:T40"/>
    <mergeCell ref="U40:X40"/>
    <mergeCell ref="Y40:Z40"/>
    <mergeCell ref="AA40:AB40"/>
    <mergeCell ref="AC40:AF40"/>
    <mergeCell ref="B39:I39"/>
    <mergeCell ref="J39:L39"/>
    <mergeCell ref="M39:P39"/>
    <mergeCell ref="Q39:T39"/>
    <mergeCell ref="U39:X39"/>
    <mergeCell ref="Y39:Z39"/>
    <mergeCell ref="AA41:AB41"/>
    <mergeCell ref="AC41:AF41"/>
    <mergeCell ref="B42:I42"/>
    <mergeCell ref="J42:L42"/>
    <mergeCell ref="M42:P42"/>
    <mergeCell ref="Q42:T42"/>
    <mergeCell ref="U42:X42"/>
    <mergeCell ref="Y42:Z42"/>
    <mergeCell ref="AA42:AB42"/>
    <mergeCell ref="AC42:AF42"/>
    <mergeCell ref="B41:I41"/>
    <mergeCell ref="J41:L41"/>
    <mergeCell ref="M41:P41"/>
    <mergeCell ref="Q41:T41"/>
    <mergeCell ref="U41:X41"/>
    <mergeCell ref="Y41:Z41"/>
    <mergeCell ref="AA43:AB43"/>
    <mergeCell ref="AC43:AF43"/>
    <mergeCell ref="B44:I44"/>
    <mergeCell ref="J44:L44"/>
    <mergeCell ref="M44:P44"/>
    <mergeCell ref="Q44:T44"/>
    <mergeCell ref="U44:X44"/>
    <mergeCell ref="Y44:Z44"/>
    <mergeCell ref="AA44:AB44"/>
    <mergeCell ref="AC44:AF44"/>
    <mergeCell ref="B43:I43"/>
    <mergeCell ref="J43:L43"/>
    <mergeCell ref="M43:P43"/>
    <mergeCell ref="Q43:T43"/>
    <mergeCell ref="U43:X43"/>
    <mergeCell ref="Y43:Z43"/>
    <mergeCell ref="AA45:AB45"/>
    <mergeCell ref="AC45:AF45"/>
    <mergeCell ref="B46:I46"/>
    <mergeCell ref="J46:L46"/>
    <mergeCell ref="M46:P46"/>
    <mergeCell ref="Q46:T46"/>
    <mergeCell ref="U46:X46"/>
    <mergeCell ref="Y46:Z46"/>
    <mergeCell ref="AA46:AB46"/>
    <mergeCell ref="AC46:AF46"/>
    <mergeCell ref="B45:I45"/>
    <mergeCell ref="J45:L45"/>
    <mergeCell ref="M45:P45"/>
    <mergeCell ref="Q45:T45"/>
    <mergeCell ref="U45:X45"/>
    <mergeCell ref="Y45:Z45"/>
    <mergeCell ref="AA47:AB47"/>
    <mergeCell ref="AC47:AF47"/>
    <mergeCell ref="B48:I48"/>
    <mergeCell ref="J48:L48"/>
    <mergeCell ref="M48:P48"/>
    <mergeCell ref="Q48:T48"/>
    <mergeCell ref="U48:X48"/>
    <mergeCell ref="Y48:Z48"/>
    <mergeCell ref="AA48:AB48"/>
    <mergeCell ref="AC48:AF48"/>
    <mergeCell ref="B47:I47"/>
    <mergeCell ref="J47:L47"/>
    <mergeCell ref="M47:P47"/>
    <mergeCell ref="Q47:T47"/>
    <mergeCell ref="U47:X47"/>
    <mergeCell ref="Y47:Z47"/>
    <mergeCell ref="AA49:AB49"/>
    <mergeCell ref="AC49:AF49"/>
    <mergeCell ref="B50:I50"/>
    <mergeCell ref="J50:L50"/>
    <mergeCell ref="M50:P50"/>
    <mergeCell ref="Q50:T50"/>
    <mergeCell ref="U50:X50"/>
    <mergeCell ref="Y50:Z50"/>
    <mergeCell ref="AA50:AB50"/>
    <mergeCell ref="AC50:AF50"/>
    <mergeCell ref="B49:I49"/>
    <mergeCell ref="J49:L49"/>
    <mergeCell ref="M49:P49"/>
    <mergeCell ref="Q49:T49"/>
    <mergeCell ref="U49:X49"/>
    <mergeCell ref="Y49:Z49"/>
    <mergeCell ref="AA51:AB51"/>
    <mergeCell ref="AC51:AF51"/>
    <mergeCell ref="B52:I52"/>
    <mergeCell ref="J52:L52"/>
    <mergeCell ref="M52:P52"/>
    <mergeCell ref="Q52:T52"/>
    <mergeCell ref="U52:X52"/>
    <mergeCell ref="Y52:Z52"/>
    <mergeCell ref="AA52:AB52"/>
    <mergeCell ref="AC52:AF52"/>
    <mergeCell ref="B51:I51"/>
    <mergeCell ref="J51:L51"/>
    <mergeCell ref="M51:P51"/>
    <mergeCell ref="Q51:T51"/>
    <mergeCell ref="U51:X51"/>
    <mergeCell ref="Y51:Z51"/>
    <mergeCell ref="B65:AF67"/>
    <mergeCell ref="AA53:AB53"/>
    <mergeCell ref="AC53:AF53"/>
    <mergeCell ref="B54:I54"/>
    <mergeCell ref="J54:L54"/>
    <mergeCell ref="M54:P54"/>
    <mergeCell ref="Q54:T54"/>
    <mergeCell ref="U54:X54"/>
    <mergeCell ref="Y54:Z54"/>
    <mergeCell ref="AA54:AB54"/>
    <mergeCell ref="AC54:AF54"/>
    <mergeCell ref="B53:I53"/>
    <mergeCell ref="J53:L53"/>
    <mergeCell ref="M53:P53"/>
    <mergeCell ref="Q53:T53"/>
    <mergeCell ref="U53:X53"/>
    <mergeCell ref="Y53:Z53"/>
    <mergeCell ref="AC55:AF59"/>
    <mergeCell ref="B60:AF60"/>
    <mergeCell ref="B64:U64"/>
    <mergeCell ref="V64:AF64"/>
    <mergeCell ref="B55:B59"/>
    <mergeCell ref="C55:P59"/>
    <mergeCell ref="Q55:T59"/>
    <mergeCell ref="U55:X59"/>
    <mergeCell ref="Y55:Z59"/>
    <mergeCell ref="AA55:AB59"/>
    <mergeCell ref="B69:C69"/>
    <mergeCell ref="AJ78:AQ78"/>
    <mergeCell ref="AJ80:AQ80"/>
    <mergeCell ref="AJ82:AQ82"/>
    <mergeCell ref="B84:B87"/>
    <mergeCell ref="C84:I87"/>
    <mergeCell ref="J84:L87"/>
    <mergeCell ref="M84:P87"/>
    <mergeCell ref="Q84:T87"/>
    <mergeCell ref="AM84:AM87"/>
    <mergeCell ref="AN84:AN87"/>
    <mergeCell ref="AO84:AP85"/>
    <mergeCell ref="AQ84:AQ87"/>
    <mergeCell ref="Y86:Z87"/>
    <mergeCell ref="AA86:AB87"/>
    <mergeCell ref="AO86:AO87"/>
    <mergeCell ref="AP86:AP87"/>
    <mergeCell ref="U84:X87"/>
    <mergeCell ref="Y84:AB85"/>
    <mergeCell ref="AC84:AF87"/>
    <mergeCell ref="AJ84:AJ87"/>
    <mergeCell ref="AK84:AK87"/>
    <mergeCell ref="AL84:AL87"/>
    <mergeCell ref="AA88:AB88"/>
    <mergeCell ref="AC88:AF88"/>
    <mergeCell ref="B89:I89"/>
    <mergeCell ref="J89:L89"/>
    <mergeCell ref="M89:P89"/>
    <mergeCell ref="Q89:T89"/>
    <mergeCell ref="U89:X89"/>
    <mergeCell ref="Y89:Z89"/>
    <mergeCell ref="AA89:AB89"/>
    <mergeCell ref="AC89:AF89"/>
    <mergeCell ref="B88:I88"/>
    <mergeCell ref="J88:L88"/>
    <mergeCell ref="M88:P88"/>
    <mergeCell ref="Q88:T88"/>
    <mergeCell ref="U88:X88"/>
    <mergeCell ref="Y88:Z88"/>
    <mergeCell ref="AA90:AB90"/>
    <mergeCell ref="AC90:AF90"/>
    <mergeCell ref="B91:I91"/>
    <mergeCell ref="J91:L91"/>
    <mergeCell ref="M91:P91"/>
    <mergeCell ref="Q91:T91"/>
    <mergeCell ref="U91:X91"/>
    <mergeCell ref="Y91:Z91"/>
    <mergeCell ref="AA91:AB91"/>
    <mergeCell ref="AC91:AF91"/>
    <mergeCell ref="B90:I90"/>
    <mergeCell ref="J90:L90"/>
    <mergeCell ref="M90:P90"/>
    <mergeCell ref="Q90:T90"/>
    <mergeCell ref="U90:X90"/>
    <mergeCell ref="Y90:Z90"/>
    <mergeCell ref="AA92:AB92"/>
    <mergeCell ref="AC92:AF92"/>
    <mergeCell ref="B93:I93"/>
    <mergeCell ref="J93:L93"/>
    <mergeCell ref="M93:P93"/>
    <mergeCell ref="Q93:T93"/>
    <mergeCell ref="U93:X93"/>
    <mergeCell ref="Y93:Z93"/>
    <mergeCell ref="AA93:AB93"/>
    <mergeCell ref="AC93:AF93"/>
    <mergeCell ref="B92:I92"/>
    <mergeCell ref="J92:L92"/>
    <mergeCell ref="M92:P92"/>
    <mergeCell ref="Q92:T92"/>
    <mergeCell ref="U92:X92"/>
    <mergeCell ref="Y92:Z92"/>
    <mergeCell ref="AA94:AB94"/>
    <mergeCell ref="AC94:AF94"/>
    <mergeCell ref="B95:I95"/>
    <mergeCell ref="J95:L95"/>
    <mergeCell ref="M95:P95"/>
    <mergeCell ref="Q95:T95"/>
    <mergeCell ref="U95:X95"/>
    <mergeCell ref="Y95:Z95"/>
    <mergeCell ref="AA95:AB95"/>
    <mergeCell ref="AC95:AF95"/>
    <mergeCell ref="B94:I94"/>
    <mergeCell ref="J94:L94"/>
    <mergeCell ref="M94:P94"/>
    <mergeCell ref="Q94:T94"/>
    <mergeCell ref="U94:X94"/>
    <mergeCell ref="Y94:Z94"/>
    <mergeCell ref="AA96:AB96"/>
    <mergeCell ref="AC96:AF96"/>
    <mergeCell ref="B97:I97"/>
    <mergeCell ref="J97:L97"/>
    <mergeCell ref="M97:P97"/>
    <mergeCell ref="Q97:T97"/>
    <mergeCell ref="U97:X97"/>
    <mergeCell ref="Y97:Z97"/>
    <mergeCell ref="AA97:AB97"/>
    <mergeCell ref="AC97:AF97"/>
    <mergeCell ref="B96:I96"/>
    <mergeCell ref="J96:L96"/>
    <mergeCell ref="M96:P96"/>
    <mergeCell ref="Q96:T96"/>
    <mergeCell ref="U96:X96"/>
    <mergeCell ref="Y96:Z96"/>
    <mergeCell ref="AA98:AB98"/>
    <mergeCell ref="AC98:AF98"/>
    <mergeCell ref="B99:I99"/>
    <mergeCell ref="J99:L99"/>
    <mergeCell ref="M99:P99"/>
    <mergeCell ref="Q99:T99"/>
    <mergeCell ref="U99:X99"/>
    <mergeCell ref="Y99:Z99"/>
    <mergeCell ref="AA99:AB99"/>
    <mergeCell ref="AC99:AF99"/>
    <mergeCell ref="B98:I98"/>
    <mergeCell ref="J98:L98"/>
    <mergeCell ref="M98:P98"/>
    <mergeCell ref="Q98:T98"/>
    <mergeCell ref="U98:X98"/>
    <mergeCell ref="Y98:Z98"/>
    <mergeCell ref="AA100:AB100"/>
    <mergeCell ref="AC100:AF100"/>
    <mergeCell ref="B101:I101"/>
    <mergeCell ref="J101:L101"/>
    <mergeCell ref="M101:P101"/>
    <mergeCell ref="Q101:T101"/>
    <mergeCell ref="U101:X101"/>
    <mergeCell ref="Y101:Z101"/>
    <mergeCell ref="AA101:AB101"/>
    <mergeCell ref="AC101:AF101"/>
    <mergeCell ref="B100:I100"/>
    <mergeCell ref="J100:L100"/>
    <mergeCell ref="M100:P100"/>
    <mergeCell ref="Q100:T100"/>
    <mergeCell ref="U100:X100"/>
    <mergeCell ref="Y100:Z100"/>
    <mergeCell ref="AA102:AB102"/>
    <mergeCell ref="AC102:AF102"/>
    <mergeCell ref="B103:I103"/>
    <mergeCell ref="J103:L103"/>
    <mergeCell ref="M103:P103"/>
    <mergeCell ref="Q103:T103"/>
    <mergeCell ref="U103:X103"/>
    <mergeCell ref="Y103:Z103"/>
    <mergeCell ref="AA103:AB103"/>
    <mergeCell ref="AC103:AF103"/>
    <mergeCell ref="B102:I102"/>
    <mergeCell ref="J102:L102"/>
    <mergeCell ref="M102:P102"/>
    <mergeCell ref="Q102:T102"/>
    <mergeCell ref="U102:X102"/>
    <mergeCell ref="Y102:Z102"/>
    <mergeCell ref="AA104:AB104"/>
    <mergeCell ref="AC104:AF104"/>
    <mergeCell ref="B105:I105"/>
    <mergeCell ref="J105:L105"/>
    <mergeCell ref="M105:P105"/>
    <mergeCell ref="Q105:T105"/>
    <mergeCell ref="U105:X105"/>
    <mergeCell ref="Y105:Z105"/>
    <mergeCell ref="AA105:AB105"/>
    <mergeCell ref="AC105:AF105"/>
    <mergeCell ref="B104:I104"/>
    <mergeCell ref="J104:L104"/>
    <mergeCell ref="M104:P104"/>
    <mergeCell ref="Q104:T104"/>
    <mergeCell ref="U104:X104"/>
    <mergeCell ref="Y104:Z104"/>
    <mergeCell ref="AA106:AB106"/>
    <mergeCell ref="AC106:AF106"/>
    <mergeCell ref="B107:I107"/>
    <mergeCell ref="J107:L107"/>
    <mergeCell ref="M107:P107"/>
    <mergeCell ref="Q107:T107"/>
    <mergeCell ref="U107:X107"/>
    <mergeCell ref="Y107:Z107"/>
    <mergeCell ref="AA107:AB107"/>
    <mergeCell ref="AC107:AF107"/>
    <mergeCell ref="B106:I106"/>
    <mergeCell ref="J106:L106"/>
    <mergeCell ref="M106:P106"/>
    <mergeCell ref="Q106:T106"/>
    <mergeCell ref="U106:X106"/>
    <mergeCell ref="Y106:Z106"/>
    <mergeCell ref="AA108:AB108"/>
    <mergeCell ref="AC108:AF108"/>
    <mergeCell ref="B109:I109"/>
    <mergeCell ref="J109:L109"/>
    <mergeCell ref="M109:P109"/>
    <mergeCell ref="Q109:T109"/>
    <mergeCell ref="U109:X109"/>
    <mergeCell ref="Y109:Z109"/>
    <mergeCell ref="AA109:AB109"/>
    <mergeCell ref="AC109:AF109"/>
    <mergeCell ref="B108:I108"/>
    <mergeCell ref="J108:L108"/>
    <mergeCell ref="M108:P108"/>
    <mergeCell ref="Q108:T108"/>
    <mergeCell ref="U108:X108"/>
    <mergeCell ref="Y108:Z108"/>
    <mergeCell ref="AA110:AB110"/>
    <mergeCell ref="AC110:AF110"/>
    <mergeCell ref="B111:I111"/>
    <mergeCell ref="J111:L111"/>
    <mergeCell ref="M111:P111"/>
    <mergeCell ref="Q111:T111"/>
    <mergeCell ref="U111:X111"/>
    <mergeCell ref="Y111:Z111"/>
    <mergeCell ref="AA111:AB111"/>
    <mergeCell ref="AC111:AF111"/>
    <mergeCell ref="B110:I110"/>
    <mergeCell ref="J110:L110"/>
    <mergeCell ref="M110:P110"/>
    <mergeCell ref="Q110:T110"/>
    <mergeCell ref="U110:X110"/>
    <mergeCell ref="Y110:Z110"/>
    <mergeCell ref="J114:L114"/>
    <mergeCell ref="M114:P114"/>
    <mergeCell ref="Q114:T114"/>
    <mergeCell ref="U114:X114"/>
    <mergeCell ref="Y114:Z114"/>
    <mergeCell ref="AA112:AB112"/>
    <mergeCell ref="AC112:AF112"/>
    <mergeCell ref="B113:I113"/>
    <mergeCell ref="J113:L113"/>
    <mergeCell ref="M113:P113"/>
    <mergeCell ref="Q113:T113"/>
    <mergeCell ref="U113:X113"/>
    <mergeCell ref="Y113:Z113"/>
    <mergeCell ref="AA113:AB113"/>
    <mergeCell ref="AC113:AF113"/>
    <mergeCell ref="B112:I112"/>
    <mergeCell ref="J112:L112"/>
    <mergeCell ref="M112:P112"/>
    <mergeCell ref="Q112:T112"/>
    <mergeCell ref="U112:X112"/>
    <mergeCell ref="Y112:Z112"/>
    <mergeCell ref="BA22:BC22"/>
    <mergeCell ref="BA75:BC75"/>
    <mergeCell ref="BA76:BA87"/>
    <mergeCell ref="BB76:BB87"/>
    <mergeCell ref="BC76:BC87"/>
    <mergeCell ref="AC116:AF120"/>
    <mergeCell ref="B121:AF121"/>
    <mergeCell ref="B116:B120"/>
    <mergeCell ref="C116:P120"/>
    <mergeCell ref="Q116:T120"/>
    <mergeCell ref="U116:X120"/>
    <mergeCell ref="Y116:Z120"/>
    <mergeCell ref="AA116:AB120"/>
    <mergeCell ref="AA114:AB114"/>
    <mergeCell ref="AC114:AF114"/>
    <mergeCell ref="B115:I115"/>
    <mergeCell ref="J115:L115"/>
    <mergeCell ref="M115:P115"/>
    <mergeCell ref="Q115:T115"/>
    <mergeCell ref="U115:X115"/>
    <mergeCell ref="Y115:Z115"/>
    <mergeCell ref="AA115:AB115"/>
    <mergeCell ref="AC115:AF115"/>
    <mergeCell ref="B114:I114"/>
  </mergeCells>
  <conditionalFormatting sqref="P69">
    <cfRule type="expression" dxfId="403" priority="58" stopIfTrue="1">
      <formula>IF(AND($L$2="",$AG$69),TRUE,FALSE)</formula>
    </cfRule>
  </conditionalFormatting>
  <conditionalFormatting sqref="T16">
    <cfRule type="expression" dxfId="402" priority="57" stopIfTrue="1">
      <formula>IF(AND($L$2="",$AG$16),TRUE,FALSE)</formula>
    </cfRule>
  </conditionalFormatting>
  <conditionalFormatting sqref="T69">
    <cfRule type="expression" dxfId="401" priority="56" stopIfTrue="1">
      <formula>IF(AND($L$2="",$AG$69),TRUE,FALSE)</formula>
    </cfRule>
  </conditionalFormatting>
  <conditionalFormatting sqref="L2">
    <cfRule type="expression" dxfId="400" priority="59" stopIfTrue="1">
      <formula>IF(OR($AG$16,$AG$69),1,0)</formula>
    </cfRule>
  </conditionalFormatting>
  <conditionalFormatting sqref="B2">
    <cfRule type="expression" dxfId="399" priority="60" stopIfTrue="1">
      <formula>IF(OR($AG$16,$AG$69),1,0)</formula>
    </cfRule>
  </conditionalFormatting>
  <conditionalFormatting sqref="B11:AF11">
    <cfRule type="expression" dxfId="398" priority="42">
      <formula>IF(NoColor,1,0)</formula>
    </cfRule>
  </conditionalFormatting>
  <conditionalFormatting sqref="C27">
    <cfRule type="expression" dxfId="397" priority="40">
      <formula>IF(NoColor,1,0)</formula>
    </cfRule>
  </conditionalFormatting>
  <conditionalFormatting sqref="M37">
    <cfRule type="expression" dxfId="396" priority="38" stopIfTrue="1">
      <formula>IF(AND($L$2="",AG37&gt;0),TRUE,FALSE)</formula>
    </cfRule>
  </conditionalFormatting>
  <conditionalFormatting sqref="J37">
    <cfRule type="expression" dxfId="395" priority="37" stopIfTrue="1">
      <formula>IF(AND($L$2="",AG37&lt;&gt;0),TRUE,FALSE)</formula>
    </cfRule>
  </conditionalFormatting>
  <conditionalFormatting sqref="M38">
    <cfRule type="expression" dxfId="394" priority="36" stopIfTrue="1">
      <formula>IF(AND($L$2="",AG38&gt;0),TRUE,FALSE)</formula>
    </cfRule>
  </conditionalFormatting>
  <conditionalFormatting sqref="J38">
    <cfRule type="expression" dxfId="393" priority="35" stopIfTrue="1">
      <formula>IF(AND($L$2="",AG38&lt;&gt;0),TRUE,FALSE)</formula>
    </cfRule>
  </conditionalFormatting>
  <conditionalFormatting sqref="M39:M41 M43:M54">
    <cfRule type="expression" dxfId="392" priority="34" stopIfTrue="1">
      <formula>IF(AND($L$2="",AG39&gt;0),TRUE,FALSE)</formula>
    </cfRule>
  </conditionalFormatting>
  <conditionalFormatting sqref="J39:J41 J43:J54">
    <cfRule type="expression" dxfId="391" priority="33" stopIfTrue="1">
      <formula>IF(AND($L$2="",AG39&lt;&gt;0),TRUE,FALSE)</formula>
    </cfRule>
  </conditionalFormatting>
  <conditionalFormatting sqref="J42">
    <cfRule type="expression" dxfId="390" priority="32" stopIfTrue="1">
      <formula>IF(AND($L$2="",AG42&lt;&gt;0),TRUE,FALSE)</formula>
    </cfRule>
  </conditionalFormatting>
  <conditionalFormatting sqref="M42">
    <cfRule type="expression" dxfId="389" priority="31" stopIfTrue="1">
      <formula>IF(AND($L$2="",AG42&gt;0),TRUE,FALSE)</formula>
    </cfRule>
  </conditionalFormatting>
  <conditionalFormatting sqref="J36">
    <cfRule type="expression" dxfId="388" priority="30" stopIfTrue="1">
      <formula>IF(AND($L$2="",AG36&lt;&gt;0),TRUE,FALSE)</formula>
    </cfRule>
  </conditionalFormatting>
  <conditionalFormatting sqref="M36">
    <cfRule type="expression" dxfId="387" priority="29" stopIfTrue="1">
      <formula>IF(AND($L$2="",AG36&gt;0),TRUE,FALSE)</formula>
    </cfRule>
  </conditionalFormatting>
  <conditionalFormatting sqref="B36:AB54">
    <cfRule type="expression" dxfId="386" priority="28">
      <formula>IF(NoColor,1,0)</formula>
    </cfRule>
  </conditionalFormatting>
  <conditionalFormatting sqref="J35">
    <cfRule type="expression" dxfId="385" priority="27" stopIfTrue="1">
      <formula>IF(AND($L$2="",AG35&lt;&gt;0),TRUE,FALSE)</formula>
    </cfRule>
  </conditionalFormatting>
  <conditionalFormatting sqref="M35">
    <cfRule type="expression" dxfId="384" priority="26" stopIfTrue="1">
      <formula>IF(AND($L$2="",AG35&gt;0),TRUE,FALSE)</formula>
    </cfRule>
  </conditionalFormatting>
  <conditionalFormatting sqref="B35:AB35">
    <cfRule type="expression" dxfId="383" priority="25">
      <formula>IF(NoColor,1,0)</formula>
    </cfRule>
  </conditionalFormatting>
  <conditionalFormatting sqref="B64:AF64">
    <cfRule type="expression" dxfId="382" priority="24">
      <formula>IF(NoColor,1,0)</formula>
    </cfRule>
  </conditionalFormatting>
  <conditionalFormatting sqref="C78">
    <cfRule type="expression" dxfId="381" priority="23">
      <formula>IF(NoColor,1,0)</formula>
    </cfRule>
  </conditionalFormatting>
  <conditionalFormatting sqref="M88:M115">
    <cfRule type="expression" dxfId="380" priority="20" stopIfTrue="1">
      <formula>IF(AND($L$2="",AG88&gt;0),TRUE,FALSE)</formula>
    </cfRule>
  </conditionalFormatting>
  <conditionalFormatting sqref="J88:J115">
    <cfRule type="expression" dxfId="379" priority="19" stopIfTrue="1">
      <formula>IF(AND($L$2="",AG88&lt;&gt;0),TRUE,FALSE)</formula>
    </cfRule>
  </conditionalFormatting>
  <conditionalFormatting sqref="B88:AB115">
    <cfRule type="expression" dxfId="378" priority="18">
      <formula>IF(NoColor,1,0)</formula>
    </cfRule>
  </conditionalFormatting>
  <conditionalFormatting sqref="Q55:X59">
    <cfRule type="expression" dxfId="377" priority="12">
      <formula>IF(NoColor,1,0)</formula>
    </cfRule>
  </conditionalFormatting>
  <conditionalFormatting sqref="AA55:AF59">
    <cfRule type="expression" dxfId="376" priority="11">
      <formula>IF(NoColor,1,0)</formula>
    </cfRule>
  </conditionalFormatting>
  <conditionalFormatting sqref="Q116:X120">
    <cfRule type="expression" dxfId="375" priority="10">
      <formula>IF(NoColor,1,0)</formula>
    </cfRule>
  </conditionalFormatting>
  <conditionalFormatting sqref="AA116:AF120">
    <cfRule type="expression" dxfId="374" priority="9">
      <formula>IF(NoColor,1,0)</formula>
    </cfRule>
  </conditionalFormatting>
  <conditionalFormatting sqref="C25">
    <cfRule type="expression" dxfId="373" priority="8">
      <formula>IF(NoColor,1,0)</formula>
    </cfRule>
  </conditionalFormatting>
  <conditionalFormatting sqref="C29">
    <cfRule type="expression" dxfId="372" priority="7">
      <formula>IF(NoColor,1,0)</formula>
    </cfRule>
  </conditionalFormatting>
  <conditionalFormatting sqref="AC35:AF54">
    <cfRule type="expression" dxfId="371" priority="6">
      <formula>IF(NoColor,1,0)</formula>
    </cfRule>
  </conditionalFormatting>
  <conditionalFormatting sqref="AC88:AF115">
    <cfRule type="expression" dxfId="370" priority="5">
      <formula>IF(NoColor,1,0)</formula>
    </cfRule>
  </conditionalFormatting>
  <conditionalFormatting sqref="C80">
    <cfRule type="expression" dxfId="369" priority="4">
      <formula>IF(NoColor,1,0)</formula>
    </cfRule>
  </conditionalFormatting>
  <conditionalFormatting sqref="C82">
    <cfRule type="expression" dxfId="368" priority="3">
      <formula>IF(NoColor,1,0)</formula>
    </cfRule>
  </conditionalFormatting>
  <printOptions horizontalCentered="1"/>
  <pageMargins left="0.2" right="0.2" top="0.5" bottom="0.5" header="0.3" footer="0.3"/>
  <pageSetup scale="78" fitToHeight="2" orientation="portrait" r:id="rId1"/>
  <rowBreaks count="1" manualBreakCount="1">
    <brk id="61" min="1" max="31" man="1"/>
  </rowBreaks>
  <drawing r:id="rId2"/>
  <extLst>
    <ext xmlns:x14="http://schemas.microsoft.com/office/spreadsheetml/2009/9/main" uri="{78C0D931-6437-407d-A8EE-F0AAD7539E65}">
      <x14:conditionalFormattings>
        <x14:conditionalFormatting xmlns:xm="http://schemas.microsoft.com/office/excel/2006/main">
          <x14:cfRule type="expression" priority="2" stopIfTrue="1" id="{8D0FE8FA-A41F-4963-85DD-83943E3BB0AB}">
            <xm:f>IF(AND('8949A'!$L$2="",'8949A'!$AG$16),TRUE,FALSE)</xm:f>
            <x14:dxf>
              <font>
                <b val="0"/>
                <i val="0"/>
                <color rgb="FFFF0000"/>
              </font>
            </x14:dxf>
          </x14:cfRule>
          <xm:sqref>T18:T19</xm:sqref>
        </x14:conditionalFormatting>
        <x14:conditionalFormatting xmlns:xm="http://schemas.microsoft.com/office/excel/2006/main">
          <x14:cfRule type="expression" priority="1" stopIfTrue="1" id="{A592C3FD-D5A1-4036-B0CA-3734C6869B7F}">
            <xm:f>IF(AND('8949A'!$L$2="",'8949A'!$AG$16),TRUE,FALSE)</xm:f>
            <x14:dxf>
              <font>
                <b val="0"/>
                <i val="0"/>
                <color rgb="FFFF0000"/>
              </font>
            </x14:dxf>
          </x14:cfRule>
          <xm:sqref>T71:T72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23"/>
  <sheetViews>
    <sheetView zoomScaleNormal="100" zoomScaleSheetLayoutView="100" workbookViewId="0">
      <selection activeCell="C25" sqref="C25"/>
    </sheetView>
  </sheetViews>
  <sheetFormatPr defaultColWidth="3.7109375" defaultRowHeight="12.75"/>
  <cols>
    <col min="1" max="1" width="3.7109375" style="1818" customWidth="1"/>
    <col min="2" max="2" width="4.140625" style="68" customWidth="1"/>
    <col min="3" max="3" width="2.28515625" style="68" customWidth="1"/>
    <col min="4" max="9" width="3.7109375" style="68" customWidth="1"/>
    <col min="10" max="12" width="4" style="68" customWidth="1"/>
    <col min="13" max="19" width="3.7109375" style="68" customWidth="1"/>
    <col min="20" max="23" width="3.85546875" style="68" customWidth="1"/>
    <col min="24" max="24" width="3.7109375" style="68" customWidth="1"/>
    <col min="25" max="26" width="5.42578125" style="68" customWidth="1"/>
    <col min="27" max="28" width="6.42578125" style="68" customWidth="1"/>
    <col min="29" max="32" width="3.7109375" style="68" customWidth="1"/>
    <col min="33" max="33" width="6" style="1819" customWidth="1"/>
    <col min="34" max="34" width="4.85546875" style="2641" customWidth="1"/>
    <col min="35" max="35" width="8.5703125" style="2641" bestFit="1" customWidth="1"/>
    <col min="36" max="36" width="29.28515625" style="68" customWidth="1"/>
    <col min="37" max="40" width="13.7109375" style="68" customWidth="1"/>
    <col min="41" max="41" width="10" style="68" customWidth="1"/>
    <col min="42" max="42" width="15.5703125" style="68" customWidth="1"/>
    <col min="43" max="43" width="15.42578125" style="68" customWidth="1"/>
    <col min="44" max="44" width="3.7109375" style="68"/>
    <col min="45" max="46" width="5" style="68" hidden="1" customWidth="1"/>
    <col min="47" max="47" width="0" style="68" hidden="1" customWidth="1"/>
    <col min="48" max="48" width="1.7109375" style="68" hidden="1" customWidth="1"/>
    <col min="49" max="49" width="5" style="68" hidden="1" customWidth="1"/>
    <col min="50" max="52" width="0" style="68" hidden="1" customWidth="1"/>
    <col min="53" max="55" width="7" style="68" hidden="1" customWidth="1"/>
    <col min="56" max="16384" width="3.7109375" style="68"/>
  </cols>
  <sheetData>
    <row r="1" spans="1:35" s="456" customFormat="1">
      <c r="A1" s="1867"/>
      <c r="B1" s="1867"/>
      <c r="C1" s="1867"/>
      <c r="D1" s="1867"/>
      <c r="E1" s="1867"/>
      <c r="F1" s="1867"/>
      <c r="G1" s="1867"/>
      <c r="H1" s="1867"/>
      <c r="I1" s="1867"/>
      <c r="J1" s="1867"/>
      <c r="K1" s="1867"/>
      <c r="L1" s="1867"/>
      <c r="M1" s="1867"/>
      <c r="N1" s="1867"/>
      <c r="O1" s="1867"/>
      <c r="P1" s="1867"/>
      <c r="Q1" s="1867"/>
      <c r="R1" s="1867"/>
      <c r="S1" s="1867"/>
      <c r="T1" s="1867"/>
      <c r="U1" s="1867"/>
      <c r="V1" s="1867"/>
      <c r="W1" s="1867"/>
      <c r="X1" s="1867"/>
      <c r="Y1" s="1867"/>
      <c r="Z1" s="1867"/>
      <c r="AA1" s="1867"/>
      <c r="AB1" s="1867"/>
      <c r="AC1" s="1867"/>
      <c r="AD1" s="1867"/>
      <c r="AE1" s="1867"/>
      <c r="AF1" s="1867"/>
      <c r="AG1" s="1867"/>
      <c r="AH1" s="1557"/>
      <c r="AI1" s="1557"/>
    </row>
    <row r="2" spans="1:35">
      <c r="A2" s="117"/>
      <c r="B2" s="4961" t="s">
        <v>1480</v>
      </c>
      <c r="C2" s="4962"/>
      <c r="D2" s="4962"/>
      <c r="E2" s="4962"/>
      <c r="F2" s="4962"/>
      <c r="G2" s="4962"/>
      <c r="H2" s="4962"/>
      <c r="I2" s="4962"/>
      <c r="J2" s="4962"/>
      <c r="K2" s="4962"/>
      <c r="L2" s="2274"/>
      <c r="M2" s="117"/>
      <c r="N2" s="117"/>
      <c r="O2" s="117"/>
      <c r="P2" s="117"/>
      <c r="Q2" s="117"/>
      <c r="R2" s="117"/>
      <c r="S2" s="117"/>
      <c r="T2" s="117"/>
      <c r="U2" s="117"/>
      <c r="V2" s="117"/>
      <c r="W2" s="117"/>
      <c r="X2" s="117"/>
      <c r="Y2" s="117"/>
      <c r="Z2" s="117"/>
      <c r="AA2" s="1657"/>
      <c r="AB2" s="117"/>
      <c r="AC2" s="117"/>
      <c r="AD2" s="117"/>
      <c r="AE2" s="117"/>
      <c r="AF2" s="117"/>
      <c r="AG2" s="1867"/>
    </row>
    <row r="3" spans="1:35" s="456" customFormat="1">
      <c r="A3" s="1867"/>
      <c r="B3" s="1867"/>
      <c r="C3" s="1867"/>
      <c r="D3" s="1867"/>
      <c r="E3" s="1867"/>
      <c r="F3" s="1867"/>
      <c r="G3" s="1867"/>
      <c r="H3" s="1867"/>
      <c r="I3" s="1867"/>
      <c r="J3" s="1867"/>
      <c r="K3" s="1867"/>
      <c r="L3" s="1867"/>
      <c r="M3" s="1867"/>
      <c r="N3" s="1867"/>
      <c r="O3" s="1867"/>
      <c r="P3" s="1867"/>
      <c r="Q3" s="1867"/>
      <c r="R3" s="1867"/>
      <c r="S3" s="1867"/>
      <c r="T3" s="1867"/>
      <c r="U3" s="1867"/>
      <c r="V3" s="1867"/>
      <c r="W3" s="1867"/>
      <c r="X3" s="1867"/>
      <c r="Y3" s="1867"/>
      <c r="Z3" s="1867"/>
      <c r="AA3" s="1867"/>
      <c r="AB3" s="1867"/>
      <c r="AC3" s="1867"/>
      <c r="AD3" s="1867"/>
      <c r="AE3" s="1867"/>
      <c r="AF3" s="1867"/>
      <c r="AG3" s="1867"/>
      <c r="AH3" s="1557"/>
      <c r="AI3" s="1557"/>
    </row>
    <row r="4" spans="1:35" ht="11.25" customHeight="1">
      <c r="A4" s="1867"/>
      <c r="B4" s="4966" t="s">
        <v>1168</v>
      </c>
      <c r="C4" s="4967"/>
      <c r="D4" s="4967"/>
      <c r="E4" s="4967"/>
      <c r="F4" s="4967"/>
      <c r="G4" s="46"/>
      <c r="H4" s="4976" t="s">
        <v>1169</v>
      </c>
      <c r="I4" s="4977"/>
      <c r="J4" s="4977"/>
      <c r="K4" s="4977"/>
      <c r="L4" s="4977"/>
      <c r="M4" s="4977"/>
      <c r="N4" s="4977"/>
      <c r="O4" s="4977"/>
      <c r="P4" s="4977"/>
      <c r="Q4" s="4977"/>
      <c r="R4" s="4977"/>
      <c r="S4" s="4977"/>
      <c r="T4" s="4977"/>
      <c r="U4" s="4977"/>
      <c r="V4" s="4977"/>
      <c r="W4" s="4977"/>
      <c r="X4" s="4977"/>
      <c r="Y4" s="4977"/>
      <c r="Z4" s="4977"/>
      <c r="AA4" s="4978"/>
      <c r="AB4" s="4968" t="s">
        <v>257</v>
      </c>
      <c r="AC4" s="4887"/>
      <c r="AD4" s="4887"/>
      <c r="AE4" s="4887"/>
      <c r="AF4" s="4887"/>
      <c r="AG4" s="1867"/>
      <c r="AH4" s="1805"/>
    </row>
    <row r="5" spans="1:35" ht="11.25" customHeight="1">
      <c r="A5" s="1867"/>
      <c r="B5" s="4967"/>
      <c r="C5" s="4967"/>
      <c r="D5" s="4967"/>
      <c r="E5" s="4967"/>
      <c r="F5" s="4967"/>
      <c r="G5" s="46"/>
      <c r="H5" s="4979"/>
      <c r="I5" s="4977"/>
      <c r="J5" s="4977"/>
      <c r="K5" s="4977"/>
      <c r="L5" s="4977"/>
      <c r="M5" s="4977"/>
      <c r="N5" s="4977"/>
      <c r="O5" s="4977"/>
      <c r="P5" s="4977"/>
      <c r="Q5" s="4977"/>
      <c r="R5" s="4977"/>
      <c r="S5" s="4977"/>
      <c r="T5" s="4977"/>
      <c r="U5" s="4977"/>
      <c r="V5" s="4977"/>
      <c r="W5" s="4977"/>
      <c r="X5" s="4977"/>
      <c r="Y5" s="4977"/>
      <c r="Z5" s="4977"/>
      <c r="AA5" s="4978"/>
      <c r="AB5" s="4969">
        <f>TaxYear</f>
        <v>2014</v>
      </c>
      <c r="AC5" s="4970"/>
      <c r="AD5" s="4970"/>
      <c r="AE5" s="4970"/>
      <c r="AF5" s="4970"/>
      <c r="AG5" s="1867"/>
      <c r="AH5" s="1805"/>
    </row>
    <row r="6" spans="1:35" ht="11.25" customHeight="1">
      <c r="A6" s="1867"/>
      <c r="B6" s="4967"/>
      <c r="C6" s="4967"/>
      <c r="D6" s="4967"/>
      <c r="E6" s="4967"/>
      <c r="F6" s="4967"/>
      <c r="G6" s="46"/>
      <c r="H6" s="4980"/>
      <c r="I6" s="3832"/>
      <c r="J6" s="3832"/>
      <c r="K6" s="3832"/>
      <c r="L6" s="3832"/>
      <c r="M6" s="3832"/>
      <c r="N6" s="3832"/>
      <c r="O6" s="3832"/>
      <c r="P6" s="3832"/>
      <c r="Q6" s="3832"/>
      <c r="R6" s="3832"/>
      <c r="S6" s="3832"/>
      <c r="T6" s="3832"/>
      <c r="U6" s="3832"/>
      <c r="V6" s="3832"/>
      <c r="W6" s="3832"/>
      <c r="X6" s="3832"/>
      <c r="Y6" s="3832"/>
      <c r="Z6" s="3832"/>
      <c r="AA6" s="4760"/>
      <c r="AB6" s="4967"/>
      <c r="AC6" s="4970"/>
      <c r="AD6" s="4970"/>
      <c r="AE6" s="4970"/>
      <c r="AF6" s="4970"/>
      <c r="AG6" s="1867"/>
      <c r="AH6" s="1803"/>
    </row>
    <row r="7" spans="1:35" ht="11.25" customHeight="1">
      <c r="A7" s="1867"/>
      <c r="B7" s="46"/>
      <c r="C7" s="46"/>
      <c r="D7" s="46"/>
      <c r="E7" s="46"/>
      <c r="F7" s="46"/>
      <c r="G7" s="46"/>
      <c r="H7" s="4988" t="s">
        <v>2190</v>
      </c>
      <c r="I7" s="4989"/>
      <c r="J7" s="4989"/>
      <c r="K7" s="4989"/>
      <c r="L7" s="4989"/>
      <c r="M7" s="4989"/>
      <c r="N7" s="4989"/>
      <c r="O7" s="4989"/>
      <c r="P7" s="4989"/>
      <c r="Q7" s="4989"/>
      <c r="R7" s="4989"/>
      <c r="S7" s="4989"/>
      <c r="T7" s="4989"/>
      <c r="U7" s="4989"/>
      <c r="V7" s="4989"/>
      <c r="W7" s="4989"/>
      <c r="X7" s="4989"/>
      <c r="Y7" s="4989"/>
      <c r="Z7" s="4989"/>
      <c r="AA7" s="4990"/>
      <c r="AB7" s="4967"/>
      <c r="AC7" s="4970"/>
      <c r="AD7" s="4970"/>
      <c r="AE7" s="4970"/>
      <c r="AF7" s="4970"/>
      <c r="AG7" s="1867"/>
    </row>
    <row r="8" spans="1:35" ht="10.5" customHeight="1">
      <c r="A8" s="1867"/>
      <c r="B8" s="47" t="s">
        <v>303</v>
      </c>
      <c r="C8" s="46"/>
      <c r="D8" s="46"/>
      <c r="E8" s="46"/>
      <c r="F8" s="46"/>
      <c r="G8" s="46"/>
      <c r="H8" s="4963" t="s">
        <v>2189</v>
      </c>
      <c r="I8" s="4964"/>
      <c r="J8" s="4964"/>
      <c r="K8" s="4964"/>
      <c r="L8" s="4964"/>
      <c r="M8" s="4964"/>
      <c r="N8" s="4964"/>
      <c r="O8" s="4964"/>
      <c r="P8" s="4964"/>
      <c r="Q8" s="4964"/>
      <c r="R8" s="4964"/>
      <c r="S8" s="4964"/>
      <c r="T8" s="4964"/>
      <c r="U8" s="4964"/>
      <c r="V8" s="4964"/>
      <c r="W8" s="4964"/>
      <c r="X8" s="4964"/>
      <c r="Y8" s="4964"/>
      <c r="Z8" s="4964"/>
      <c r="AA8" s="4965"/>
      <c r="AB8" s="4985" t="s">
        <v>1522</v>
      </c>
      <c r="AC8" s="4986"/>
      <c r="AD8" s="4986"/>
      <c r="AE8" s="4986"/>
      <c r="AF8" s="4986"/>
      <c r="AG8" s="1867"/>
    </row>
    <row r="9" spans="1:35" ht="10.5" customHeight="1" thickBot="1">
      <c r="A9" s="1867"/>
      <c r="B9" s="45" t="s">
        <v>378</v>
      </c>
      <c r="C9" s="55"/>
      <c r="D9" s="55"/>
      <c r="E9" s="55"/>
      <c r="F9" s="55"/>
      <c r="G9" s="55"/>
      <c r="H9" s="2645"/>
      <c r="I9" s="2644"/>
      <c r="J9" s="2644"/>
      <c r="K9" s="2644"/>
      <c r="L9" s="2644"/>
      <c r="M9" s="2644"/>
      <c r="N9" s="2644"/>
      <c r="O9" s="2644"/>
      <c r="P9" s="2644"/>
      <c r="Q9" s="2644"/>
      <c r="R9" s="2644"/>
      <c r="S9" s="2644"/>
      <c r="T9" s="2644"/>
      <c r="U9" s="2644"/>
      <c r="V9" s="2644"/>
      <c r="W9" s="2644"/>
      <c r="X9" s="2644"/>
      <c r="Y9" s="2644"/>
      <c r="Z9" s="2644"/>
      <c r="AA9" s="2646"/>
      <c r="AB9" s="4987"/>
      <c r="AC9" s="4987"/>
      <c r="AD9" s="4987"/>
      <c r="AE9" s="4987"/>
      <c r="AF9" s="4987"/>
      <c r="AG9" s="1867"/>
    </row>
    <row r="10" spans="1:35">
      <c r="A10" s="1867"/>
      <c r="B10" s="60" t="s">
        <v>100</v>
      </c>
      <c r="C10" s="37"/>
      <c r="D10" s="37"/>
      <c r="E10" s="37"/>
      <c r="F10" s="37"/>
      <c r="G10" s="37"/>
      <c r="H10" s="37"/>
      <c r="I10" s="37"/>
      <c r="J10" s="37"/>
      <c r="K10" s="37"/>
      <c r="L10" s="37"/>
      <c r="M10" s="37"/>
      <c r="N10" s="37"/>
      <c r="O10" s="37"/>
      <c r="P10" s="37"/>
      <c r="Q10" s="37"/>
      <c r="R10" s="37"/>
      <c r="S10" s="37"/>
      <c r="T10" s="37"/>
      <c r="U10" s="37"/>
      <c r="V10" s="2649" t="s">
        <v>1549</v>
      </c>
      <c r="W10" s="37"/>
      <c r="X10" s="37"/>
      <c r="Y10" s="37"/>
      <c r="Z10" s="52"/>
      <c r="AA10" s="37"/>
      <c r="AB10" s="37"/>
      <c r="AC10" s="37"/>
      <c r="AD10" s="37"/>
      <c r="AE10" s="37"/>
      <c r="AF10" s="37"/>
      <c r="AG10" s="1867"/>
    </row>
    <row r="11" spans="1:35" ht="16.5" thickBot="1">
      <c r="A11" s="1867"/>
      <c r="B11" s="4973" t="str">
        <f>Names</f>
        <v/>
      </c>
      <c r="C11" s="4974"/>
      <c r="D11" s="4974"/>
      <c r="E11" s="4974"/>
      <c r="F11" s="4974"/>
      <c r="G11" s="4974"/>
      <c r="H11" s="4974"/>
      <c r="I11" s="4974"/>
      <c r="J11" s="4974"/>
      <c r="K11" s="4974"/>
      <c r="L11" s="4974"/>
      <c r="M11" s="4974"/>
      <c r="N11" s="4974"/>
      <c r="O11" s="4974"/>
      <c r="P11" s="4974"/>
      <c r="Q11" s="4974"/>
      <c r="R11" s="4974"/>
      <c r="S11" s="4974"/>
      <c r="T11" s="4974"/>
      <c r="U11" s="4975"/>
      <c r="V11" s="4971">
        <f>SS_Yours</f>
        <v>0</v>
      </c>
      <c r="W11" s="4972"/>
      <c r="X11" s="4972"/>
      <c r="Y11" s="4972"/>
      <c r="Z11" s="4972"/>
      <c r="AA11" s="4972"/>
      <c r="AB11" s="4972"/>
      <c r="AC11" s="4972"/>
      <c r="AD11" s="4972"/>
      <c r="AE11" s="4972"/>
      <c r="AF11" s="4972"/>
      <c r="AG11" s="1867"/>
    </row>
    <row r="12" spans="1:35" ht="12.75" customHeight="1">
      <c r="A12" s="1867"/>
      <c r="B12" s="4939" t="s">
        <v>2185</v>
      </c>
      <c r="C12" s="4940"/>
      <c r="D12" s="4940"/>
      <c r="E12" s="4940"/>
      <c r="F12" s="4940"/>
      <c r="G12" s="4940"/>
      <c r="H12" s="4940"/>
      <c r="I12" s="4940"/>
      <c r="J12" s="4940"/>
      <c r="K12" s="4940"/>
      <c r="L12" s="4940"/>
      <c r="M12" s="4940"/>
      <c r="N12" s="4940"/>
      <c r="O12" s="4940"/>
      <c r="P12" s="4940"/>
      <c r="Q12" s="4940"/>
      <c r="R12" s="4940"/>
      <c r="S12" s="4940"/>
      <c r="T12" s="4940"/>
      <c r="U12" s="4940"/>
      <c r="V12" s="4940"/>
      <c r="W12" s="4940"/>
      <c r="X12" s="4940"/>
      <c r="Y12" s="4940"/>
      <c r="Z12" s="4940"/>
      <c r="AA12" s="4940"/>
      <c r="AB12" s="4940"/>
      <c r="AC12" s="4940"/>
      <c r="AD12" s="4940"/>
      <c r="AE12" s="4940"/>
      <c r="AF12" s="4940"/>
      <c r="AG12" s="1867"/>
    </row>
    <row r="13" spans="1:35" ht="12.75" customHeight="1">
      <c r="A13" s="1867"/>
      <c r="B13" s="4941"/>
      <c r="C13" s="4941"/>
      <c r="D13" s="4941"/>
      <c r="E13" s="4941"/>
      <c r="F13" s="4941"/>
      <c r="G13" s="4941"/>
      <c r="H13" s="4941"/>
      <c r="I13" s="4941"/>
      <c r="J13" s="4941"/>
      <c r="K13" s="4941"/>
      <c r="L13" s="4941"/>
      <c r="M13" s="4941"/>
      <c r="N13" s="4941"/>
      <c r="O13" s="4941"/>
      <c r="P13" s="4941"/>
      <c r="Q13" s="4941"/>
      <c r="R13" s="4941"/>
      <c r="S13" s="4941"/>
      <c r="T13" s="4941"/>
      <c r="U13" s="4941"/>
      <c r="V13" s="4941"/>
      <c r="W13" s="4941"/>
      <c r="X13" s="4941"/>
      <c r="Y13" s="4941"/>
      <c r="Z13" s="4941"/>
      <c r="AA13" s="4941"/>
      <c r="AB13" s="4941"/>
      <c r="AC13" s="4941"/>
      <c r="AD13" s="4941"/>
      <c r="AE13" s="4941"/>
      <c r="AF13" s="4941"/>
      <c r="AG13" s="1867"/>
    </row>
    <row r="14" spans="1:35" ht="12.75" customHeight="1">
      <c r="A14" s="1867"/>
      <c r="B14" s="4942"/>
      <c r="C14" s="4942"/>
      <c r="D14" s="4942"/>
      <c r="E14" s="4942"/>
      <c r="F14" s="4942"/>
      <c r="G14" s="4942"/>
      <c r="H14" s="4942"/>
      <c r="I14" s="4942"/>
      <c r="J14" s="4942"/>
      <c r="K14" s="4942"/>
      <c r="L14" s="4942"/>
      <c r="M14" s="4942"/>
      <c r="N14" s="4942"/>
      <c r="O14" s="4942"/>
      <c r="P14" s="4942"/>
      <c r="Q14" s="4942"/>
      <c r="R14" s="4942"/>
      <c r="S14" s="4942"/>
      <c r="T14" s="4942"/>
      <c r="U14" s="4942"/>
      <c r="V14" s="4942"/>
      <c r="W14" s="4942"/>
      <c r="X14" s="4942"/>
      <c r="Y14" s="4942"/>
      <c r="Z14" s="4942"/>
      <c r="AA14" s="4942"/>
      <c r="AB14" s="4942"/>
      <c r="AC14" s="4942"/>
      <c r="AD14" s="4942"/>
      <c r="AE14" s="4942"/>
      <c r="AF14" s="4942"/>
      <c r="AG14" s="1867"/>
    </row>
    <row r="15" spans="1:35" ht="3.75" customHeight="1">
      <c r="A15" s="186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1867"/>
    </row>
    <row r="16" spans="1:35" ht="15">
      <c r="A16" s="1867"/>
      <c r="B16" s="4981" t="s">
        <v>93</v>
      </c>
      <c r="C16" s="3830"/>
      <c r="D16" s="37"/>
      <c r="E16" s="1802" t="s">
        <v>1524</v>
      </c>
      <c r="F16" s="37"/>
      <c r="G16" s="37"/>
      <c r="H16" s="37"/>
      <c r="I16" s="37"/>
      <c r="J16" s="37"/>
      <c r="K16" s="37"/>
      <c r="L16" s="37"/>
      <c r="M16" s="37"/>
      <c r="N16" s="37"/>
      <c r="O16" s="37"/>
      <c r="P16" s="37"/>
      <c r="Q16" s="37"/>
      <c r="R16" s="37"/>
      <c r="S16" s="37"/>
      <c r="T16" s="614" t="s">
        <v>2186</v>
      </c>
      <c r="U16" s="37"/>
      <c r="V16" s="37"/>
      <c r="W16" s="37"/>
      <c r="X16" s="1609" t="s">
        <v>1525</v>
      </c>
      <c r="Y16" s="37"/>
      <c r="Z16" s="37"/>
      <c r="AA16" s="37"/>
      <c r="AB16" s="37"/>
      <c r="AC16" s="37"/>
      <c r="AD16" s="37"/>
      <c r="AE16" s="37"/>
      <c r="AF16" s="37"/>
      <c r="AG16" s="1867" t="b">
        <f>IF(SUM(AG35:AG54)&gt;0,TRUE,FALSE)</f>
        <v>0</v>
      </c>
    </row>
    <row r="17" spans="1:55" ht="11.25" customHeight="1">
      <c r="A17" s="1867"/>
      <c r="B17" s="46"/>
      <c r="C17" s="46"/>
      <c r="D17" s="46"/>
      <c r="E17" s="46" t="s">
        <v>1523</v>
      </c>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867"/>
    </row>
    <row r="18" spans="1:55" ht="11.25" customHeight="1">
      <c r="A18" s="1867"/>
      <c r="B18" s="37"/>
      <c r="C18" s="37"/>
      <c r="D18" s="37"/>
      <c r="E18" s="3029" t="s">
        <v>1835</v>
      </c>
      <c r="F18" s="37"/>
      <c r="G18" s="37"/>
      <c r="H18" s="37"/>
      <c r="I18" s="37"/>
      <c r="J18" s="37"/>
      <c r="K18" s="37"/>
      <c r="L18" s="37"/>
      <c r="M18" s="37"/>
      <c r="N18" s="37"/>
      <c r="O18" s="37"/>
      <c r="P18" s="37"/>
      <c r="Q18" s="37"/>
      <c r="R18" s="37"/>
      <c r="S18" s="37"/>
      <c r="T18" s="614"/>
      <c r="U18" s="37"/>
      <c r="V18" s="37"/>
      <c r="W18" s="37"/>
      <c r="X18" s="1609"/>
      <c r="Y18" s="37"/>
      <c r="Z18" s="37"/>
      <c r="AA18" s="37"/>
      <c r="AB18" s="37"/>
      <c r="AC18" s="37"/>
      <c r="AD18" s="37"/>
      <c r="AE18" s="37"/>
      <c r="AF18" s="37"/>
      <c r="AG18" s="1867"/>
      <c r="AH18" s="3024"/>
      <c r="AI18" s="3024"/>
    </row>
    <row r="19" spans="1:55" ht="11.25" customHeight="1">
      <c r="A19" s="1867"/>
      <c r="B19" s="37"/>
      <c r="C19" s="37"/>
      <c r="D19" s="37"/>
      <c r="E19" s="46" t="s">
        <v>1833</v>
      </c>
      <c r="F19" s="37"/>
      <c r="G19" s="37"/>
      <c r="H19" s="37"/>
      <c r="I19" s="37"/>
      <c r="J19" s="37"/>
      <c r="K19" s="37"/>
      <c r="L19" s="37"/>
      <c r="M19" s="37"/>
      <c r="N19" s="37"/>
      <c r="O19" s="37"/>
      <c r="P19" s="37"/>
      <c r="Q19" s="37"/>
      <c r="R19" s="37"/>
      <c r="S19" s="37"/>
      <c r="T19" s="614"/>
      <c r="U19" s="37"/>
      <c r="V19" s="37"/>
      <c r="W19" s="37"/>
      <c r="X19" s="1609"/>
      <c r="Y19" s="37"/>
      <c r="Z19" s="37"/>
      <c r="AA19" s="37"/>
      <c r="AB19" s="37"/>
      <c r="AC19" s="37"/>
      <c r="AD19" s="37"/>
      <c r="AE19" s="37"/>
      <c r="AF19" s="37"/>
      <c r="AG19" s="1867"/>
      <c r="AH19" s="3024"/>
      <c r="AI19" s="3024"/>
    </row>
    <row r="20" spans="1:55" ht="11.25" customHeight="1">
      <c r="A20" s="1867"/>
      <c r="B20" s="67"/>
      <c r="C20" s="67"/>
      <c r="D20" s="67"/>
      <c r="E20" s="67" t="s">
        <v>1834</v>
      </c>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1867"/>
      <c r="AH20" s="3024"/>
      <c r="AI20" s="3024"/>
    </row>
    <row r="21" spans="1:55">
      <c r="A21" s="1867"/>
      <c r="B21" s="375" t="s">
        <v>1533</v>
      </c>
      <c r="C21" s="371"/>
      <c r="D21" s="371"/>
      <c r="E21" s="371"/>
      <c r="F21" s="371"/>
      <c r="G21" s="371"/>
      <c r="H21" s="371"/>
      <c r="I21" s="371"/>
      <c r="J21" s="371"/>
      <c r="K21" s="375" t="s">
        <v>1532</v>
      </c>
      <c r="L21" s="371"/>
      <c r="M21" s="371"/>
      <c r="N21" s="371"/>
      <c r="O21" s="371"/>
      <c r="P21" s="371" t="s">
        <v>1531</v>
      </c>
      <c r="Q21" s="371"/>
      <c r="R21" s="371"/>
      <c r="S21" s="371"/>
      <c r="T21" s="371"/>
      <c r="U21" s="371"/>
      <c r="V21" s="371"/>
      <c r="W21" s="371"/>
      <c r="X21" s="371"/>
      <c r="Y21" s="371"/>
      <c r="Z21" s="371"/>
      <c r="AA21" s="371"/>
      <c r="AB21" s="371"/>
      <c r="AC21" s="371"/>
      <c r="AD21" s="371"/>
      <c r="AE21" s="371"/>
      <c r="AF21" s="371"/>
      <c r="AG21" s="1867"/>
    </row>
    <row r="22" spans="1:55">
      <c r="A22" s="1867"/>
      <c r="B22" s="1609" t="s">
        <v>1529</v>
      </c>
      <c r="C22" s="371"/>
      <c r="D22" s="371"/>
      <c r="E22" s="371"/>
      <c r="F22" s="371"/>
      <c r="G22" s="371"/>
      <c r="H22" s="371"/>
      <c r="I22" s="371"/>
      <c r="J22" s="371"/>
      <c r="K22" s="371"/>
      <c r="L22" s="371"/>
      <c r="M22" s="371"/>
      <c r="N22" s="371"/>
      <c r="O22" s="371"/>
      <c r="P22" s="371"/>
      <c r="Q22" s="371"/>
      <c r="R22" s="371"/>
      <c r="S22" s="371"/>
      <c r="T22" s="371"/>
      <c r="U22" s="371"/>
      <c r="V22" s="371"/>
      <c r="W22" s="371"/>
      <c r="X22" s="371"/>
      <c r="Y22" s="371"/>
      <c r="Z22" s="371"/>
      <c r="AA22" s="371"/>
      <c r="AB22" s="371"/>
      <c r="AC22" s="371"/>
      <c r="AD22" s="371"/>
      <c r="AE22" s="371"/>
      <c r="AF22" s="371"/>
      <c r="AG22" s="1867"/>
      <c r="BA22" s="4927" t="s">
        <v>1671</v>
      </c>
      <c r="BB22" s="4471"/>
      <c r="BC22" s="4928"/>
    </row>
    <row r="23" spans="1:55">
      <c r="A23" s="1867"/>
      <c r="B23" s="1609" t="s">
        <v>1530</v>
      </c>
      <c r="C23" s="371"/>
      <c r="D23" s="371"/>
      <c r="E23" s="371"/>
      <c r="F23" s="371"/>
      <c r="G23" s="371"/>
      <c r="H23" s="371"/>
      <c r="I23" s="371"/>
      <c r="J23" s="371"/>
      <c r="K23" s="371"/>
      <c r="L23" s="371"/>
      <c r="M23" s="371"/>
      <c r="N23" s="371"/>
      <c r="O23" s="371"/>
      <c r="P23" s="371"/>
      <c r="Q23" s="371"/>
      <c r="R23" s="371"/>
      <c r="S23" s="371"/>
      <c r="T23" s="371"/>
      <c r="U23" s="371"/>
      <c r="V23" s="371"/>
      <c r="W23" s="371"/>
      <c r="X23" s="371"/>
      <c r="Y23" s="371"/>
      <c r="Z23" s="371"/>
      <c r="AA23" s="371"/>
      <c r="AB23" s="371"/>
      <c r="AC23" s="371"/>
      <c r="AD23" s="371"/>
      <c r="AE23" s="371"/>
      <c r="AF23" s="371"/>
      <c r="AG23" s="1867"/>
      <c r="BA23" s="4929" t="s">
        <v>1670</v>
      </c>
      <c r="BB23" s="4929" t="s">
        <v>1660</v>
      </c>
      <c r="BC23" s="4929" t="s">
        <v>1661</v>
      </c>
    </row>
    <row r="24" spans="1:55" ht="4.5" customHeight="1" thickBot="1">
      <c r="A24" s="1867"/>
      <c r="B24" s="371"/>
      <c r="C24" s="371"/>
      <c r="D24" s="371"/>
      <c r="E24" s="371"/>
      <c r="F24" s="371"/>
      <c r="G24" s="371"/>
      <c r="H24" s="371"/>
      <c r="I24" s="371"/>
      <c r="J24" s="371"/>
      <c r="K24" s="371"/>
      <c r="L24" s="371"/>
      <c r="M24" s="371"/>
      <c r="N24" s="371"/>
      <c r="O24" s="371"/>
      <c r="P24" s="371"/>
      <c r="Q24" s="371"/>
      <c r="R24" s="371"/>
      <c r="S24" s="371"/>
      <c r="T24" s="371"/>
      <c r="U24" s="371"/>
      <c r="V24" s="371"/>
      <c r="W24" s="371"/>
      <c r="X24" s="371"/>
      <c r="Y24" s="371"/>
      <c r="Z24" s="371"/>
      <c r="AA24" s="371"/>
      <c r="AB24" s="371"/>
      <c r="AC24" s="371"/>
      <c r="AD24" s="371"/>
      <c r="AE24" s="371"/>
      <c r="AF24" s="371"/>
      <c r="AG24" s="1867"/>
      <c r="BA24" s="4930"/>
      <c r="BB24" s="4930"/>
      <c r="BC24" s="4930"/>
    </row>
    <row r="25" spans="1:55" ht="12" customHeight="1" thickBot="1">
      <c r="A25" s="1867"/>
      <c r="B25" s="2780">
        <f>IF(C25&lt;&gt;"",1,0)</f>
        <v>0</v>
      </c>
      <c r="C25" s="2779"/>
      <c r="D25" s="729" t="s">
        <v>1842</v>
      </c>
      <c r="E25" s="371"/>
      <c r="F25" s="371"/>
      <c r="G25" s="371"/>
      <c r="H25" s="371"/>
      <c r="I25" s="371"/>
      <c r="J25" s="371"/>
      <c r="K25" s="371"/>
      <c r="L25" s="371"/>
      <c r="M25" s="371"/>
      <c r="N25" s="371"/>
      <c r="O25" s="371"/>
      <c r="P25" s="371"/>
      <c r="Q25" s="371"/>
      <c r="R25" s="371"/>
      <c r="S25" s="371"/>
      <c r="T25" s="371"/>
      <c r="U25" s="371"/>
      <c r="V25" s="371"/>
      <c r="W25" s="371"/>
      <c r="X25" s="371"/>
      <c r="Y25" s="371"/>
      <c r="Z25" s="371"/>
      <c r="AA25" s="371"/>
      <c r="AB25" s="371"/>
      <c r="AC25" s="371"/>
      <c r="AD25" s="371"/>
      <c r="AE25" s="371"/>
      <c r="AF25" s="371"/>
      <c r="AG25" s="1867"/>
      <c r="AJ25" s="4922"/>
      <c r="AK25" s="4923"/>
      <c r="AL25" s="4923"/>
      <c r="AM25" s="4923"/>
      <c r="AN25" s="4923"/>
      <c r="AO25" s="4923"/>
      <c r="AP25" s="4923"/>
      <c r="AQ25" s="4923"/>
      <c r="BA25" s="4930"/>
      <c r="BB25" s="4930"/>
      <c r="BC25" s="4930"/>
    </row>
    <row r="26" spans="1:55" ht="4.5" customHeight="1" thickBot="1">
      <c r="A26" s="1867"/>
      <c r="B26" s="2780"/>
      <c r="C26" s="371"/>
      <c r="D26" s="371"/>
      <c r="E26" s="371"/>
      <c r="F26" s="371"/>
      <c r="G26" s="371"/>
      <c r="H26" s="371"/>
      <c r="I26" s="371"/>
      <c r="J26" s="371"/>
      <c r="K26" s="371"/>
      <c r="L26" s="371"/>
      <c r="M26" s="371"/>
      <c r="N26" s="371"/>
      <c r="O26" s="371"/>
      <c r="P26" s="371"/>
      <c r="Q26" s="371"/>
      <c r="R26" s="371"/>
      <c r="S26" s="371"/>
      <c r="T26" s="371"/>
      <c r="U26" s="371"/>
      <c r="V26" s="371"/>
      <c r="W26" s="371"/>
      <c r="X26" s="371"/>
      <c r="Y26" s="371"/>
      <c r="Z26" s="371"/>
      <c r="AA26" s="371"/>
      <c r="AB26" s="371"/>
      <c r="AC26" s="371"/>
      <c r="AD26" s="371"/>
      <c r="AE26" s="371"/>
      <c r="AF26" s="371"/>
      <c r="AG26" s="1867"/>
      <c r="BA26" s="4930"/>
      <c r="BB26" s="4930"/>
      <c r="BC26" s="4930"/>
    </row>
    <row r="27" spans="1:55" ht="11.25" customHeight="1" thickBot="1">
      <c r="A27" s="1867"/>
      <c r="B27" s="2780">
        <f>IF(C27&lt;&gt;"",1,0)</f>
        <v>0</v>
      </c>
      <c r="C27" s="2779"/>
      <c r="D27" s="729" t="s">
        <v>1534</v>
      </c>
      <c r="E27" s="371"/>
      <c r="F27" s="371"/>
      <c r="G27" s="371"/>
      <c r="H27" s="371"/>
      <c r="I27" s="371"/>
      <c r="J27" s="371"/>
      <c r="K27" s="371"/>
      <c r="L27" s="371"/>
      <c r="M27" s="371"/>
      <c r="N27" s="371"/>
      <c r="O27" s="371"/>
      <c r="P27" s="371"/>
      <c r="Q27" s="371"/>
      <c r="R27" s="371"/>
      <c r="S27" s="371"/>
      <c r="T27" s="371"/>
      <c r="U27" s="371"/>
      <c r="V27" s="371"/>
      <c r="W27" s="371"/>
      <c r="X27" s="371"/>
      <c r="Y27" s="371"/>
      <c r="Z27" s="371"/>
      <c r="AA27" s="371"/>
      <c r="AB27" s="371"/>
      <c r="AC27" s="371"/>
      <c r="AD27" s="371"/>
      <c r="AE27" s="371"/>
      <c r="AF27" s="371"/>
      <c r="AG27" s="1867"/>
      <c r="AJ27" s="4922"/>
      <c r="AK27" s="4923"/>
      <c r="AL27" s="4923"/>
      <c r="AM27" s="4923"/>
      <c r="AN27" s="4923"/>
      <c r="AO27" s="4923"/>
      <c r="AP27" s="4923"/>
      <c r="AQ27" s="4923"/>
      <c r="BA27" s="4930"/>
      <c r="BB27" s="4930"/>
      <c r="BC27" s="4930"/>
    </row>
    <row r="28" spans="1:55" ht="4.5" customHeight="1" thickBot="1">
      <c r="A28" s="1867"/>
      <c r="B28" s="2780"/>
      <c r="C28" s="371"/>
      <c r="D28" s="371"/>
      <c r="E28" s="371"/>
      <c r="F28" s="371"/>
      <c r="G28" s="371"/>
      <c r="H28" s="371"/>
      <c r="I28" s="371"/>
      <c r="J28" s="371"/>
      <c r="K28" s="371"/>
      <c r="L28" s="371"/>
      <c r="M28" s="371"/>
      <c r="N28" s="371"/>
      <c r="O28" s="371"/>
      <c r="P28" s="371"/>
      <c r="Q28" s="371"/>
      <c r="R28" s="371"/>
      <c r="S28" s="371"/>
      <c r="T28" s="371"/>
      <c r="U28" s="371"/>
      <c r="V28" s="371"/>
      <c r="W28" s="371"/>
      <c r="X28" s="371"/>
      <c r="Y28" s="371"/>
      <c r="Z28" s="371"/>
      <c r="AA28" s="371"/>
      <c r="AB28" s="371"/>
      <c r="AC28" s="371"/>
      <c r="AD28" s="371"/>
      <c r="AE28" s="371"/>
      <c r="AF28" s="371"/>
      <c r="AG28" s="1867"/>
      <c r="BA28" s="4930"/>
      <c r="BB28" s="4930"/>
      <c r="BC28" s="4930"/>
    </row>
    <row r="29" spans="1:55" ht="12" customHeight="1" thickBot="1">
      <c r="A29" s="1867">
        <f>SUM(B25:B29)</f>
        <v>0</v>
      </c>
      <c r="B29" s="2780">
        <f>IF(C29&lt;&gt;"",1,0)</f>
        <v>0</v>
      </c>
      <c r="C29" s="2779"/>
      <c r="D29" s="729" t="s">
        <v>1535</v>
      </c>
      <c r="E29" s="371"/>
      <c r="F29" s="371"/>
      <c r="G29" s="371"/>
      <c r="H29" s="371"/>
      <c r="I29" s="371"/>
      <c r="J29" s="371"/>
      <c r="K29" s="371"/>
      <c r="L29" s="371"/>
      <c r="M29" s="371"/>
      <c r="N29" s="371"/>
      <c r="O29" s="371"/>
      <c r="P29" s="371"/>
      <c r="Q29" s="371"/>
      <c r="R29" s="4959" t="str">
        <f>IF(SpaceUsed_8949C_ST,"ERROR: DO NOT use space. Use 'Delete'.",IF(A29&gt;1,"Check only ONE box.",IF($A$31&gt;0,"",IF(A29&lt;1,"Check ONE box.",""))))</f>
        <v>Check ONE box.</v>
      </c>
      <c r="S29" s="4960"/>
      <c r="T29" s="4960"/>
      <c r="U29" s="4960"/>
      <c r="V29" s="4960"/>
      <c r="W29" s="4960"/>
      <c r="X29" s="4960"/>
      <c r="Y29" s="4960"/>
      <c r="Z29" s="4960"/>
      <c r="AA29" s="4960"/>
      <c r="AB29" s="4960"/>
      <c r="AC29" s="4960"/>
      <c r="AD29" s="4960"/>
      <c r="AE29" s="4960"/>
      <c r="AF29" s="371"/>
      <c r="AG29" s="1867"/>
      <c r="AH29" s="3123" t="b">
        <f>IF(OR(F8949CSBOXA=CHAR(32),F8949CSBOXB=CHAR(32),F8949CSBOXC=CHAR(32)),TRUE,FALSE)</f>
        <v>0</v>
      </c>
      <c r="AJ29" s="4922" t="s">
        <v>1485</v>
      </c>
      <c r="AK29" s="4923"/>
      <c r="AL29" s="4923"/>
      <c r="AM29" s="4923"/>
      <c r="AN29" s="4923"/>
      <c r="AO29" s="4923"/>
      <c r="AP29" s="4923"/>
      <c r="AQ29" s="4923"/>
      <c r="BA29" s="4930"/>
      <c r="BB29" s="4930"/>
      <c r="BC29" s="4930"/>
    </row>
    <row r="30" spans="1:55" ht="3.75" customHeight="1">
      <c r="A30" s="1867"/>
      <c r="B30" s="372"/>
      <c r="C30" s="1807"/>
      <c r="D30" s="372"/>
      <c r="E30" s="372"/>
      <c r="F30" s="372"/>
      <c r="G30" s="372"/>
      <c r="H30" s="372"/>
      <c r="I30" s="372"/>
      <c r="J30" s="372"/>
      <c r="K30" s="372"/>
      <c r="L30" s="372"/>
      <c r="M30" s="372"/>
      <c r="N30" s="1807"/>
      <c r="O30" s="372"/>
      <c r="P30" s="372"/>
      <c r="Q30" s="372"/>
      <c r="R30" s="372"/>
      <c r="S30" s="372"/>
      <c r="T30" s="372"/>
      <c r="U30" s="372"/>
      <c r="V30" s="372"/>
      <c r="W30" s="372"/>
      <c r="X30" s="372"/>
      <c r="Y30" s="1807"/>
      <c r="Z30" s="372"/>
      <c r="AA30" s="372"/>
      <c r="AB30" s="372"/>
      <c r="AC30" s="372"/>
      <c r="AD30" s="372"/>
      <c r="AE30" s="372"/>
      <c r="AF30" s="372"/>
      <c r="AG30" s="1867"/>
      <c r="BA30" s="4930"/>
      <c r="BB30" s="4930"/>
      <c r="BC30" s="4930"/>
    </row>
    <row r="31" spans="1:55" ht="21" customHeight="1">
      <c r="A31" s="1867">
        <f>SUM(A29,A82)</f>
        <v>0</v>
      </c>
      <c r="B31" s="4982">
        <v>1</v>
      </c>
      <c r="C31" s="4991" t="s">
        <v>1170</v>
      </c>
      <c r="D31" s="4992"/>
      <c r="E31" s="4992"/>
      <c r="F31" s="4992"/>
      <c r="G31" s="4992"/>
      <c r="H31" s="4992"/>
      <c r="I31" s="4993"/>
      <c r="J31" s="4949" t="s">
        <v>1540</v>
      </c>
      <c r="K31" s="4950"/>
      <c r="L31" s="4951"/>
      <c r="M31" s="4949" t="s">
        <v>1541</v>
      </c>
      <c r="N31" s="4950"/>
      <c r="O31" s="4950"/>
      <c r="P31" s="4951"/>
      <c r="Q31" s="4949" t="s">
        <v>1542</v>
      </c>
      <c r="R31" s="4950"/>
      <c r="S31" s="4950"/>
      <c r="T31" s="4951"/>
      <c r="U31" s="4924" t="s">
        <v>1547</v>
      </c>
      <c r="V31" s="4297"/>
      <c r="W31" s="4297"/>
      <c r="X31" s="5006"/>
      <c r="Y31" s="4932" t="s">
        <v>1543</v>
      </c>
      <c r="Z31" s="5000"/>
      <c r="AA31" s="5000"/>
      <c r="AB31" s="5001"/>
      <c r="AC31" s="4924" t="s">
        <v>1546</v>
      </c>
      <c r="AD31" s="4297"/>
      <c r="AE31" s="4297"/>
      <c r="AF31" s="4297"/>
      <c r="AG31" s="1867"/>
      <c r="AJ31" s="4934" t="s">
        <v>1484</v>
      </c>
      <c r="AK31" s="4934" t="s">
        <v>1550</v>
      </c>
      <c r="AL31" s="4934" t="s">
        <v>1551</v>
      </c>
      <c r="AM31" s="4934" t="s">
        <v>1552</v>
      </c>
      <c r="AN31" s="4936" t="s">
        <v>1553</v>
      </c>
      <c r="AO31" s="4932" t="s">
        <v>1543</v>
      </c>
      <c r="AP31" s="4310"/>
      <c r="AQ31" s="4934" t="s">
        <v>1641</v>
      </c>
      <c r="BA31" s="4930"/>
      <c r="BB31" s="4930"/>
      <c r="BC31" s="4930"/>
    </row>
    <row r="32" spans="1:55" ht="21" customHeight="1">
      <c r="A32" s="1867"/>
      <c r="B32" s="3888"/>
      <c r="C32" s="4994"/>
      <c r="D32" s="4995"/>
      <c r="E32" s="4995"/>
      <c r="F32" s="4995"/>
      <c r="G32" s="4995"/>
      <c r="H32" s="4995"/>
      <c r="I32" s="4996"/>
      <c r="J32" s="4952"/>
      <c r="K32" s="4953"/>
      <c r="L32" s="4954"/>
      <c r="M32" s="4952"/>
      <c r="N32" s="4953"/>
      <c r="O32" s="4953"/>
      <c r="P32" s="4954"/>
      <c r="Q32" s="4952"/>
      <c r="R32" s="4953"/>
      <c r="S32" s="4953"/>
      <c r="T32" s="4954"/>
      <c r="U32" s="4925"/>
      <c r="V32" s="4926"/>
      <c r="W32" s="4926"/>
      <c r="X32" s="5031"/>
      <c r="Y32" s="5002"/>
      <c r="Z32" s="5003"/>
      <c r="AA32" s="5003"/>
      <c r="AB32" s="5004"/>
      <c r="AC32" s="4925"/>
      <c r="AD32" s="4926"/>
      <c r="AE32" s="4926"/>
      <c r="AF32" s="4926"/>
      <c r="AG32" s="1867"/>
      <c r="AJ32" s="4934"/>
      <c r="AK32" s="4934"/>
      <c r="AL32" s="4934"/>
      <c r="AM32" s="4934"/>
      <c r="AN32" s="4936"/>
      <c r="AO32" s="4468"/>
      <c r="AP32" s="4316"/>
      <c r="AQ32" s="4934"/>
      <c r="BA32" s="4930"/>
      <c r="BB32" s="4930"/>
      <c r="BC32" s="4930"/>
    </row>
    <row r="33" spans="1:55" ht="18" customHeight="1">
      <c r="A33" s="1867"/>
      <c r="B33" s="4983"/>
      <c r="C33" s="4997"/>
      <c r="D33" s="4997"/>
      <c r="E33" s="4997"/>
      <c r="F33" s="4997"/>
      <c r="G33" s="4997"/>
      <c r="H33" s="4997"/>
      <c r="I33" s="4996"/>
      <c r="J33" s="4955"/>
      <c r="K33" s="4953"/>
      <c r="L33" s="4954"/>
      <c r="M33" s="4955"/>
      <c r="N33" s="4953"/>
      <c r="O33" s="4953"/>
      <c r="P33" s="4954"/>
      <c r="Q33" s="4955"/>
      <c r="R33" s="4953"/>
      <c r="S33" s="4953"/>
      <c r="T33" s="4954"/>
      <c r="U33" s="4298"/>
      <c r="V33" s="4926"/>
      <c r="W33" s="4926"/>
      <c r="X33" s="5031"/>
      <c r="Y33" s="5005" t="s">
        <v>1544</v>
      </c>
      <c r="Z33" s="5006"/>
      <c r="AA33" s="5008" t="s">
        <v>1545</v>
      </c>
      <c r="AB33" s="5009"/>
      <c r="AC33" s="4298"/>
      <c r="AD33" s="4926"/>
      <c r="AE33" s="4926"/>
      <c r="AF33" s="4926"/>
      <c r="AG33" s="1867"/>
      <c r="AJ33" s="4935"/>
      <c r="AK33" s="4935"/>
      <c r="AL33" s="4935"/>
      <c r="AM33" s="4935"/>
      <c r="AN33" s="4937"/>
      <c r="AO33" s="4931" t="s">
        <v>1554</v>
      </c>
      <c r="AP33" s="4933" t="s">
        <v>1545</v>
      </c>
      <c r="AQ33" s="4935"/>
      <c r="BA33" s="4930"/>
      <c r="BB33" s="4930"/>
      <c r="BC33" s="4930"/>
    </row>
    <row r="34" spans="1:55" ht="18" customHeight="1">
      <c r="A34" s="1867"/>
      <c r="B34" s="4984"/>
      <c r="C34" s="4998"/>
      <c r="D34" s="4998"/>
      <c r="E34" s="4998"/>
      <c r="F34" s="4998"/>
      <c r="G34" s="4998"/>
      <c r="H34" s="4998"/>
      <c r="I34" s="4999"/>
      <c r="J34" s="4956"/>
      <c r="K34" s="4957"/>
      <c r="L34" s="4958"/>
      <c r="M34" s="4956"/>
      <c r="N34" s="4957"/>
      <c r="O34" s="4957"/>
      <c r="P34" s="4958"/>
      <c r="Q34" s="4956"/>
      <c r="R34" s="4957"/>
      <c r="S34" s="4957"/>
      <c r="T34" s="4958"/>
      <c r="U34" s="4300"/>
      <c r="V34" s="4301"/>
      <c r="W34" s="4301"/>
      <c r="X34" s="5007"/>
      <c r="Y34" s="4300"/>
      <c r="Z34" s="5007"/>
      <c r="AA34" s="4564"/>
      <c r="AB34" s="4452"/>
      <c r="AC34" s="4300"/>
      <c r="AD34" s="4301"/>
      <c r="AE34" s="4301"/>
      <c r="AF34" s="4301"/>
      <c r="AG34" s="1867"/>
      <c r="AJ34" s="4935"/>
      <c r="AK34" s="4935"/>
      <c r="AL34" s="4935"/>
      <c r="AM34" s="4935"/>
      <c r="AN34" s="4937"/>
      <c r="AO34" s="4244"/>
      <c r="AP34" s="4244"/>
      <c r="AQ34" s="4935"/>
      <c r="BA34" s="4930"/>
      <c r="BB34" s="4930"/>
      <c r="BC34" s="4930"/>
    </row>
    <row r="35" spans="1:55" s="2642" customFormat="1" ht="19.5" customHeight="1">
      <c r="A35" s="1867">
        <f t="shared" ref="A35:A54" si="0">IF(OR(U35&lt;&gt;"",Y35&lt;&gt;""),1,0)</f>
        <v>0</v>
      </c>
      <c r="B35" s="4945" t="str">
        <f t="shared" ref="B35:B54" si="1">IF(AJ35="","",AJ35)</f>
        <v/>
      </c>
      <c r="C35" s="4946"/>
      <c r="D35" s="4946"/>
      <c r="E35" s="4946"/>
      <c r="F35" s="4946"/>
      <c r="G35" s="4946"/>
      <c r="H35" s="4946"/>
      <c r="I35" s="4947"/>
      <c r="J35" s="4943" t="str">
        <f t="shared" ref="J35:J54" si="2">IF(AK35="","",AK35)</f>
        <v/>
      </c>
      <c r="K35" s="4944"/>
      <c r="L35" s="4944"/>
      <c r="M35" s="4943" t="str">
        <f t="shared" ref="M35:M54" si="3">IF(AL35="","",AL35)</f>
        <v/>
      </c>
      <c r="N35" s="4944"/>
      <c r="O35" s="4944"/>
      <c r="P35" s="4948"/>
      <c r="Q35" s="3792" t="str">
        <f t="shared" ref="Q35:Q54" si="4">IF(AM35="","",AM35)</f>
        <v/>
      </c>
      <c r="R35" s="4938"/>
      <c r="S35" s="4938"/>
      <c r="T35" s="4103"/>
      <c r="U35" s="3792" t="str">
        <f t="shared" ref="U35:U54" si="5">IF(AN35="","",AN35)</f>
        <v/>
      </c>
      <c r="V35" s="4938"/>
      <c r="W35" s="4938"/>
      <c r="X35" s="4103"/>
      <c r="Y35" s="4921" t="str">
        <f>IF(AO35&lt;&gt;"",AO35,"")</f>
        <v/>
      </c>
      <c r="Z35" s="3747"/>
      <c r="AA35" s="4921" t="str">
        <f>IF(AP35="","",AP35)</f>
        <v/>
      </c>
      <c r="AB35" s="3747"/>
      <c r="AC35" s="4919" t="str">
        <f>IF(AQ35&lt;&gt;"",AQ35,IF(AND(Q35&lt;&gt;"",U35&lt;&gt;""),SUM(Q35,-U35,AA35),""))</f>
        <v/>
      </c>
      <c r="AD35" s="4920"/>
      <c r="AE35" s="4920"/>
      <c r="AF35" s="4920"/>
      <c r="AG35" s="2837">
        <f>IF(OR(J35="",M35=""),0,IF(OR(BA35,BB35,BC35),0,1))</f>
        <v>0</v>
      </c>
      <c r="AH35" s="1804"/>
      <c r="AI35" s="1804" t="e">
        <f t="shared" ref="AI35:AI54" si="6">M35-J35</f>
        <v>#VALUE!</v>
      </c>
      <c r="AJ35" s="2650"/>
      <c r="AK35" s="2654"/>
      <c r="AL35" s="2654"/>
      <c r="AM35" s="2652"/>
      <c r="AN35" s="2652"/>
      <c r="AO35" s="2653"/>
      <c r="AP35" s="2652"/>
      <c r="AQ35" s="2651"/>
      <c r="AS35" s="2826" t="e">
        <f>YEAR(J35)</f>
        <v>#VALUE!</v>
      </c>
      <c r="AT35" s="2826" t="e">
        <f>MONTH(J35)</f>
        <v>#VALUE!</v>
      </c>
      <c r="AU35" s="2826" t="e">
        <f>DAY(J35)</f>
        <v>#VALUE!</v>
      </c>
      <c r="AV35" s="2826"/>
      <c r="AW35" s="2826" t="e">
        <f>YEAR(M35)</f>
        <v>#VALUE!</v>
      </c>
      <c r="AX35" s="2826" t="e">
        <f>MONTH(M35)</f>
        <v>#VALUE!</v>
      </c>
      <c r="AY35" s="2826" t="e">
        <f>DAY(M35)</f>
        <v>#VALUE!</v>
      </c>
      <c r="AZ35" s="2826"/>
      <c r="BA35" s="2826" t="e">
        <f>IF(AW35=AS35,TRUE,FALSE)</f>
        <v>#VALUE!</v>
      </c>
      <c r="BB35" s="2826" t="e">
        <f>IF(AND(AW35=AS35+1,AX35&lt;AT35),TRUE,FALSE)</f>
        <v>#VALUE!</v>
      </c>
      <c r="BC35" s="2826" t="e">
        <f>IF(AND(AW35=AS35+1,AX35=AT35,AY35&lt;=AU35),TRUE,FALSE)</f>
        <v>#VALUE!</v>
      </c>
    </row>
    <row r="36" spans="1:55" s="2642" customFormat="1" ht="19.5" customHeight="1">
      <c r="A36" s="1867">
        <f t="shared" si="0"/>
        <v>0</v>
      </c>
      <c r="B36" s="4945" t="str">
        <f t="shared" si="1"/>
        <v/>
      </c>
      <c r="C36" s="4946"/>
      <c r="D36" s="4946"/>
      <c r="E36" s="4946"/>
      <c r="F36" s="4946"/>
      <c r="G36" s="4946"/>
      <c r="H36" s="4946"/>
      <c r="I36" s="4947"/>
      <c r="J36" s="4943" t="str">
        <f t="shared" si="2"/>
        <v/>
      </c>
      <c r="K36" s="4944"/>
      <c r="L36" s="4944"/>
      <c r="M36" s="4943" t="str">
        <f t="shared" si="3"/>
        <v/>
      </c>
      <c r="N36" s="4944"/>
      <c r="O36" s="4944"/>
      <c r="P36" s="4948"/>
      <c r="Q36" s="3792" t="str">
        <f t="shared" si="4"/>
        <v/>
      </c>
      <c r="R36" s="4938"/>
      <c r="S36" s="4938"/>
      <c r="T36" s="4103"/>
      <c r="U36" s="3792" t="str">
        <f t="shared" si="5"/>
        <v/>
      </c>
      <c r="V36" s="4938"/>
      <c r="W36" s="4938"/>
      <c r="X36" s="4103"/>
      <c r="Y36" s="4921" t="str">
        <f>IF(AO36&lt;&gt;"",AO36,"")</f>
        <v/>
      </c>
      <c r="Z36" s="3747"/>
      <c r="AA36" s="4921" t="str">
        <f>IF(AP36="","",AP36)</f>
        <v/>
      </c>
      <c r="AB36" s="3747"/>
      <c r="AC36" s="4919" t="str">
        <f t="shared" ref="AC36:AC54" si="7">IF(AQ36&lt;&gt;"",AQ36,IF(AND(Q36&lt;&gt;"",U36&lt;&gt;""),SUM(Q36,-U36,AA36),""))</f>
        <v/>
      </c>
      <c r="AD36" s="4920"/>
      <c r="AE36" s="4920"/>
      <c r="AF36" s="4920"/>
      <c r="AG36" s="2837">
        <f t="shared" ref="AG36:AG54" si="8">IF(OR(J36="",M36=""),0,IF(OR(BA36,BB36,BC36),0,1))</f>
        <v>0</v>
      </c>
      <c r="AH36" s="1804"/>
      <c r="AI36" s="1804" t="e">
        <f t="shared" si="6"/>
        <v>#VALUE!</v>
      </c>
      <c r="AJ36" s="2650"/>
      <c r="AK36" s="2654"/>
      <c r="AL36" s="2654"/>
      <c r="AM36" s="2652"/>
      <c r="AN36" s="2652"/>
      <c r="AO36" s="2653"/>
      <c r="AP36" s="2652"/>
      <c r="AQ36" s="2651"/>
      <c r="AS36" s="2826" t="e">
        <f t="shared" ref="AS36:AS54" si="9">YEAR(J36)</f>
        <v>#VALUE!</v>
      </c>
      <c r="AT36" s="2826" t="e">
        <f t="shared" ref="AT36:AT54" si="10">MONTH(J36)</f>
        <v>#VALUE!</v>
      </c>
      <c r="AU36" s="2826" t="e">
        <f t="shared" ref="AU36:AU54" si="11">DAY(J36)</f>
        <v>#VALUE!</v>
      </c>
      <c r="AV36" s="2826"/>
      <c r="AW36" s="2826" t="e">
        <f t="shared" ref="AW36:AW54" si="12">YEAR(M36)</f>
        <v>#VALUE!</v>
      </c>
      <c r="AX36" s="2826" t="e">
        <f t="shared" ref="AX36:AX54" si="13">MONTH(M36)</f>
        <v>#VALUE!</v>
      </c>
      <c r="AY36" s="2826" t="e">
        <f t="shared" ref="AY36:AY54" si="14">DAY(M36)</f>
        <v>#VALUE!</v>
      </c>
      <c r="AZ36" s="2826"/>
      <c r="BA36" s="2826" t="e">
        <f t="shared" ref="BA36:BA54" si="15">IF(AW36=AS36,TRUE,FALSE)</f>
        <v>#VALUE!</v>
      </c>
      <c r="BB36" s="2826" t="e">
        <f t="shared" ref="BB36:BB54" si="16">IF(AND(AW36=AS36+1,AX36&lt;AT36),TRUE,FALSE)</f>
        <v>#VALUE!</v>
      </c>
      <c r="BC36" s="2826" t="e">
        <f t="shared" ref="BC36:BC54" si="17">IF(AND(AW36=AS36+1,AX36=AT36,AY36&lt;=AU36),TRUE,FALSE)</f>
        <v>#VALUE!</v>
      </c>
    </row>
    <row r="37" spans="1:55" s="2642" customFormat="1" ht="19.5" customHeight="1">
      <c r="A37" s="1867">
        <f t="shared" si="0"/>
        <v>0</v>
      </c>
      <c r="B37" s="4945" t="str">
        <f t="shared" si="1"/>
        <v/>
      </c>
      <c r="C37" s="4946"/>
      <c r="D37" s="4946"/>
      <c r="E37" s="4946"/>
      <c r="F37" s="4946"/>
      <c r="G37" s="4946"/>
      <c r="H37" s="4946"/>
      <c r="I37" s="4947"/>
      <c r="J37" s="4943" t="str">
        <f t="shared" si="2"/>
        <v/>
      </c>
      <c r="K37" s="4944"/>
      <c r="L37" s="4944"/>
      <c r="M37" s="4943" t="str">
        <f t="shared" si="3"/>
        <v/>
      </c>
      <c r="N37" s="4944"/>
      <c r="O37" s="4944"/>
      <c r="P37" s="4948"/>
      <c r="Q37" s="3792" t="str">
        <f t="shared" si="4"/>
        <v/>
      </c>
      <c r="R37" s="4938"/>
      <c r="S37" s="4938"/>
      <c r="T37" s="4103"/>
      <c r="U37" s="3792" t="str">
        <f t="shared" si="5"/>
        <v/>
      </c>
      <c r="V37" s="4938"/>
      <c r="W37" s="4938"/>
      <c r="X37" s="4103"/>
      <c r="Y37" s="4921" t="str">
        <f>IF(AO37&lt;&gt;"",AO37,"")</f>
        <v/>
      </c>
      <c r="Z37" s="3747"/>
      <c r="AA37" s="4921" t="str">
        <f>IF(AP37="","",AP37)</f>
        <v/>
      </c>
      <c r="AB37" s="3747"/>
      <c r="AC37" s="4919" t="str">
        <f t="shared" si="7"/>
        <v/>
      </c>
      <c r="AD37" s="4920"/>
      <c r="AE37" s="4920"/>
      <c r="AF37" s="4920"/>
      <c r="AG37" s="2837">
        <f t="shared" si="8"/>
        <v>0</v>
      </c>
      <c r="AH37" s="1804"/>
      <c r="AI37" s="1804" t="e">
        <f t="shared" si="6"/>
        <v>#VALUE!</v>
      </c>
      <c r="AJ37" s="2650"/>
      <c r="AK37" s="2654"/>
      <c r="AL37" s="2654"/>
      <c r="AM37" s="2652"/>
      <c r="AN37" s="2652"/>
      <c r="AO37" s="2653"/>
      <c r="AP37" s="2652"/>
      <c r="AQ37" s="2651"/>
      <c r="AS37" s="2826" t="e">
        <f t="shared" si="9"/>
        <v>#VALUE!</v>
      </c>
      <c r="AT37" s="2826" t="e">
        <f t="shared" si="10"/>
        <v>#VALUE!</v>
      </c>
      <c r="AU37" s="2826" t="e">
        <f t="shared" si="11"/>
        <v>#VALUE!</v>
      </c>
      <c r="AV37" s="2826"/>
      <c r="AW37" s="2826" t="e">
        <f t="shared" si="12"/>
        <v>#VALUE!</v>
      </c>
      <c r="AX37" s="2826" t="e">
        <f t="shared" si="13"/>
        <v>#VALUE!</v>
      </c>
      <c r="AY37" s="2826" t="e">
        <f t="shared" si="14"/>
        <v>#VALUE!</v>
      </c>
      <c r="AZ37" s="2826"/>
      <c r="BA37" s="2826" t="e">
        <f t="shared" si="15"/>
        <v>#VALUE!</v>
      </c>
      <c r="BB37" s="2826" t="e">
        <f t="shared" si="16"/>
        <v>#VALUE!</v>
      </c>
      <c r="BC37" s="2826" t="e">
        <f t="shared" si="17"/>
        <v>#VALUE!</v>
      </c>
    </row>
    <row r="38" spans="1:55" s="2642" customFormat="1" ht="19.5" customHeight="1">
      <c r="A38" s="1867">
        <f t="shared" si="0"/>
        <v>0</v>
      </c>
      <c r="B38" s="4945" t="str">
        <f t="shared" si="1"/>
        <v/>
      </c>
      <c r="C38" s="4946"/>
      <c r="D38" s="4946"/>
      <c r="E38" s="4946"/>
      <c r="F38" s="4946"/>
      <c r="G38" s="4946"/>
      <c r="H38" s="4946"/>
      <c r="I38" s="4947"/>
      <c r="J38" s="4943" t="str">
        <f t="shared" si="2"/>
        <v/>
      </c>
      <c r="K38" s="4944"/>
      <c r="L38" s="4944"/>
      <c r="M38" s="4943" t="str">
        <f t="shared" si="3"/>
        <v/>
      </c>
      <c r="N38" s="4944"/>
      <c r="O38" s="4944"/>
      <c r="P38" s="4948"/>
      <c r="Q38" s="3792" t="str">
        <f t="shared" si="4"/>
        <v/>
      </c>
      <c r="R38" s="4938"/>
      <c r="S38" s="4938"/>
      <c r="T38" s="4103"/>
      <c r="U38" s="3792" t="str">
        <f t="shared" si="5"/>
        <v/>
      </c>
      <c r="V38" s="4938"/>
      <c r="W38" s="4938"/>
      <c r="X38" s="4103"/>
      <c r="Y38" s="4921" t="str">
        <f t="shared" ref="Y38:Y54" si="18">IF(AO38&lt;&gt;"",AO38,"")</f>
        <v/>
      </c>
      <c r="Z38" s="3747"/>
      <c r="AA38" s="4921" t="str">
        <f t="shared" ref="AA38:AA54" si="19">IF(AP38="","",AP38)</f>
        <v/>
      </c>
      <c r="AB38" s="3747"/>
      <c r="AC38" s="4919" t="str">
        <f t="shared" si="7"/>
        <v/>
      </c>
      <c r="AD38" s="4920"/>
      <c r="AE38" s="4920"/>
      <c r="AF38" s="4920"/>
      <c r="AG38" s="2837">
        <f t="shared" si="8"/>
        <v>0</v>
      </c>
      <c r="AH38" s="1804"/>
      <c r="AI38" s="1804" t="e">
        <f t="shared" si="6"/>
        <v>#VALUE!</v>
      </c>
      <c r="AJ38" s="2650"/>
      <c r="AK38" s="2654"/>
      <c r="AL38" s="2654"/>
      <c r="AM38" s="2652"/>
      <c r="AN38" s="2652"/>
      <c r="AO38" s="2653"/>
      <c r="AP38" s="2652"/>
      <c r="AQ38" s="2651"/>
      <c r="AS38" s="2826" t="e">
        <f t="shared" si="9"/>
        <v>#VALUE!</v>
      </c>
      <c r="AT38" s="2826" t="e">
        <f t="shared" si="10"/>
        <v>#VALUE!</v>
      </c>
      <c r="AU38" s="2826" t="e">
        <f t="shared" si="11"/>
        <v>#VALUE!</v>
      </c>
      <c r="AV38" s="2826"/>
      <c r="AW38" s="2826" t="e">
        <f t="shared" si="12"/>
        <v>#VALUE!</v>
      </c>
      <c r="AX38" s="2826" t="e">
        <f t="shared" si="13"/>
        <v>#VALUE!</v>
      </c>
      <c r="AY38" s="2826" t="e">
        <f t="shared" si="14"/>
        <v>#VALUE!</v>
      </c>
      <c r="AZ38" s="2826"/>
      <c r="BA38" s="2826" t="e">
        <f t="shared" si="15"/>
        <v>#VALUE!</v>
      </c>
      <c r="BB38" s="2826" t="e">
        <f t="shared" si="16"/>
        <v>#VALUE!</v>
      </c>
      <c r="BC38" s="2826" t="e">
        <f t="shared" si="17"/>
        <v>#VALUE!</v>
      </c>
    </row>
    <row r="39" spans="1:55" s="2642" customFormat="1" ht="19.5" customHeight="1">
      <c r="A39" s="1867">
        <f t="shared" si="0"/>
        <v>0</v>
      </c>
      <c r="B39" s="4945" t="str">
        <f t="shared" si="1"/>
        <v/>
      </c>
      <c r="C39" s="4946"/>
      <c r="D39" s="4946"/>
      <c r="E39" s="4946"/>
      <c r="F39" s="4946"/>
      <c r="G39" s="4946"/>
      <c r="H39" s="4946"/>
      <c r="I39" s="4947"/>
      <c r="J39" s="4943" t="str">
        <f t="shared" si="2"/>
        <v/>
      </c>
      <c r="K39" s="4944"/>
      <c r="L39" s="4944"/>
      <c r="M39" s="4943" t="str">
        <f t="shared" si="3"/>
        <v/>
      </c>
      <c r="N39" s="4944"/>
      <c r="O39" s="4944"/>
      <c r="P39" s="4948"/>
      <c r="Q39" s="3792" t="str">
        <f t="shared" si="4"/>
        <v/>
      </c>
      <c r="R39" s="4938"/>
      <c r="S39" s="4938"/>
      <c r="T39" s="4103"/>
      <c r="U39" s="3792" t="str">
        <f t="shared" si="5"/>
        <v/>
      </c>
      <c r="V39" s="4938"/>
      <c r="W39" s="4938"/>
      <c r="X39" s="4103"/>
      <c r="Y39" s="4921" t="str">
        <f t="shared" si="18"/>
        <v/>
      </c>
      <c r="Z39" s="3747"/>
      <c r="AA39" s="4921" t="str">
        <f t="shared" si="19"/>
        <v/>
      </c>
      <c r="AB39" s="3747"/>
      <c r="AC39" s="4919" t="str">
        <f t="shared" si="7"/>
        <v/>
      </c>
      <c r="AD39" s="4920"/>
      <c r="AE39" s="4920"/>
      <c r="AF39" s="4920"/>
      <c r="AG39" s="2837">
        <f t="shared" si="8"/>
        <v>0</v>
      </c>
      <c r="AH39" s="1804"/>
      <c r="AI39" s="1804" t="e">
        <f t="shared" si="6"/>
        <v>#VALUE!</v>
      </c>
      <c r="AJ39" s="2650"/>
      <c r="AK39" s="2654"/>
      <c r="AL39" s="2654"/>
      <c r="AM39" s="2652"/>
      <c r="AN39" s="2652"/>
      <c r="AO39" s="2653"/>
      <c r="AP39" s="2652"/>
      <c r="AQ39" s="2651"/>
      <c r="AS39" s="2826" t="e">
        <f t="shared" si="9"/>
        <v>#VALUE!</v>
      </c>
      <c r="AT39" s="2826" t="e">
        <f t="shared" si="10"/>
        <v>#VALUE!</v>
      </c>
      <c r="AU39" s="2826" t="e">
        <f t="shared" si="11"/>
        <v>#VALUE!</v>
      </c>
      <c r="AV39" s="2826"/>
      <c r="AW39" s="2826" t="e">
        <f t="shared" si="12"/>
        <v>#VALUE!</v>
      </c>
      <c r="AX39" s="2826" t="e">
        <f t="shared" si="13"/>
        <v>#VALUE!</v>
      </c>
      <c r="AY39" s="2826" t="e">
        <f t="shared" si="14"/>
        <v>#VALUE!</v>
      </c>
      <c r="AZ39" s="2826"/>
      <c r="BA39" s="2826" t="e">
        <f t="shared" si="15"/>
        <v>#VALUE!</v>
      </c>
      <c r="BB39" s="2826" t="e">
        <f t="shared" si="16"/>
        <v>#VALUE!</v>
      </c>
      <c r="BC39" s="2826" t="e">
        <f t="shared" si="17"/>
        <v>#VALUE!</v>
      </c>
    </row>
    <row r="40" spans="1:55" s="2642" customFormat="1" ht="19.5" customHeight="1">
      <c r="A40" s="1867">
        <f t="shared" si="0"/>
        <v>0</v>
      </c>
      <c r="B40" s="4945" t="str">
        <f t="shared" si="1"/>
        <v/>
      </c>
      <c r="C40" s="4946"/>
      <c r="D40" s="4946"/>
      <c r="E40" s="4946"/>
      <c r="F40" s="4946"/>
      <c r="G40" s="4946"/>
      <c r="H40" s="4946"/>
      <c r="I40" s="4947"/>
      <c r="J40" s="4943" t="str">
        <f t="shared" si="2"/>
        <v/>
      </c>
      <c r="K40" s="4944"/>
      <c r="L40" s="4944"/>
      <c r="M40" s="4943" t="str">
        <f t="shared" si="3"/>
        <v/>
      </c>
      <c r="N40" s="4944"/>
      <c r="O40" s="4944"/>
      <c r="P40" s="4948"/>
      <c r="Q40" s="3792" t="str">
        <f t="shared" si="4"/>
        <v/>
      </c>
      <c r="R40" s="4938"/>
      <c r="S40" s="4938"/>
      <c r="T40" s="4103"/>
      <c r="U40" s="3792" t="str">
        <f t="shared" si="5"/>
        <v/>
      </c>
      <c r="V40" s="4938"/>
      <c r="W40" s="4938"/>
      <c r="X40" s="4103"/>
      <c r="Y40" s="4921" t="str">
        <f t="shared" si="18"/>
        <v/>
      </c>
      <c r="Z40" s="3747"/>
      <c r="AA40" s="4921" t="str">
        <f t="shared" si="19"/>
        <v/>
      </c>
      <c r="AB40" s="3747"/>
      <c r="AC40" s="4919" t="str">
        <f t="shared" si="7"/>
        <v/>
      </c>
      <c r="AD40" s="4920"/>
      <c r="AE40" s="4920"/>
      <c r="AF40" s="4920"/>
      <c r="AG40" s="2837">
        <f t="shared" si="8"/>
        <v>0</v>
      </c>
      <c r="AH40" s="1804"/>
      <c r="AI40" s="1804" t="e">
        <f t="shared" si="6"/>
        <v>#VALUE!</v>
      </c>
      <c r="AJ40" s="2650"/>
      <c r="AK40" s="2654"/>
      <c r="AL40" s="2654"/>
      <c r="AM40" s="2652"/>
      <c r="AN40" s="2652"/>
      <c r="AO40" s="2653"/>
      <c r="AP40" s="2652"/>
      <c r="AQ40" s="2651"/>
      <c r="AS40" s="2826" t="e">
        <f t="shared" si="9"/>
        <v>#VALUE!</v>
      </c>
      <c r="AT40" s="2826" t="e">
        <f t="shared" si="10"/>
        <v>#VALUE!</v>
      </c>
      <c r="AU40" s="2826" t="e">
        <f t="shared" si="11"/>
        <v>#VALUE!</v>
      </c>
      <c r="AV40" s="2826"/>
      <c r="AW40" s="2826" t="e">
        <f t="shared" si="12"/>
        <v>#VALUE!</v>
      </c>
      <c r="AX40" s="2826" t="e">
        <f t="shared" si="13"/>
        <v>#VALUE!</v>
      </c>
      <c r="AY40" s="2826" t="e">
        <f t="shared" si="14"/>
        <v>#VALUE!</v>
      </c>
      <c r="AZ40" s="2826"/>
      <c r="BA40" s="2826" t="e">
        <f t="shared" si="15"/>
        <v>#VALUE!</v>
      </c>
      <c r="BB40" s="2826" t="e">
        <f t="shared" si="16"/>
        <v>#VALUE!</v>
      </c>
      <c r="BC40" s="2826" t="e">
        <f t="shared" si="17"/>
        <v>#VALUE!</v>
      </c>
    </row>
    <row r="41" spans="1:55" s="2642" customFormat="1" ht="19.5" customHeight="1">
      <c r="A41" s="1867">
        <f t="shared" si="0"/>
        <v>0</v>
      </c>
      <c r="B41" s="4945" t="str">
        <f t="shared" si="1"/>
        <v/>
      </c>
      <c r="C41" s="4946"/>
      <c r="D41" s="4946"/>
      <c r="E41" s="4946"/>
      <c r="F41" s="4946"/>
      <c r="G41" s="4946"/>
      <c r="H41" s="4946"/>
      <c r="I41" s="4947"/>
      <c r="J41" s="4943" t="str">
        <f t="shared" si="2"/>
        <v/>
      </c>
      <c r="K41" s="4944"/>
      <c r="L41" s="4944"/>
      <c r="M41" s="4943" t="str">
        <f t="shared" si="3"/>
        <v/>
      </c>
      <c r="N41" s="4944"/>
      <c r="O41" s="4944"/>
      <c r="P41" s="4948"/>
      <c r="Q41" s="3792" t="str">
        <f t="shared" si="4"/>
        <v/>
      </c>
      <c r="R41" s="4938"/>
      <c r="S41" s="4938"/>
      <c r="T41" s="4103"/>
      <c r="U41" s="3792" t="str">
        <f t="shared" si="5"/>
        <v/>
      </c>
      <c r="V41" s="4938"/>
      <c r="W41" s="4938"/>
      <c r="X41" s="4103"/>
      <c r="Y41" s="4921" t="str">
        <f t="shared" si="18"/>
        <v/>
      </c>
      <c r="Z41" s="3747"/>
      <c r="AA41" s="4921" t="str">
        <f t="shared" si="19"/>
        <v/>
      </c>
      <c r="AB41" s="3747"/>
      <c r="AC41" s="4919" t="str">
        <f t="shared" si="7"/>
        <v/>
      </c>
      <c r="AD41" s="4920"/>
      <c r="AE41" s="4920"/>
      <c r="AF41" s="4920"/>
      <c r="AG41" s="2837">
        <f t="shared" si="8"/>
        <v>0</v>
      </c>
      <c r="AH41" s="1804"/>
      <c r="AI41" s="1804" t="e">
        <f t="shared" si="6"/>
        <v>#VALUE!</v>
      </c>
      <c r="AJ41" s="2650"/>
      <c r="AK41" s="2654"/>
      <c r="AL41" s="2654"/>
      <c r="AM41" s="2652"/>
      <c r="AN41" s="2652"/>
      <c r="AO41" s="2653"/>
      <c r="AP41" s="2652"/>
      <c r="AQ41" s="2651"/>
      <c r="AS41" s="2826" t="e">
        <f t="shared" si="9"/>
        <v>#VALUE!</v>
      </c>
      <c r="AT41" s="2826" t="e">
        <f t="shared" si="10"/>
        <v>#VALUE!</v>
      </c>
      <c r="AU41" s="2826" t="e">
        <f t="shared" si="11"/>
        <v>#VALUE!</v>
      </c>
      <c r="AV41" s="2826"/>
      <c r="AW41" s="2826" t="e">
        <f t="shared" si="12"/>
        <v>#VALUE!</v>
      </c>
      <c r="AX41" s="2826" t="e">
        <f t="shared" si="13"/>
        <v>#VALUE!</v>
      </c>
      <c r="AY41" s="2826" t="e">
        <f t="shared" si="14"/>
        <v>#VALUE!</v>
      </c>
      <c r="AZ41" s="2826"/>
      <c r="BA41" s="2826" t="e">
        <f t="shared" si="15"/>
        <v>#VALUE!</v>
      </c>
      <c r="BB41" s="2826" t="e">
        <f t="shared" si="16"/>
        <v>#VALUE!</v>
      </c>
      <c r="BC41" s="2826" t="e">
        <f t="shared" si="17"/>
        <v>#VALUE!</v>
      </c>
    </row>
    <row r="42" spans="1:55" s="2642" customFormat="1" ht="19.5" customHeight="1">
      <c r="A42" s="1867">
        <f t="shared" si="0"/>
        <v>0</v>
      </c>
      <c r="B42" s="4945" t="str">
        <f t="shared" si="1"/>
        <v/>
      </c>
      <c r="C42" s="4946"/>
      <c r="D42" s="4946"/>
      <c r="E42" s="4946"/>
      <c r="F42" s="4946"/>
      <c r="G42" s="4946"/>
      <c r="H42" s="4946"/>
      <c r="I42" s="4947"/>
      <c r="J42" s="4943" t="str">
        <f t="shared" si="2"/>
        <v/>
      </c>
      <c r="K42" s="4944"/>
      <c r="L42" s="4944"/>
      <c r="M42" s="4943" t="str">
        <f t="shared" si="3"/>
        <v/>
      </c>
      <c r="N42" s="4944"/>
      <c r="O42" s="4944"/>
      <c r="P42" s="4948"/>
      <c r="Q42" s="3792" t="str">
        <f t="shared" si="4"/>
        <v/>
      </c>
      <c r="R42" s="4938"/>
      <c r="S42" s="4938"/>
      <c r="T42" s="4103"/>
      <c r="U42" s="3792" t="str">
        <f t="shared" si="5"/>
        <v/>
      </c>
      <c r="V42" s="4938"/>
      <c r="W42" s="4938"/>
      <c r="X42" s="4103"/>
      <c r="Y42" s="4921" t="str">
        <f t="shared" si="18"/>
        <v/>
      </c>
      <c r="Z42" s="3747"/>
      <c r="AA42" s="4921" t="str">
        <f t="shared" si="19"/>
        <v/>
      </c>
      <c r="AB42" s="3747"/>
      <c r="AC42" s="4919" t="str">
        <f t="shared" si="7"/>
        <v/>
      </c>
      <c r="AD42" s="4920"/>
      <c r="AE42" s="4920"/>
      <c r="AF42" s="4920"/>
      <c r="AG42" s="2837">
        <f t="shared" si="8"/>
        <v>0</v>
      </c>
      <c r="AH42" s="1804"/>
      <c r="AI42" s="1804" t="e">
        <f t="shared" si="6"/>
        <v>#VALUE!</v>
      </c>
      <c r="AJ42" s="2650"/>
      <c r="AK42" s="2654"/>
      <c r="AL42" s="2654"/>
      <c r="AM42" s="2652"/>
      <c r="AN42" s="2652"/>
      <c r="AO42" s="2653"/>
      <c r="AP42" s="2652"/>
      <c r="AQ42" s="2651"/>
      <c r="AS42" s="2826" t="e">
        <f t="shared" si="9"/>
        <v>#VALUE!</v>
      </c>
      <c r="AT42" s="2826" t="e">
        <f t="shared" si="10"/>
        <v>#VALUE!</v>
      </c>
      <c r="AU42" s="2826" t="e">
        <f t="shared" si="11"/>
        <v>#VALUE!</v>
      </c>
      <c r="AV42" s="2826"/>
      <c r="AW42" s="2826" t="e">
        <f t="shared" si="12"/>
        <v>#VALUE!</v>
      </c>
      <c r="AX42" s="2826" t="e">
        <f t="shared" si="13"/>
        <v>#VALUE!</v>
      </c>
      <c r="AY42" s="2826" t="e">
        <f t="shared" si="14"/>
        <v>#VALUE!</v>
      </c>
      <c r="AZ42" s="2826"/>
      <c r="BA42" s="2826" t="e">
        <f t="shared" si="15"/>
        <v>#VALUE!</v>
      </c>
      <c r="BB42" s="2826" t="e">
        <f t="shared" si="16"/>
        <v>#VALUE!</v>
      </c>
      <c r="BC42" s="2826" t="e">
        <f t="shared" si="17"/>
        <v>#VALUE!</v>
      </c>
    </row>
    <row r="43" spans="1:55" s="2642" customFormat="1" ht="19.5" customHeight="1">
      <c r="A43" s="1867">
        <f t="shared" si="0"/>
        <v>0</v>
      </c>
      <c r="B43" s="4945" t="str">
        <f t="shared" si="1"/>
        <v/>
      </c>
      <c r="C43" s="4946"/>
      <c r="D43" s="4946"/>
      <c r="E43" s="4946"/>
      <c r="F43" s="4946"/>
      <c r="G43" s="4946"/>
      <c r="H43" s="4946"/>
      <c r="I43" s="4947"/>
      <c r="J43" s="4943" t="str">
        <f t="shared" si="2"/>
        <v/>
      </c>
      <c r="K43" s="4944"/>
      <c r="L43" s="4944"/>
      <c r="M43" s="4943" t="str">
        <f t="shared" si="3"/>
        <v/>
      </c>
      <c r="N43" s="4944"/>
      <c r="O43" s="4944"/>
      <c r="P43" s="4948"/>
      <c r="Q43" s="3792" t="str">
        <f t="shared" si="4"/>
        <v/>
      </c>
      <c r="R43" s="4938"/>
      <c r="S43" s="4938"/>
      <c r="T43" s="4103"/>
      <c r="U43" s="3792" t="str">
        <f t="shared" si="5"/>
        <v/>
      </c>
      <c r="V43" s="4938"/>
      <c r="W43" s="4938"/>
      <c r="X43" s="4103"/>
      <c r="Y43" s="4921" t="str">
        <f t="shared" si="18"/>
        <v/>
      </c>
      <c r="Z43" s="3747"/>
      <c r="AA43" s="4921" t="str">
        <f t="shared" si="19"/>
        <v/>
      </c>
      <c r="AB43" s="3747"/>
      <c r="AC43" s="4919" t="str">
        <f t="shared" si="7"/>
        <v/>
      </c>
      <c r="AD43" s="4920"/>
      <c r="AE43" s="4920"/>
      <c r="AF43" s="4920"/>
      <c r="AG43" s="2837">
        <f t="shared" si="8"/>
        <v>0</v>
      </c>
      <c r="AH43" s="1804"/>
      <c r="AI43" s="1804" t="e">
        <f t="shared" si="6"/>
        <v>#VALUE!</v>
      </c>
      <c r="AJ43" s="2650"/>
      <c r="AK43" s="2654"/>
      <c r="AL43" s="2654"/>
      <c r="AM43" s="2652"/>
      <c r="AN43" s="2652"/>
      <c r="AO43" s="2653"/>
      <c r="AP43" s="2652"/>
      <c r="AQ43" s="2651"/>
      <c r="AS43" s="2826" t="e">
        <f t="shared" si="9"/>
        <v>#VALUE!</v>
      </c>
      <c r="AT43" s="2826" t="e">
        <f t="shared" si="10"/>
        <v>#VALUE!</v>
      </c>
      <c r="AU43" s="2826" t="e">
        <f t="shared" si="11"/>
        <v>#VALUE!</v>
      </c>
      <c r="AV43" s="2826"/>
      <c r="AW43" s="2826" t="e">
        <f t="shared" si="12"/>
        <v>#VALUE!</v>
      </c>
      <c r="AX43" s="2826" t="e">
        <f t="shared" si="13"/>
        <v>#VALUE!</v>
      </c>
      <c r="AY43" s="2826" t="e">
        <f t="shared" si="14"/>
        <v>#VALUE!</v>
      </c>
      <c r="AZ43" s="2826"/>
      <c r="BA43" s="2826" t="e">
        <f t="shared" si="15"/>
        <v>#VALUE!</v>
      </c>
      <c r="BB43" s="2826" t="e">
        <f t="shared" si="16"/>
        <v>#VALUE!</v>
      </c>
      <c r="BC43" s="2826" t="e">
        <f t="shared" si="17"/>
        <v>#VALUE!</v>
      </c>
    </row>
    <row r="44" spans="1:55" s="2642" customFormat="1" ht="19.5" customHeight="1">
      <c r="A44" s="1867">
        <f t="shared" si="0"/>
        <v>0</v>
      </c>
      <c r="B44" s="4945" t="str">
        <f t="shared" si="1"/>
        <v/>
      </c>
      <c r="C44" s="4946"/>
      <c r="D44" s="4946"/>
      <c r="E44" s="4946"/>
      <c r="F44" s="4946"/>
      <c r="G44" s="4946"/>
      <c r="H44" s="4946"/>
      <c r="I44" s="4947"/>
      <c r="J44" s="4943" t="str">
        <f t="shared" si="2"/>
        <v/>
      </c>
      <c r="K44" s="4944"/>
      <c r="L44" s="4944"/>
      <c r="M44" s="4943" t="str">
        <f t="shared" si="3"/>
        <v/>
      </c>
      <c r="N44" s="4944"/>
      <c r="O44" s="4944"/>
      <c r="P44" s="4948"/>
      <c r="Q44" s="3792" t="str">
        <f t="shared" si="4"/>
        <v/>
      </c>
      <c r="R44" s="4938"/>
      <c r="S44" s="4938"/>
      <c r="T44" s="4103"/>
      <c r="U44" s="3792" t="str">
        <f t="shared" si="5"/>
        <v/>
      </c>
      <c r="V44" s="4938"/>
      <c r="W44" s="4938"/>
      <c r="X44" s="4103"/>
      <c r="Y44" s="4921" t="str">
        <f t="shared" si="18"/>
        <v/>
      </c>
      <c r="Z44" s="3747"/>
      <c r="AA44" s="4921" t="str">
        <f t="shared" si="19"/>
        <v/>
      </c>
      <c r="AB44" s="3747"/>
      <c r="AC44" s="4919" t="str">
        <f t="shared" si="7"/>
        <v/>
      </c>
      <c r="AD44" s="4920"/>
      <c r="AE44" s="4920"/>
      <c r="AF44" s="4920"/>
      <c r="AG44" s="2837">
        <f t="shared" si="8"/>
        <v>0</v>
      </c>
      <c r="AH44" s="1804"/>
      <c r="AI44" s="1804" t="e">
        <f t="shared" si="6"/>
        <v>#VALUE!</v>
      </c>
      <c r="AJ44" s="2650"/>
      <c r="AK44" s="2654"/>
      <c r="AL44" s="2654"/>
      <c r="AM44" s="2652"/>
      <c r="AN44" s="2652"/>
      <c r="AO44" s="2653"/>
      <c r="AP44" s="2652"/>
      <c r="AQ44" s="2651"/>
      <c r="AS44" s="2826" t="e">
        <f t="shared" si="9"/>
        <v>#VALUE!</v>
      </c>
      <c r="AT44" s="2826" t="e">
        <f t="shared" si="10"/>
        <v>#VALUE!</v>
      </c>
      <c r="AU44" s="2826" t="e">
        <f t="shared" si="11"/>
        <v>#VALUE!</v>
      </c>
      <c r="AV44" s="2826"/>
      <c r="AW44" s="2826" t="e">
        <f t="shared" si="12"/>
        <v>#VALUE!</v>
      </c>
      <c r="AX44" s="2826" t="e">
        <f t="shared" si="13"/>
        <v>#VALUE!</v>
      </c>
      <c r="AY44" s="2826" t="e">
        <f t="shared" si="14"/>
        <v>#VALUE!</v>
      </c>
      <c r="AZ44" s="2826"/>
      <c r="BA44" s="2826" t="e">
        <f t="shared" si="15"/>
        <v>#VALUE!</v>
      </c>
      <c r="BB44" s="2826" t="e">
        <f t="shared" si="16"/>
        <v>#VALUE!</v>
      </c>
      <c r="BC44" s="2826" t="e">
        <f t="shared" si="17"/>
        <v>#VALUE!</v>
      </c>
    </row>
    <row r="45" spans="1:55" s="2642" customFormat="1" ht="19.5" customHeight="1">
      <c r="A45" s="1867">
        <f t="shared" si="0"/>
        <v>0</v>
      </c>
      <c r="B45" s="4945" t="str">
        <f t="shared" si="1"/>
        <v/>
      </c>
      <c r="C45" s="4946"/>
      <c r="D45" s="4946"/>
      <c r="E45" s="4946"/>
      <c r="F45" s="4946"/>
      <c r="G45" s="4946"/>
      <c r="H45" s="4946"/>
      <c r="I45" s="4947"/>
      <c r="J45" s="4943" t="str">
        <f t="shared" si="2"/>
        <v/>
      </c>
      <c r="K45" s="4944"/>
      <c r="L45" s="4944"/>
      <c r="M45" s="4943" t="str">
        <f t="shared" si="3"/>
        <v/>
      </c>
      <c r="N45" s="4944"/>
      <c r="O45" s="4944"/>
      <c r="P45" s="4948"/>
      <c r="Q45" s="3792" t="str">
        <f t="shared" si="4"/>
        <v/>
      </c>
      <c r="R45" s="4938"/>
      <c r="S45" s="4938"/>
      <c r="T45" s="4103"/>
      <c r="U45" s="3792" t="str">
        <f t="shared" si="5"/>
        <v/>
      </c>
      <c r="V45" s="4938"/>
      <c r="W45" s="4938"/>
      <c r="X45" s="4103"/>
      <c r="Y45" s="4921" t="str">
        <f t="shared" si="18"/>
        <v/>
      </c>
      <c r="Z45" s="3747"/>
      <c r="AA45" s="4921" t="str">
        <f t="shared" si="19"/>
        <v/>
      </c>
      <c r="AB45" s="3747"/>
      <c r="AC45" s="4919" t="str">
        <f t="shared" si="7"/>
        <v/>
      </c>
      <c r="AD45" s="4920"/>
      <c r="AE45" s="4920"/>
      <c r="AF45" s="4920"/>
      <c r="AG45" s="2837">
        <f t="shared" si="8"/>
        <v>0</v>
      </c>
      <c r="AH45" s="1804"/>
      <c r="AI45" s="1804" t="e">
        <f t="shared" si="6"/>
        <v>#VALUE!</v>
      </c>
      <c r="AJ45" s="2650"/>
      <c r="AK45" s="2654"/>
      <c r="AL45" s="2654"/>
      <c r="AM45" s="2652"/>
      <c r="AN45" s="2652"/>
      <c r="AO45" s="2653"/>
      <c r="AP45" s="2652"/>
      <c r="AQ45" s="2651"/>
      <c r="AS45" s="2826" t="e">
        <f t="shared" si="9"/>
        <v>#VALUE!</v>
      </c>
      <c r="AT45" s="2826" t="e">
        <f t="shared" si="10"/>
        <v>#VALUE!</v>
      </c>
      <c r="AU45" s="2826" t="e">
        <f t="shared" si="11"/>
        <v>#VALUE!</v>
      </c>
      <c r="AV45" s="2826"/>
      <c r="AW45" s="2826" t="e">
        <f t="shared" si="12"/>
        <v>#VALUE!</v>
      </c>
      <c r="AX45" s="2826" t="e">
        <f t="shared" si="13"/>
        <v>#VALUE!</v>
      </c>
      <c r="AY45" s="2826" t="e">
        <f t="shared" si="14"/>
        <v>#VALUE!</v>
      </c>
      <c r="AZ45" s="2826"/>
      <c r="BA45" s="2826" t="e">
        <f t="shared" si="15"/>
        <v>#VALUE!</v>
      </c>
      <c r="BB45" s="2826" t="e">
        <f t="shared" si="16"/>
        <v>#VALUE!</v>
      </c>
      <c r="BC45" s="2826" t="e">
        <f t="shared" si="17"/>
        <v>#VALUE!</v>
      </c>
    </row>
    <row r="46" spans="1:55" s="2642" customFormat="1" ht="19.5" customHeight="1">
      <c r="A46" s="1867">
        <f t="shared" si="0"/>
        <v>0</v>
      </c>
      <c r="B46" s="4945" t="str">
        <f t="shared" si="1"/>
        <v/>
      </c>
      <c r="C46" s="4946"/>
      <c r="D46" s="4946"/>
      <c r="E46" s="4946"/>
      <c r="F46" s="4946"/>
      <c r="G46" s="4946"/>
      <c r="H46" s="4946"/>
      <c r="I46" s="4947"/>
      <c r="J46" s="4943" t="str">
        <f t="shared" si="2"/>
        <v/>
      </c>
      <c r="K46" s="4944"/>
      <c r="L46" s="4944"/>
      <c r="M46" s="4943" t="str">
        <f t="shared" si="3"/>
        <v/>
      </c>
      <c r="N46" s="4944"/>
      <c r="O46" s="4944"/>
      <c r="P46" s="4948"/>
      <c r="Q46" s="3792" t="str">
        <f t="shared" si="4"/>
        <v/>
      </c>
      <c r="R46" s="4938"/>
      <c r="S46" s="4938"/>
      <c r="T46" s="4103"/>
      <c r="U46" s="3792" t="str">
        <f t="shared" si="5"/>
        <v/>
      </c>
      <c r="V46" s="4938"/>
      <c r="W46" s="4938"/>
      <c r="X46" s="4103"/>
      <c r="Y46" s="4921" t="str">
        <f t="shared" si="18"/>
        <v/>
      </c>
      <c r="Z46" s="3747"/>
      <c r="AA46" s="4921" t="str">
        <f t="shared" si="19"/>
        <v/>
      </c>
      <c r="AB46" s="3747"/>
      <c r="AC46" s="4919" t="str">
        <f t="shared" si="7"/>
        <v/>
      </c>
      <c r="AD46" s="4920"/>
      <c r="AE46" s="4920"/>
      <c r="AF46" s="4920"/>
      <c r="AG46" s="2837">
        <f t="shared" si="8"/>
        <v>0</v>
      </c>
      <c r="AH46" s="1804"/>
      <c r="AI46" s="1804" t="e">
        <f t="shared" si="6"/>
        <v>#VALUE!</v>
      </c>
      <c r="AJ46" s="2650"/>
      <c r="AK46" s="2654"/>
      <c r="AL46" s="2654"/>
      <c r="AM46" s="2652"/>
      <c r="AN46" s="2652"/>
      <c r="AO46" s="2653"/>
      <c r="AP46" s="2652"/>
      <c r="AQ46" s="2651"/>
      <c r="AS46" s="2826" t="e">
        <f t="shared" si="9"/>
        <v>#VALUE!</v>
      </c>
      <c r="AT46" s="2826" t="e">
        <f t="shared" si="10"/>
        <v>#VALUE!</v>
      </c>
      <c r="AU46" s="2826" t="e">
        <f t="shared" si="11"/>
        <v>#VALUE!</v>
      </c>
      <c r="AV46" s="2826"/>
      <c r="AW46" s="2826" t="e">
        <f t="shared" si="12"/>
        <v>#VALUE!</v>
      </c>
      <c r="AX46" s="2826" t="e">
        <f t="shared" si="13"/>
        <v>#VALUE!</v>
      </c>
      <c r="AY46" s="2826" t="e">
        <f t="shared" si="14"/>
        <v>#VALUE!</v>
      </c>
      <c r="AZ46" s="2826"/>
      <c r="BA46" s="2826" t="e">
        <f t="shared" si="15"/>
        <v>#VALUE!</v>
      </c>
      <c r="BB46" s="2826" t="e">
        <f t="shared" si="16"/>
        <v>#VALUE!</v>
      </c>
      <c r="BC46" s="2826" t="e">
        <f t="shared" si="17"/>
        <v>#VALUE!</v>
      </c>
    </row>
    <row r="47" spans="1:55" s="2642" customFormat="1" ht="19.5" customHeight="1">
      <c r="A47" s="1867">
        <f t="shared" si="0"/>
        <v>0</v>
      </c>
      <c r="B47" s="4945" t="str">
        <f t="shared" si="1"/>
        <v/>
      </c>
      <c r="C47" s="4946"/>
      <c r="D47" s="4946"/>
      <c r="E47" s="4946"/>
      <c r="F47" s="4946"/>
      <c r="G47" s="4946"/>
      <c r="H47" s="4946"/>
      <c r="I47" s="4947"/>
      <c r="J47" s="4943" t="str">
        <f t="shared" si="2"/>
        <v/>
      </c>
      <c r="K47" s="4944"/>
      <c r="L47" s="4944"/>
      <c r="M47" s="4943" t="str">
        <f t="shared" si="3"/>
        <v/>
      </c>
      <c r="N47" s="4944"/>
      <c r="O47" s="4944"/>
      <c r="P47" s="4948"/>
      <c r="Q47" s="3792" t="str">
        <f t="shared" si="4"/>
        <v/>
      </c>
      <c r="R47" s="4938"/>
      <c r="S47" s="4938"/>
      <c r="T47" s="4103"/>
      <c r="U47" s="3792" t="str">
        <f t="shared" si="5"/>
        <v/>
      </c>
      <c r="V47" s="4938"/>
      <c r="W47" s="4938"/>
      <c r="X47" s="4103"/>
      <c r="Y47" s="4921" t="str">
        <f t="shared" si="18"/>
        <v/>
      </c>
      <c r="Z47" s="3747"/>
      <c r="AA47" s="4921" t="str">
        <f t="shared" si="19"/>
        <v/>
      </c>
      <c r="AB47" s="3747"/>
      <c r="AC47" s="4919" t="str">
        <f t="shared" si="7"/>
        <v/>
      </c>
      <c r="AD47" s="4920"/>
      <c r="AE47" s="4920"/>
      <c r="AF47" s="4920"/>
      <c r="AG47" s="2837">
        <f t="shared" si="8"/>
        <v>0</v>
      </c>
      <c r="AH47" s="1804"/>
      <c r="AI47" s="1804" t="e">
        <f t="shared" si="6"/>
        <v>#VALUE!</v>
      </c>
      <c r="AJ47" s="2650"/>
      <c r="AK47" s="2654"/>
      <c r="AL47" s="2654"/>
      <c r="AM47" s="2652"/>
      <c r="AN47" s="2652"/>
      <c r="AO47" s="2653"/>
      <c r="AP47" s="2652"/>
      <c r="AQ47" s="2651"/>
      <c r="AS47" s="2826" t="e">
        <f t="shared" si="9"/>
        <v>#VALUE!</v>
      </c>
      <c r="AT47" s="2826" t="e">
        <f t="shared" si="10"/>
        <v>#VALUE!</v>
      </c>
      <c r="AU47" s="2826" t="e">
        <f t="shared" si="11"/>
        <v>#VALUE!</v>
      </c>
      <c r="AV47" s="2826"/>
      <c r="AW47" s="2826" t="e">
        <f t="shared" si="12"/>
        <v>#VALUE!</v>
      </c>
      <c r="AX47" s="2826" t="e">
        <f t="shared" si="13"/>
        <v>#VALUE!</v>
      </c>
      <c r="AY47" s="2826" t="e">
        <f t="shared" si="14"/>
        <v>#VALUE!</v>
      </c>
      <c r="AZ47" s="2826"/>
      <c r="BA47" s="2826" t="e">
        <f t="shared" si="15"/>
        <v>#VALUE!</v>
      </c>
      <c r="BB47" s="2826" t="e">
        <f t="shared" si="16"/>
        <v>#VALUE!</v>
      </c>
      <c r="BC47" s="2826" t="e">
        <f t="shared" si="17"/>
        <v>#VALUE!</v>
      </c>
    </row>
    <row r="48" spans="1:55" s="2642" customFormat="1" ht="19.5" customHeight="1">
      <c r="A48" s="1867">
        <f t="shared" si="0"/>
        <v>0</v>
      </c>
      <c r="B48" s="4945" t="str">
        <f t="shared" si="1"/>
        <v/>
      </c>
      <c r="C48" s="4946"/>
      <c r="D48" s="4946"/>
      <c r="E48" s="4946"/>
      <c r="F48" s="4946"/>
      <c r="G48" s="4946"/>
      <c r="H48" s="4946"/>
      <c r="I48" s="4947"/>
      <c r="J48" s="4943" t="str">
        <f t="shared" si="2"/>
        <v/>
      </c>
      <c r="K48" s="4944"/>
      <c r="L48" s="4944"/>
      <c r="M48" s="4943" t="str">
        <f t="shared" si="3"/>
        <v/>
      </c>
      <c r="N48" s="4944"/>
      <c r="O48" s="4944"/>
      <c r="P48" s="4948"/>
      <c r="Q48" s="3792" t="str">
        <f t="shared" si="4"/>
        <v/>
      </c>
      <c r="R48" s="4938"/>
      <c r="S48" s="4938"/>
      <c r="T48" s="4103"/>
      <c r="U48" s="3792" t="str">
        <f t="shared" si="5"/>
        <v/>
      </c>
      <c r="V48" s="4938"/>
      <c r="W48" s="4938"/>
      <c r="X48" s="4103"/>
      <c r="Y48" s="4921" t="str">
        <f t="shared" si="18"/>
        <v/>
      </c>
      <c r="Z48" s="3747"/>
      <c r="AA48" s="4921" t="str">
        <f t="shared" si="19"/>
        <v/>
      </c>
      <c r="AB48" s="3747"/>
      <c r="AC48" s="4919" t="str">
        <f t="shared" si="7"/>
        <v/>
      </c>
      <c r="AD48" s="4920"/>
      <c r="AE48" s="4920"/>
      <c r="AF48" s="4920"/>
      <c r="AG48" s="2837">
        <f t="shared" si="8"/>
        <v>0</v>
      </c>
      <c r="AH48" s="1804"/>
      <c r="AI48" s="1804" t="e">
        <f t="shared" si="6"/>
        <v>#VALUE!</v>
      </c>
      <c r="AJ48" s="2650"/>
      <c r="AK48" s="2654"/>
      <c r="AL48" s="2654"/>
      <c r="AM48" s="2652"/>
      <c r="AN48" s="2652"/>
      <c r="AO48" s="2653"/>
      <c r="AP48" s="2652"/>
      <c r="AQ48" s="2651"/>
      <c r="AS48" s="2826" t="e">
        <f t="shared" si="9"/>
        <v>#VALUE!</v>
      </c>
      <c r="AT48" s="2826" t="e">
        <f t="shared" si="10"/>
        <v>#VALUE!</v>
      </c>
      <c r="AU48" s="2826" t="e">
        <f t="shared" si="11"/>
        <v>#VALUE!</v>
      </c>
      <c r="AV48" s="2826"/>
      <c r="AW48" s="2826" t="e">
        <f t="shared" si="12"/>
        <v>#VALUE!</v>
      </c>
      <c r="AX48" s="2826" t="e">
        <f t="shared" si="13"/>
        <v>#VALUE!</v>
      </c>
      <c r="AY48" s="2826" t="e">
        <f t="shared" si="14"/>
        <v>#VALUE!</v>
      </c>
      <c r="AZ48" s="2826"/>
      <c r="BA48" s="2826" t="e">
        <f t="shared" si="15"/>
        <v>#VALUE!</v>
      </c>
      <c r="BB48" s="2826" t="e">
        <f t="shared" si="16"/>
        <v>#VALUE!</v>
      </c>
      <c r="BC48" s="2826" t="e">
        <f t="shared" si="17"/>
        <v>#VALUE!</v>
      </c>
    </row>
    <row r="49" spans="1:55" s="2642" customFormat="1" ht="19.5" customHeight="1">
      <c r="A49" s="1867">
        <f t="shared" si="0"/>
        <v>0</v>
      </c>
      <c r="B49" s="4945" t="str">
        <f t="shared" si="1"/>
        <v/>
      </c>
      <c r="C49" s="4946"/>
      <c r="D49" s="4946"/>
      <c r="E49" s="4946"/>
      <c r="F49" s="4946"/>
      <c r="G49" s="4946"/>
      <c r="H49" s="4946"/>
      <c r="I49" s="4947"/>
      <c r="J49" s="4943" t="str">
        <f t="shared" si="2"/>
        <v/>
      </c>
      <c r="K49" s="4944"/>
      <c r="L49" s="4944"/>
      <c r="M49" s="4943" t="str">
        <f t="shared" si="3"/>
        <v/>
      </c>
      <c r="N49" s="4944"/>
      <c r="O49" s="4944"/>
      <c r="P49" s="4948"/>
      <c r="Q49" s="3792" t="str">
        <f t="shared" si="4"/>
        <v/>
      </c>
      <c r="R49" s="4938"/>
      <c r="S49" s="4938"/>
      <c r="T49" s="4103"/>
      <c r="U49" s="3792" t="str">
        <f t="shared" si="5"/>
        <v/>
      </c>
      <c r="V49" s="4938"/>
      <c r="W49" s="4938"/>
      <c r="X49" s="4103"/>
      <c r="Y49" s="4921" t="str">
        <f t="shared" si="18"/>
        <v/>
      </c>
      <c r="Z49" s="3747"/>
      <c r="AA49" s="4921" t="str">
        <f t="shared" si="19"/>
        <v/>
      </c>
      <c r="AB49" s="3747"/>
      <c r="AC49" s="4919" t="str">
        <f t="shared" si="7"/>
        <v/>
      </c>
      <c r="AD49" s="4920"/>
      <c r="AE49" s="4920"/>
      <c r="AF49" s="4920"/>
      <c r="AG49" s="2837">
        <f t="shared" si="8"/>
        <v>0</v>
      </c>
      <c r="AH49" s="1804"/>
      <c r="AI49" s="1804" t="e">
        <f t="shared" si="6"/>
        <v>#VALUE!</v>
      </c>
      <c r="AJ49" s="2650"/>
      <c r="AK49" s="2654"/>
      <c r="AL49" s="2654"/>
      <c r="AM49" s="2652"/>
      <c r="AN49" s="2652"/>
      <c r="AO49" s="2653"/>
      <c r="AP49" s="2652"/>
      <c r="AQ49" s="2651"/>
      <c r="AS49" s="2826" t="e">
        <f t="shared" si="9"/>
        <v>#VALUE!</v>
      </c>
      <c r="AT49" s="2826" t="e">
        <f t="shared" si="10"/>
        <v>#VALUE!</v>
      </c>
      <c r="AU49" s="2826" t="e">
        <f t="shared" si="11"/>
        <v>#VALUE!</v>
      </c>
      <c r="AV49" s="2826"/>
      <c r="AW49" s="2826" t="e">
        <f t="shared" si="12"/>
        <v>#VALUE!</v>
      </c>
      <c r="AX49" s="2826" t="e">
        <f t="shared" si="13"/>
        <v>#VALUE!</v>
      </c>
      <c r="AY49" s="2826" t="e">
        <f t="shared" si="14"/>
        <v>#VALUE!</v>
      </c>
      <c r="AZ49" s="2826"/>
      <c r="BA49" s="2826" t="e">
        <f t="shared" si="15"/>
        <v>#VALUE!</v>
      </c>
      <c r="BB49" s="2826" t="e">
        <f t="shared" si="16"/>
        <v>#VALUE!</v>
      </c>
      <c r="BC49" s="2826" t="e">
        <f t="shared" si="17"/>
        <v>#VALUE!</v>
      </c>
    </row>
    <row r="50" spans="1:55" s="2642" customFormat="1" ht="19.5" customHeight="1">
      <c r="A50" s="1867">
        <f t="shared" si="0"/>
        <v>0</v>
      </c>
      <c r="B50" s="4945" t="str">
        <f t="shared" si="1"/>
        <v/>
      </c>
      <c r="C50" s="4946"/>
      <c r="D50" s="4946"/>
      <c r="E50" s="4946"/>
      <c r="F50" s="4946"/>
      <c r="G50" s="4946"/>
      <c r="H50" s="4946"/>
      <c r="I50" s="4947"/>
      <c r="J50" s="4943" t="str">
        <f t="shared" si="2"/>
        <v/>
      </c>
      <c r="K50" s="4944"/>
      <c r="L50" s="4944"/>
      <c r="M50" s="4943" t="str">
        <f t="shared" si="3"/>
        <v/>
      </c>
      <c r="N50" s="4944"/>
      <c r="O50" s="4944"/>
      <c r="P50" s="4948"/>
      <c r="Q50" s="3792" t="str">
        <f t="shared" si="4"/>
        <v/>
      </c>
      <c r="R50" s="4938"/>
      <c r="S50" s="4938"/>
      <c r="T50" s="4103"/>
      <c r="U50" s="3792" t="str">
        <f t="shared" si="5"/>
        <v/>
      </c>
      <c r="V50" s="4938"/>
      <c r="W50" s="4938"/>
      <c r="X50" s="4103"/>
      <c r="Y50" s="4921" t="str">
        <f t="shared" si="18"/>
        <v/>
      </c>
      <c r="Z50" s="3747"/>
      <c r="AA50" s="4921" t="str">
        <f t="shared" si="19"/>
        <v/>
      </c>
      <c r="AB50" s="3747"/>
      <c r="AC50" s="4919" t="str">
        <f t="shared" si="7"/>
        <v/>
      </c>
      <c r="AD50" s="4920"/>
      <c r="AE50" s="4920"/>
      <c r="AF50" s="4920"/>
      <c r="AG50" s="2837">
        <f t="shared" si="8"/>
        <v>0</v>
      </c>
      <c r="AH50" s="1804"/>
      <c r="AI50" s="1804" t="e">
        <f t="shared" si="6"/>
        <v>#VALUE!</v>
      </c>
      <c r="AJ50" s="2650"/>
      <c r="AK50" s="2654"/>
      <c r="AL50" s="2654"/>
      <c r="AM50" s="2652"/>
      <c r="AN50" s="2652"/>
      <c r="AO50" s="2653"/>
      <c r="AP50" s="2652"/>
      <c r="AQ50" s="2651"/>
      <c r="AS50" s="2826" t="e">
        <f t="shared" si="9"/>
        <v>#VALUE!</v>
      </c>
      <c r="AT50" s="2826" t="e">
        <f t="shared" si="10"/>
        <v>#VALUE!</v>
      </c>
      <c r="AU50" s="2826" t="e">
        <f t="shared" si="11"/>
        <v>#VALUE!</v>
      </c>
      <c r="AV50" s="2826"/>
      <c r="AW50" s="2826" t="e">
        <f t="shared" si="12"/>
        <v>#VALUE!</v>
      </c>
      <c r="AX50" s="2826" t="e">
        <f t="shared" si="13"/>
        <v>#VALUE!</v>
      </c>
      <c r="AY50" s="2826" t="e">
        <f t="shared" si="14"/>
        <v>#VALUE!</v>
      </c>
      <c r="AZ50" s="2826"/>
      <c r="BA50" s="2826" t="e">
        <f t="shared" si="15"/>
        <v>#VALUE!</v>
      </c>
      <c r="BB50" s="2826" t="e">
        <f t="shared" si="16"/>
        <v>#VALUE!</v>
      </c>
      <c r="BC50" s="2826" t="e">
        <f t="shared" si="17"/>
        <v>#VALUE!</v>
      </c>
    </row>
    <row r="51" spans="1:55" s="2642" customFormat="1" ht="19.5" customHeight="1">
      <c r="A51" s="1867">
        <f t="shared" si="0"/>
        <v>0</v>
      </c>
      <c r="B51" s="4945" t="str">
        <f t="shared" si="1"/>
        <v/>
      </c>
      <c r="C51" s="4946"/>
      <c r="D51" s="4946"/>
      <c r="E51" s="4946"/>
      <c r="F51" s="4946"/>
      <c r="G51" s="4946"/>
      <c r="H51" s="4946"/>
      <c r="I51" s="4947"/>
      <c r="J51" s="4943" t="str">
        <f t="shared" si="2"/>
        <v/>
      </c>
      <c r="K51" s="4944"/>
      <c r="L51" s="4944"/>
      <c r="M51" s="4943" t="str">
        <f t="shared" si="3"/>
        <v/>
      </c>
      <c r="N51" s="4944"/>
      <c r="O51" s="4944"/>
      <c r="P51" s="4948"/>
      <c r="Q51" s="3792" t="str">
        <f t="shared" si="4"/>
        <v/>
      </c>
      <c r="R51" s="4938"/>
      <c r="S51" s="4938"/>
      <c r="T51" s="4103"/>
      <c r="U51" s="3792" t="str">
        <f t="shared" si="5"/>
        <v/>
      </c>
      <c r="V51" s="4938"/>
      <c r="W51" s="4938"/>
      <c r="X51" s="4103"/>
      <c r="Y51" s="4921" t="str">
        <f t="shared" si="18"/>
        <v/>
      </c>
      <c r="Z51" s="3747"/>
      <c r="AA51" s="4921" t="str">
        <f t="shared" si="19"/>
        <v/>
      </c>
      <c r="AB51" s="3747"/>
      <c r="AC51" s="4919" t="str">
        <f t="shared" si="7"/>
        <v/>
      </c>
      <c r="AD51" s="4920"/>
      <c r="AE51" s="4920"/>
      <c r="AF51" s="4920"/>
      <c r="AG51" s="2837">
        <f t="shared" si="8"/>
        <v>0</v>
      </c>
      <c r="AH51" s="1804"/>
      <c r="AI51" s="1804" t="e">
        <f t="shared" si="6"/>
        <v>#VALUE!</v>
      </c>
      <c r="AJ51" s="2650"/>
      <c r="AK51" s="2654"/>
      <c r="AL51" s="2654"/>
      <c r="AM51" s="2652"/>
      <c r="AN51" s="2652"/>
      <c r="AO51" s="2653"/>
      <c r="AP51" s="2652"/>
      <c r="AQ51" s="2651"/>
      <c r="AS51" s="2826" t="e">
        <f t="shared" si="9"/>
        <v>#VALUE!</v>
      </c>
      <c r="AT51" s="2826" t="e">
        <f t="shared" si="10"/>
        <v>#VALUE!</v>
      </c>
      <c r="AU51" s="2826" t="e">
        <f t="shared" si="11"/>
        <v>#VALUE!</v>
      </c>
      <c r="AV51" s="2826"/>
      <c r="AW51" s="2826" t="e">
        <f t="shared" si="12"/>
        <v>#VALUE!</v>
      </c>
      <c r="AX51" s="2826" t="e">
        <f t="shared" si="13"/>
        <v>#VALUE!</v>
      </c>
      <c r="AY51" s="2826" t="e">
        <f t="shared" si="14"/>
        <v>#VALUE!</v>
      </c>
      <c r="AZ51" s="2826"/>
      <c r="BA51" s="2826" t="e">
        <f t="shared" si="15"/>
        <v>#VALUE!</v>
      </c>
      <c r="BB51" s="2826" t="e">
        <f t="shared" si="16"/>
        <v>#VALUE!</v>
      </c>
      <c r="BC51" s="2826" t="e">
        <f t="shared" si="17"/>
        <v>#VALUE!</v>
      </c>
    </row>
    <row r="52" spans="1:55" s="2642" customFormat="1" ht="19.5" customHeight="1">
      <c r="A52" s="1867">
        <f t="shared" si="0"/>
        <v>0</v>
      </c>
      <c r="B52" s="4945" t="str">
        <f t="shared" si="1"/>
        <v/>
      </c>
      <c r="C52" s="4946"/>
      <c r="D52" s="4946"/>
      <c r="E52" s="4946"/>
      <c r="F52" s="4946"/>
      <c r="G52" s="4946"/>
      <c r="H52" s="4946"/>
      <c r="I52" s="4947"/>
      <c r="J52" s="4943" t="str">
        <f t="shared" si="2"/>
        <v/>
      </c>
      <c r="K52" s="4944"/>
      <c r="L52" s="4944"/>
      <c r="M52" s="4943" t="str">
        <f t="shared" si="3"/>
        <v/>
      </c>
      <c r="N52" s="4944"/>
      <c r="O52" s="4944"/>
      <c r="P52" s="4948"/>
      <c r="Q52" s="3792" t="str">
        <f t="shared" si="4"/>
        <v/>
      </c>
      <c r="R52" s="4938"/>
      <c r="S52" s="4938"/>
      <c r="T52" s="4103"/>
      <c r="U52" s="3792" t="str">
        <f t="shared" si="5"/>
        <v/>
      </c>
      <c r="V52" s="4938"/>
      <c r="W52" s="4938"/>
      <c r="X52" s="4103"/>
      <c r="Y52" s="4921" t="str">
        <f t="shared" si="18"/>
        <v/>
      </c>
      <c r="Z52" s="3747"/>
      <c r="AA52" s="4921" t="str">
        <f t="shared" si="19"/>
        <v/>
      </c>
      <c r="AB52" s="3747"/>
      <c r="AC52" s="4919" t="str">
        <f t="shared" si="7"/>
        <v/>
      </c>
      <c r="AD52" s="4920"/>
      <c r="AE52" s="4920"/>
      <c r="AF52" s="4920"/>
      <c r="AG52" s="2837">
        <f t="shared" si="8"/>
        <v>0</v>
      </c>
      <c r="AH52" s="1804"/>
      <c r="AI52" s="1804" t="e">
        <f t="shared" si="6"/>
        <v>#VALUE!</v>
      </c>
      <c r="AJ52" s="2650"/>
      <c r="AK52" s="2654"/>
      <c r="AL52" s="2654"/>
      <c r="AM52" s="2652"/>
      <c r="AN52" s="2652"/>
      <c r="AO52" s="2653"/>
      <c r="AP52" s="2652"/>
      <c r="AQ52" s="2651"/>
      <c r="AS52" s="2826" t="e">
        <f t="shared" si="9"/>
        <v>#VALUE!</v>
      </c>
      <c r="AT52" s="2826" t="e">
        <f t="shared" si="10"/>
        <v>#VALUE!</v>
      </c>
      <c r="AU52" s="2826" t="e">
        <f t="shared" si="11"/>
        <v>#VALUE!</v>
      </c>
      <c r="AV52" s="2826"/>
      <c r="AW52" s="2826" t="e">
        <f t="shared" si="12"/>
        <v>#VALUE!</v>
      </c>
      <c r="AX52" s="2826" t="e">
        <f t="shared" si="13"/>
        <v>#VALUE!</v>
      </c>
      <c r="AY52" s="2826" t="e">
        <f t="shared" si="14"/>
        <v>#VALUE!</v>
      </c>
      <c r="AZ52" s="2826"/>
      <c r="BA52" s="2826" t="e">
        <f t="shared" si="15"/>
        <v>#VALUE!</v>
      </c>
      <c r="BB52" s="2826" t="e">
        <f t="shared" si="16"/>
        <v>#VALUE!</v>
      </c>
      <c r="BC52" s="2826" t="e">
        <f t="shared" si="17"/>
        <v>#VALUE!</v>
      </c>
    </row>
    <row r="53" spans="1:55" s="2642" customFormat="1" ht="19.5" customHeight="1">
      <c r="A53" s="1867">
        <f t="shared" si="0"/>
        <v>0</v>
      </c>
      <c r="B53" s="4945" t="str">
        <f t="shared" si="1"/>
        <v/>
      </c>
      <c r="C53" s="4946"/>
      <c r="D53" s="4946"/>
      <c r="E53" s="4946"/>
      <c r="F53" s="4946"/>
      <c r="G53" s="4946"/>
      <c r="H53" s="4946"/>
      <c r="I53" s="4947"/>
      <c r="J53" s="4943" t="str">
        <f t="shared" si="2"/>
        <v/>
      </c>
      <c r="K53" s="4944"/>
      <c r="L53" s="4944"/>
      <c r="M53" s="4943" t="str">
        <f t="shared" si="3"/>
        <v/>
      </c>
      <c r="N53" s="4944"/>
      <c r="O53" s="4944"/>
      <c r="P53" s="4948"/>
      <c r="Q53" s="3792" t="str">
        <f t="shared" si="4"/>
        <v/>
      </c>
      <c r="R53" s="4938"/>
      <c r="S53" s="4938"/>
      <c r="T53" s="4103"/>
      <c r="U53" s="3792" t="str">
        <f t="shared" si="5"/>
        <v/>
      </c>
      <c r="V53" s="4938"/>
      <c r="W53" s="4938"/>
      <c r="X53" s="4103"/>
      <c r="Y53" s="4921" t="str">
        <f t="shared" si="18"/>
        <v/>
      </c>
      <c r="Z53" s="3747"/>
      <c r="AA53" s="4921" t="str">
        <f t="shared" si="19"/>
        <v/>
      </c>
      <c r="AB53" s="3747"/>
      <c r="AC53" s="4919" t="str">
        <f t="shared" si="7"/>
        <v/>
      </c>
      <c r="AD53" s="4920"/>
      <c r="AE53" s="4920"/>
      <c r="AF53" s="4920"/>
      <c r="AG53" s="2837">
        <f t="shared" si="8"/>
        <v>0</v>
      </c>
      <c r="AH53" s="1804"/>
      <c r="AI53" s="1804" t="e">
        <f t="shared" si="6"/>
        <v>#VALUE!</v>
      </c>
      <c r="AJ53" s="2650"/>
      <c r="AK53" s="2654"/>
      <c r="AL53" s="2654"/>
      <c r="AM53" s="2652"/>
      <c r="AN53" s="2652"/>
      <c r="AO53" s="2653"/>
      <c r="AP53" s="2652"/>
      <c r="AQ53" s="2651"/>
      <c r="AS53" s="2826" t="e">
        <f t="shared" si="9"/>
        <v>#VALUE!</v>
      </c>
      <c r="AT53" s="2826" t="e">
        <f t="shared" si="10"/>
        <v>#VALUE!</v>
      </c>
      <c r="AU53" s="2826" t="e">
        <f t="shared" si="11"/>
        <v>#VALUE!</v>
      </c>
      <c r="AV53" s="2826"/>
      <c r="AW53" s="2826" t="e">
        <f t="shared" si="12"/>
        <v>#VALUE!</v>
      </c>
      <c r="AX53" s="2826" t="e">
        <f t="shared" si="13"/>
        <v>#VALUE!</v>
      </c>
      <c r="AY53" s="2826" t="e">
        <f t="shared" si="14"/>
        <v>#VALUE!</v>
      </c>
      <c r="AZ53" s="2826"/>
      <c r="BA53" s="2826" t="e">
        <f t="shared" si="15"/>
        <v>#VALUE!</v>
      </c>
      <c r="BB53" s="2826" t="e">
        <f t="shared" si="16"/>
        <v>#VALUE!</v>
      </c>
      <c r="BC53" s="2826" t="e">
        <f t="shared" si="17"/>
        <v>#VALUE!</v>
      </c>
    </row>
    <row r="54" spans="1:55" s="2642" customFormat="1" ht="19.5" customHeight="1">
      <c r="A54" s="1867">
        <f t="shared" si="0"/>
        <v>0</v>
      </c>
      <c r="B54" s="4945" t="str">
        <f t="shared" si="1"/>
        <v/>
      </c>
      <c r="C54" s="4946"/>
      <c r="D54" s="4946"/>
      <c r="E54" s="4946"/>
      <c r="F54" s="4946"/>
      <c r="G54" s="4946"/>
      <c r="H54" s="4946"/>
      <c r="I54" s="4947"/>
      <c r="J54" s="4943" t="str">
        <f t="shared" si="2"/>
        <v/>
      </c>
      <c r="K54" s="4944"/>
      <c r="L54" s="4944"/>
      <c r="M54" s="4943" t="str">
        <f t="shared" si="3"/>
        <v/>
      </c>
      <c r="N54" s="4944"/>
      <c r="O54" s="4944"/>
      <c r="P54" s="4948"/>
      <c r="Q54" s="3792" t="str">
        <f t="shared" si="4"/>
        <v/>
      </c>
      <c r="R54" s="4938"/>
      <c r="S54" s="4938"/>
      <c r="T54" s="4103"/>
      <c r="U54" s="3792" t="str">
        <f t="shared" si="5"/>
        <v/>
      </c>
      <c r="V54" s="4938"/>
      <c r="W54" s="4938"/>
      <c r="X54" s="4103"/>
      <c r="Y54" s="4921" t="str">
        <f t="shared" si="18"/>
        <v/>
      </c>
      <c r="Z54" s="3747"/>
      <c r="AA54" s="4921" t="str">
        <f t="shared" si="19"/>
        <v/>
      </c>
      <c r="AB54" s="3747"/>
      <c r="AC54" s="4919" t="str">
        <f t="shared" si="7"/>
        <v/>
      </c>
      <c r="AD54" s="4920"/>
      <c r="AE54" s="4920"/>
      <c r="AF54" s="4920"/>
      <c r="AG54" s="2837">
        <f t="shared" si="8"/>
        <v>0</v>
      </c>
      <c r="AH54" s="1804"/>
      <c r="AI54" s="1804" t="e">
        <f t="shared" si="6"/>
        <v>#VALUE!</v>
      </c>
      <c r="AJ54" s="2650"/>
      <c r="AK54" s="2654"/>
      <c r="AL54" s="2654"/>
      <c r="AM54" s="2652"/>
      <c r="AN54" s="2652"/>
      <c r="AO54" s="2653"/>
      <c r="AP54" s="2652"/>
      <c r="AQ54" s="2651"/>
      <c r="AS54" s="2826" t="e">
        <f t="shared" si="9"/>
        <v>#VALUE!</v>
      </c>
      <c r="AT54" s="2826" t="e">
        <f t="shared" si="10"/>
        <v>#VALUE!</v>
      </c>
      <c r="AU54" s="2826" t="e">
        <f t="shared" si="11"/>
        <v>#VALUE!</v>
      </c>
      <c r="AV54" s="2826"/>
      <c r="AW54" s="2826" t="e">
        <f t="shared" si="12"/>
        <v>#VALUE!</v>
      </c>
      <c r="AX54" s="2826" t="e">
        <f t="shared" si="13"/>
        <v>#VALUE!</v>
      </c>
      <c r="AY54" s="2826" t="e">
        <f t="shared" si="14"/>
        <v>#VALUE!</v>
      </c>
      <c r="AZ54" s="2826"/>
      <c r="BA54" s="2826" t="e">
        <f t="shared" si="15"/>
        <v>#VALUE!</v>
      </c>
      <c r="BB54" s="2826" t="e">
        <f t="shared" si="16"/>
        <v>#VALUE!</v>
      </c>
      <c r="BC54" s="2826" t="e">
        <f t="shared" si="17"/>
        <v>#VALUE!</v>
      </c>
    </row>
    <row r="55" spans="1:55" ht="11.25" customHeight="1">
      <c r="A55" s="1867">
        <f>SUM(A35:A54)</f>
        <v>0</v>
      </c>
      <c r="B55" s="5032">
        <v>2</v>
      </c>
      <c r="C55" s="5034" t="s">
        <v>1539</v>
      </c>
      <c r="D55" s="5035"/>
      <c r="E55" s="5035"/>
      <c r="F55" s="5035"/>
      <c r="G55" s="5035"/>
      <c r="H55" s="5035"/>
      <c r="I55" s="5035"/>
      <c r="J55" s="5035"/>
      <c r="K55" s="5035"/>
      <c r="L55" s="5035"/>
      <c r="M55" s="5035"/>
      <c r="N55" s="5035"/>
      <c r="O55" s="5035"/>
      <c r="P55" s="5035"/>
      <c r="Q55" s="5012" t="str">
        <f>IF(A55=0,"",SUM(Q35:Q54))</f>
        <v/>
      </c>
      <c r="R55" s="5038"/>
      <c r="S55" s="5038"/>
      <c r="T55" s="5027"/>
      <c r="U55" s="5012" t="str">
        <f>IF(A55=0,"",SUM(U35:U54))</f>
        <v/>
      </c>
      <c r="V55" s="5013"/>
      <c r="W55" s="5013"/>
      <c r="X55" s="5014"/>
      <c r="Y55" s="5021"/>
      <c r="Z55" s="5022"/>
      <c r="AA55" s="5012" t="str">
        <f>IF(A55=0,"",SUM(AA35:AA54))</f>
        <v/>
      </c>
      <c r="AB55" s="5027"/>
      <c r="AC55" s="5012" t="str">
        <f>IF(A55=0,"",SUM(AC35:AC54))</f>
        <v/>
      </c>
      <c r="AD55" s="5013"/>
      <c r="AE55" s="5013"/>
      <c r="AF55" s="5013"/>
      <c r="AG55" s="1867"/>
    </row>
    <row r="56" spans="1:55" ht="11.25" customHeight="1">
      <c r="A56" s="1867"/>
      <c r="B56" s="5033"/>
      <c r="C56" s="5036"/>
      <c r="D56" s="5036"/>
      <c r="E56" s="5036"/>
      <c r="F56" s="5036"/>
      <c r="G56" s="5036"/>
      <c r="H56" s="5036"/>
      <c r="I56" s="5036"/>
      <c r="J56" s="5036"/>
      <c r="K56" s="5036"/>
      <c r="L56" s="5036"/>
      <c r="M56" s="5036"/>
      <c r="N56" s="5036"/>
      <c r="O56" s="5036"/>
      <c r="P56" s="5036"/>
      <c r="Q56" s="5028"/>
      <c r="R56" s="5039"/>
      <c r="S56" s="5039"/>
      <c r="T56" s="5029"/>
      <c r="U56" s="5015"/>
      <c r="V56" s="5016"/>
      <c r="W56" s="5016"/>
      <c r="X56" s="5017"/>
      <c r="Y56" s="5023"/>
      <c r="Z56" s="5024"/>
      <c r="AA56" s="5028"/>
      <c r="AB56" s="5029"/>
      <c r="AC56" s="5015"/>
      <c r="AD56" s="5016"/>
      <c r="AE56" s="5016"/>
      <c r="AF56" s="5016"/>
      <c r="AG56" s="1867"/>
    </row>
    <row r="57" spans="1:55" ht="11.25" customHeight="1">
      <c r="A57" s="1867"/>
      <c r="B57" s="5033"/>
      <c r="C57" s="5036"/>
      <c r="D57" s="5036"/>
      <c r="E57" s="5036"/>
      <c r="F57" s="5036"/>
      <c r="G57" s="5036"/>
      <c r="H57" s="5036"/>
      <c r="I57" s="5036"/>
      <c r="J57" s="5036"/>
      <c r="K57" s="5036"/>
      <c r="L57" s="5036"/>
      <c r="M57" s="5036"/>
      <c r="N57" s="5036"/>
      <c r="O57" s="5036"/>
      <c r="P57" s="5036"/>
      <c r="Q57" s="5028"/>
      <c r="R57" s="5039"/>
      <c r="S57" s="5039"/>
      <c r="T57" s="5029"/>
      <c r="U57" s="5015"/>
      <c r="V57" s="5016"/>
      <c r="W57" s="5016"/>
      <c r="X57" s="5017"/>
      <c r="Y57" s="5023"/>
      <c r="Z57" s="5024"/>
      <c r="AA57" s="5028"/>
      <c r="AB57" s="5029"/>
      <c r="AC57" s="5015"/>
      <c r="AD57" s="5016"/>
      <c r="AE57" s="5016"/>
      <c r="AF57" s="5016"/>
      <c r="AG57" s="1867"/>
    </row>
    <row r="58" spans="1:55" ht="11.25" customHeight="1">
      <c r="A58" s="1867"/>
      <c r="B58" s="5033"/>
      <c r="C58" s="5036"/>
      <c r="D58" s="5036"/>
      <c r="E58" s="5036"/>
      <c r="F58" s="5036"/>
      <c r="G58" s="5036"/>
      <c r="H58" s="5036"/>
      <c r="I58" s="5036"/>
      <c r="J58" s="5036"/>
      <c r="K58" s="5036"/>
      <c r="L58" s="5036"/>
      <c r="M58" s="5036"/>
      <c r="N58" s="5036"/>
      <c r="O58" s="5036"/>
      <c r="P58" s="5036"/>
      <c r="Q58" s="5028"/>
      <c r="R58" s="5039"/>
      <c r="S58" s="5039"/>
      <c r="T58" s="5029"/>
      <c r="U58" s="5015"/>
      <c r="V58" s="5016"/>
      <c r="W58" s="5016"/>
      <c r="X58" s="5017"/>
      <c r="Y58" s="5023"/>
      <c r="Z58" s="5024"/>
      <c r="AA58" s="5028"/>
      <c r="AB58" s="5029"/>
      <c r="AC58" s="5015"/>
      <c r="AD58" s="5016"/>
      <c r="AE58" s="5016"/>
      <c r="AF58" s="5016"/>
      <c r="AG58" s="1867"/>
    </row>
    <row r="59" spans="1:55" ht="9" customHeight="1" thickBot="1">
      <c r="A59" s="1867"/>
      <c r="B59" s="5033"/>
      <c r="C59" s="5037"/>
      <c r="D59" s="5037"/>
      <c r="E59" s="5037"/>
      <c r="F59" s="5037"/>
      <c r="G59" s="5037"/>
      <c r="H59" s="5037"/>
      <c r="I59" s="5037"/>
      <c r="J59" s="5037"/>
      <c r="K59" s="5037"/>
      <c r="L59" s="5037"/>
      <c r="M59" s="5037"/>
      <c r="N59" s="5037"/>
      <c r="O59" s="5037"/>
      <c r="P59" s="5037"/>
      <c r="Q59" s="5028"/>
      <c r="R59" s="5039"/>
      <c r="S59" s="5039"/>
      <c r="T59" s="5029"/>
      <c r="U59" s="5018"/>
      <c r="V59" s="5019"/>
      <c r="W59" s="5019"/>
      <c r="X59" s="5020"/>
      <c r="Y59" s="5025"/>
      <c r="Z59" s="5026"/>
      <c r="AA59" s="5030"/>
      <c r="AB59" s="3733"/>
      <c r="AC59" s="5015"/>
      <c r="AD59" s="5016"/>
      <c r="AE59" s="5016"/>
      <c r="AF59" s="5016"/>
      <c r="AG59" s="1867"/>
    </row>
    <row r="60" spans="1:55" ht="25.5" customHeight="1" thickBot="1">
      <c r="A60" s="1867"/>
      <c r="B60" s="5040" t="s">
        <v>1548</v>
      </c>
      <c r="C60" s="5041"/>
      <c r="D60" s="5041"/>
      <c r="E60" s="5041"/>
      <c r="F60" s="5041"/>
      <c r="G60" s="5041"/>
      <c r="H60" s="5041"/>
      <c r="I60" s="5041"/>
      <c r="J60" s="5041"/>
      <c r="K60" s="5041"/>
      <c r="L60" s="5041"/>
      <c r="M60" s="5041"/>
      <c r="N60" s="5041"/>
      <c r="O60" s="5041"/>
      <c r="P60" s="5041"/>
      <c r="Q60" s="5041"/>
      <c r="R60" s="5041"/>
      <c r="S60" s="5041"/>
      <c r="T60" s="5041"/>
      <c r="U60" s="5042"/>
      <c r="V60" s="5042"/>
      <c r="W60" s="5042"/>
      <c r="X60" s="5042"/>
      <c r="Y60" s="5041"/>
      <c r="Z60" s="5041"/>
      <c r="AA60" s="5041"/>
      <c r="AB60" s="5041"/>
      <c r="AC60" s="5041"/>
      <c r="AD60" s="5041"/>
      <c r="AE60" s="5041"/>
      <c r="AF60" s="5041"/>
      <c r="AG60" s="1867"/>
      <c r="AJ60" s="1618"/>
    </row>
    <row r="61" spans="1:55" ht="16.5" thickTop="1">
      <c r="A61" s="1867"/>
      <c r="B61" s="1817" t="s">
        <v>825</v>
      </c>
      <c r="C61" s="37"/>
      <c r="D61" s="37"/>
      <c r="E61" s="37"/>
      <c r="F61" s="37"/>
      <c r="G61" s="37"/>
      <c r="H61" s="37"/>
      <c r="I61" s="37"/>
      <c r="J61" s="37"/>
      <c r="K61" s="37"/>
      <c r="L61" s="37"/>
      <c r="M61" s="37"/>
      <c r="N61" s="37"/>
      <c r="O61" s="37"/>
      <c r="P61" s="37"/>
      <c r="Q61" s="37"/>
      <c r="R61" s="37"/>
      <c r="S61" s="37"/>
      <c r="T61" s="37"/>
      <c r="U61" s="1569" t="s">
        <v>1171</v>
      </c>
      <c r="V61" s="37"/>
      <c r="W61" s="37"/>
      <c r="X61" s="37"/>
      <c r="Y61" s="37"/>
      <c r="Z61" s="37"/>
      <c r="AA61" s="37"/>
      <c r="AB61" s="37"/>
      <c r="AC61" s="37"/>
      <c r="AD61" s="1816" t="s">
        <v>1222</v>
      </c>
      <c r="AE61" s="37"/>
      <c r="AF61" s="1816" t="str">
        <f>"("&amp;TaxYear&amp;")"</f>
        <v>(2014)</v>
      </c>
      <c r="AG61" s="1867"/>
    </row>
    <row r="62" spans="1:55" ht="15.75">
      <c r="A62" s="1867"/>
      <c r="B62" s="50" t="str">
        <f>"Form 8949 ("&amp;TaxYear&amp;")"</f>
        <v>Form 8949 (2014)</v>
      </c>
      <c r="C62" s="67"/>
      <c r="D62" s="67"/>
      <c r="E62" s="67"/>
      <c r="F62" s="67"/>
      <c r="G62" s="67"/>
      <c r="H62" s="67"/>
      <c r="I62" s="67"/>
      <c r="J62" s="67"/>
      <c r="K62" s="67"/>
      <c r="L62" s="67"/>
      <c r="M62" s="67"/>
      <c r="N62" s="67"/>
      <c r="O62" s="67"/>
      <c r="P62" s="67"/>
      <c r="Q62" s="67"/>
      <c r="R62" s="67"/>
      <c r="S62" s="67"/>
      <c r="T62" s="67"/>
      <c r="U62" s="67"/>
      <c r="V62" s="50" t="s">
        <v>1173</v>
      </c>
      <c r="W62" s="67"/>
      <c r="X62" s="67"/>
      <c r="Y62" s="67"/>
      <c r="Z62" s="67"/>
      <c r="AA62" s="67"/>
      <c r="AB62" s="67"/>
      <c r="AC62" s="67"/>
      <c r="AD62" s="67"/>
      <c r="AE62" s="67"/>
      <c r="AF62" s="1808" t="s">
        <v>279</v>
      </c>
      <c r="AG62" s="1867"/>
    </row>
    <row r="63" spans="1:55">
      <c r="A63" s="1867"/>
      <c r="B63" s="60" t="s">
        <v>100</v>
      </c>
      <c r="C63" s="37"/>
      <c r="D63" s="37"/>
      <c r="E63" s="37"/>
      <c r="F63" s="37"/>
      <c r="G63" s="37"/>
      <c r="H63" s="37"/>
      <c r="I63" s="37"/>
      <c r="J63" s="37"/>
      <c r="K63" s="37"/>
      <c r="L63" s="37"/>
      <c r="M63" s="37"/>
      <c r="N63" s="37"/>
      <c r="O63" s="37"/>
      <c r="P63" s="37"/>
      <c r="Q63" s="37"/>
      <c r="R63" s="37"/>
      <c r="S63" s="37"/>
      <c r="T63" s="37"/>
      <c r="U63" s="37"/>
      <c r="V63" s="2649" t="s">
        <v>1549</v>
      </c>
      <c r="W63" s="37"/>
      <c r="X63" s="37"/>
      <c r="Y63" s="37"/>
      <c r="Z63" s="52"/>
      <c r="AA63" s="37"/>
      <c r="AB63" s="37"/>
      <c r="AC63" s="37"/>
      <c r="AD63" s="37"/>
      <c r="AE63" s="37"/>
      <c r="AF63" s="37"/>
      <c r="AG63" s="1867"/>
    </row>
    <row r="64" spans="1:55" ht="16.5" thickBot="1">
      <c r="A64" s="1867"/>
      <c r="B64" s="4973" t="str">
        <f>Names</f>
        <v/>
      </c>
      <c r="C64" s="4974"/>
      <c r="D64" s="4974"/>
      <c r="E64" s="4974"/>
      <c r="F64" s="4974"/>
      <c r="G64" s="4974"/>
      <c r="H64" s="4974"/>
      <c r="I64" s="4974"/>
      <c r="J64" s="4974"/>
      <c r="K64" s="4974"/>
      <c r="L64" s="4974"/>
      <c r="M64" s="4974"/>
      <c r="N64" s="4974"/>
      <c r="O64" s="4974"/>
      <c r="P64" s="4974"/>
      <c r="Q64" s="4974"/>
      <c r="R64" s="4974"/>
      <c r="S64" s="4974"/>
      <c r="T64" s="4974"/>
      <c r="U64" s="4975"/>
      <c r="V64" s="4971">
        <f>SS_Yours</f>
        <v>0</v>
      </c>
      <c r="W64" s="4972"/>
      <c r="X64" s="4972"/>
      <c r="Y64" s="4972"/>
      <c r="Z64" s="4972"/>
      <c r="AA64" s="4972"/>
      <c r="AB64" s="4972"/>
      <c r="AC64" s="4972"/>
      <c r="AD64" s="4972"/>
      <c r="AE64" s="4972"/>
      <c r="AF64" s="4972"/>
      <c r="AG64" s="1867"/>
    </row>
    <row r="65" spans="1:55" ht="12.75" customHeight="1">
      <c r="A65" s="1867"/>
      <c r="B65" s="4939" t="s">
        <v>2187</v>
      </c>
      <c r="C65" s="4940"/>
      <c r="D65" s="4940"/>
      <c r="E65" s="4940"/>
      <c r="F65" s="4940"/>
      <c r="G65" s="4940"/>
      <c r="H65" s="4940"/>
      <c r="I65" s="4940"/>
      <c r="J65" s="4940"/>
      <c r="K65" s="4940"/>
      <c r="L65" s="4940"/>
      <c r="M65" s="4940"/>
      <c r="N65" s="4940"/>
      <c r="O65" s="4940"/>
      <c r="P65" s="4940"/>
      <c r="Q65" s="4940"/>
      <c r="R65" s="4940"/>
      <c r="S65" s="4940"/>
      <c r="T65" s="4940"/>
      <c r="U65" s="4940"/>
      <c r="V65" s="4940"/>
      <c r="W65" s="4940"/>
      <c r="X65" s="4940"/>
      <c r="Y65" s="4940"/>
      <c r="Z65" s="4940"/>
      <c r="AA65" s="4940"/>
      <c r="AB65" s="4940"/>
      <c r="AC65" s="4940"/>
      <c r="AD65" s="4940"/>
      <c r="AE65" s="4940"/>
      <c r="AF65" s="4940"/>
      <c r="AG65" s="1867"/>
    </row>
    <row r="66" spans="1:55" ht="12.75" customHeight="1">
      <c r="A66" s="1867"/>
      <c r="B66" s="4941"/>
      <c r="C66" s="4941"/>
      <c r="D66" s="4941"/>
      <c r="E66" s="4941"/>
      <c r="F66" s="4941"/>
      <c r="G66" s="4941"/>
      <c r="H66" s="4941"/>
      <c r="I66" s="4941"/>
      <c r="J66" s="4941"/>
      <c r="K66" s="4941"/>
      <c r="L66" s="4941"/>
      <c r="M66" s="4941"/>
      <c r="N66" s="4941"/>
      <c r="O66" s="4941"/>
      <c r="P66" s="4941"/>
      <c r="Q66" s="4941"/>
      <c r="R66" s="4941"/>
      <c r="S66" s="4941"/>
      <c r="T66" s="4941"/>
      <c r="U66" s="4941"/>
      <c r="V66" s="4941"/>
      <c r="W66" s="4941"/>
      <c r="X66" s="4941"/>
      <c r="Y66" s="4941"/>
      <c r="Z66" s="4941"/>
      <c r="AA66" s="4941"/>
      <c r="AB66" s="4941"/>
      <c r="AC66" s="4941"/>
      <c r="AD66" s="4941"/>
      <c r="AE66" s="4941"/>
      <c r="AF66" s="4941"/>
      <c r="AG66" s="1867"/>
    </row>
    <row r="67" spans="1:55" ht="12.75" customHeight="1">
      <c r="A67" s="1867"/>
      <c r="B67" s="4942"/>
      <c r="C67" s="4942"/>
      <c r="D67" s="4942"/>
      <c r="E67" s="4942"/>
      <c r="F67" s="4942"/>
      <c r="G67" s="4942"/>
      <c r="H67" s="4942"/>
      <c r="I67" s="4942"/>
      <c r="J67" s="4942"/>
      <c r="K67" s="4942"/>
      <c r="L67" s="4942"/>
      <c r="M67" s="4942"/>
      <c r="N67" s="4942"/>
      <c r="O67" s="4942"/>
      <c r="P67" s="4942"/>
      <c r="Q67" s="4942"/>
      <c r="R67" s="4942"/>
      <c r="S67" s="4942"/>
      <c r="T67" s="4942"/>
      <c r="U67" s="4942"/>
      <c r="V67" s="4942"/>
      <c r="W67" s="4942"/>
      <c r="X67" s="4942"/>
      <c r="Y67" s="4942"/>
      <c r="Z67" s="4942"/>
      <c r="AA67" s="4942"/>
      <c r="AB67" s="4942"/>
      <c r="AC67" s="4942"/>
      <c r="AD67" s="4942"/>
      <c r="AE67" s="4942"/>
      <c r="AF67" s="4942"/>
      <c r="AG67" s="1867"/>
    </row>
    <row r="68" spans="1:55" ht="3.75" customHeight="1">
      <c r="A68" s="186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1867"/>
    </row>
    <row r="69" spans="1:55" ht="15">
      <c r="A69" s="1867"/>
      <c r="B69" s="4981" t="s">
        <v>197</v>
      </c>
      <c r="C69" s="3830"/>
      <c r="D69" s="37"/>
      <c r="E69" s="1802" t="s">
        <v>1527</v>
      </c>
      <c r="F69" s="37"/>
      <c r="G69" s="37"/>
      <c r="H69" s="37"/>
      <c r="I69" s="37"/>
      <c r="J69" s="37"/>
      <c r="K69" s="37"/>
      <c r="L69" s="37"/>
      <c r="M69" s="37"/>
      <c r="N69" s="37"/>
      <c r="O69" s="37"/>
      <c r="P69" s="1802"/>
      <c r="Q69" s="37"/>
      <c r="R69" s="37"/>
      <c r="S69" s="37"/>
      <c r="T69" s="614" t="s">
        <v>2188</v>
      </c>
      <c r="U69" s="37"/>
      <c r="V69" s="37"/>
      <c r="W69" s="37"/>
      <c r="X69" s="37"/>
      <c r="Y69" s="37" t="s">
        <v>1528</v>
      </c>
      <c r="Z69" s="37"/>
      <c r="AA69" s="37"/>
      <c r="AB69" s="37"/>
      <c r="AC69" s="37"/>
      <c r="AD69" s="37"/>
      <c r="AE69" s="37"/>
      <c r="AF69" s="37"/>
      <c r="AG69" s="1867" t="b">
        <f>IF(SUM(AG88:AG115)&gt;0,TRUE,FALSE)</f>
        <v>0</v>
      </c>
    </row>
    <row r="70" spans="1:55" ht="11.25" customHeight="1">
      <c r="A70" s="1867"/>
      <c r="B70" s="46"/>
      <c r="C70" s="46"/>
      <c r="D70" s="46"/>
      <c r="E70" s="183" t="s">
        <v>1526</v>
      </c>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1867"/>
    </row>
    <row r="71" spans="1:55" ht="11.25" customHeight="1">
      <c r="A71" s="1867"/>
      <c r="B71" s="37"/>
      <c r="C71" s="37"/>
      <c r="D71" s="37"/>
      <c r="E71" s="3029" t="s">
        <v>2780</v>
      </c>
      <c r="F71" s="37"/>
      <c r="G71" s="37"/>
      <c r="H71" s="37"/>
      <c r="I71" s="37"/>
      <c r="J71" s="37"/>
      <c r="K71" s="37"/>
      <c r="L71" s="37"/>
      <c r="M71" s="37"/>
      <c r="N71" s="37"/>
      <c r="O71" s="37"/>
      <c r="P71" s="37"/>
      <c r="Q71" s="37"/>
      <c r="R71" s="37"/>
      <c r="S71" s="37"/>
      <c r="T71" s="614"/>
      <c r="U71" s="37"/>
      <c r="V71" s="37"/>
      <c r="W71" s="37"/>
      <c r="X71" s="1609"/>
      <c r="Y71" s="37"/>
      <c r="Z71" s="37"/>
      <c r="AA71" s="37"/>
      <c r="AB71" s="37"/>
      <c r="AC71" s="37"/>
      <c r="AD71" s="37"/>
      <c r="AE71" s="37"/>
      <c r="AF71" s="37"/>
      <c r="AG71" s="1867"/>
      <c r="AH71" s="3024"/>
      <c r="AI71" s="3024"/>
    </row>
    <row r="72" spans="1:55" ht="11.25" customHeight="1">
      <c r="A72" s="1867"/>
      <c r="B72" s="37"/>
      <c r="C72" s="37"/>
      <c r="D72" s="37"/>
      <c r="E72" s="3025" t="s">
        <v>1836</v>
      </c>
      <c r="F72" s="37"/>
      <c r="G72" s="37"/>
      <c r="H72" s="37"/>
      <c r="I72" s="37"/>
      <c r="J72" s="37"/>
      <c r="K72" s="37"/>
      <c r="L72" s="37"/>
      <c r="M72" s="37"/>
      <c r="N72" s="37"/>
      <c r="O72" s="37"/>
      <c r="P72" s="37"/>
      <c r="Q72" s="37"/>
      <c r="R72" s="37"/>
      <c r="S72" s="37"/>
      <c r="T72" s="614"/>
      <c r="U72" s="37"/>
      <c r="V72" s="37"/>
      <c r="W72" s="37"/>
      <c r="X72" s="1609"/>
      <c r="Y72" s="37"/>
      <c r="Z72" s="37"/>
      <c r="AA72" s="37"/>
      <c r="AB72" s="37"/>
      <c r="AC72" s="37"/>
      <c r="AD72" s="37"/>
      <c r="AE72" s="37"/>
      <c r="AF72" s="37"/>
      <c r="AG72" s="1867"/>
      <c r="AH72" s="3024"/>
      <c r="AI72" s="3024"/>
    </row>
    <row r="73" spans="1:55" ht="11.25" customHeight="1">
      <c r="A73" s="1867"/>
      <c r="B73" s="67"/>
      <c r="C73" s="67"/>
      <c r="D73" s="67"/>
      <c r="E73" s="2647" t="s">
        <v>1837</v>
      </c>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1867"/>
      <c r="AH73" s="3024"/>
      <c r="AI73" s="3024"/>
    </row>
    <row r="74" spans="1:55">
      <c r="A74" s="1867"/>
      <c r="B74" s="375" t="s">
        <v>1841</v>
      </c>
      <c r="C74" s="371"/>
      <c r="D74" s="371"/>
      <c r="E74" s="371"/>
      <c r="F74" s="371"/>
      <c r="G74" s="371"/>
      <c r="H74" s="371"/>
      <c r="I74" s="371"/>
      <c r="J74" s="371"/>
      <c r="K74" s="375" t="s">
        <v>1532</v>
      </c>
      <c r="L74" s="371"/>
      <c r="M74" s="371"/>
      <c r="N74" s="371"/>
      <c r="O74" s="371"/>
      <c r="P74" s="371" t="s">
        <v>1536</v>
      </c>
      <c r="Q74" s="371"/>
      <c r="R74" s="371"/>
      <c r="S74" s="371"/>
      <c r="T74" s="371"/>
      <c r="U74" s="371"/>
      <c r="V74" s="371"/>
      <c r="W74" s="371"/>
      <c r="X74" s="371"/>
      <c r="Y74" s="371"/>
      <c r="Z74" s="371"/>
      <c r="AA74" s="371"/>
      <c r="AB74" s="371"/>
      <c r="AC74" s="371"/>
      <c r="AD74" s="371"/>
      <c r="AE74" s="371"/>
      <c r="AF74" s="371"/>
      <c r="AG74" s="1867"/>
    </row>
    <row r="75" spans="1:55">
      <c r="A75" s="1867"/>
      <c r="B75" s="1609" t="s">
        <v>1537</v>
      </c>
      <c r="C75" s="371"/>
      <c r="D75" s="371"/>
      <c r="E75" s="371"/>
      <c r="F75" s="371"/>
      <c r="G75" s="371"/>
      <c r="H75" s="371"/>
      <c r="I75" s="371"/>
      <c r="J75" s="371"/>
      <c r="K75" s="371"/>
      <c r="L75" s="371"/>
      <c r="M75" s="371"/>
      <c r="N75" s="371"/>
      <c r="O75" s="371"/>
      <c r="P75" s="371"/>
      <c r="Q75" s="371"/>
      <c r="R75" s="371"/>
      <c r="S75" s="371"/>
      <c r="T75" s="371"/>
      <c r="U75" s="371"/>
      <c r="V75" s="371"/>
      <c r="W75" s="371"/>
      <c r="X75" s="371"/>
      <c r="Y75" s="371"/>
      <c r="Z75" s="371"/>
      <c r="AA75" s="371"/>
      <c r="AB75" s="371"/>
      <c r="AC75" s="371"/>
      <c r="AD75" s="371"/>
      <c r="AE75" s="371"/>
      <c r="AF75" s="371"/>
      <c r="AG75" s="1867"/>
      <c r="BA75" s="4927" t="s">
        <v>1671</v>
      </c>
      <c r="BB75" s="4471"/>
      <c r="BC75" s="4928"/>
    </row>
    <row r="76" spans="1:55">
      <c r="A76" s="1867"/>
      <c r="B76" s="1609" t="s">
        <v>1538</v>
      </c>
      <c r="C76" s="371"/>
      <c r="D76" s="371"/>
      <c r="E76" s="371"/>
      <c r="F76" s="371"/>
      <c r="G76" s="371"/>
      <c r="H76" s="371"/>
      <c r="I76" s="371"/>
      <c r="J76" s="371"/>
      <c r="K76" s="371"/>
      <c r="L76" s="371"/>
      <c r="M76" s="371"/>
      <c r="N76" s="371"/>
      <c r="O76" s="371"/>
      <c r="P76" s="371"/>
      <c r="Q76" s="371"/>
      <c r="R76" s="371"/>
      <c r="S76" s="371"/>
      <c r="T76" s="371"/>
      <c r="U76" s="371"/>
      <c r="V76" s="371"/>
      <c r="W76" s="371"/>
      <c r="X76" s="371"/>
      <c r="Y76" s="371"/>
      <c r="Z76" s="371"/>
      <c r="AA76" s="371"/>
      <c r="AB76" s="371"/>
      <c r="AC76" s="371"/>
      <c r="AD76" s="371"/>
      <c r="AE76" s="371"/>
      <c r="AF76" s="371"/>
      <c r="AG76" s="1867"/>
      <c r="BA76" s="4929" t="s">
        <v>1670</v>
      </c>
      <c r="BB76" s="4929" t="s">
        <v>1660</v>
      </c>
      <c r="BC76" s="4929" t="s">
        <v>1661</v>
      </c>
    </row>
    <row r="77" spans="1:55" ht="4.5" customHeight="1" thickBot="1">
      <c r="A77" s="1867"/>
      <c r="B77" s="371"/>
      <c r="C77" s="371"/>
      <c r="D77" s="371"/>
      <c r="E77" s="371"/>
      <c r="F77" s="371"/>
      <c r="G77" s="371"/>
      <c r="H77" s="371"/>
      <c r="I77" s="371"/>
      <c r="J77" s="371"/>
      <c r="K77" s="371"/>
      <c r="L77" s="371"/>
      <c r="M77" s="371"/>
      <c r="N77" s="371"/>
      <c r="O77" s="371"/>
      <c r="P77" s="371"/>
      <c r="Q77" s="371"/>
      <c r="R77" s="371"/>
      <c r="S77" s="371"/>
      <c r="T77" s="371"/>
      <c r="U77" s="371"/>
      <c r="V77" s="371"/>
      <c r="W77" s="371"/>
      <c r="X77" s="371"/>
      <c r="Y77" s="371"/>
      <c r="Z77" s="371"/>
      <c r="AA77" s="371"/>
      <c r="AB77" s="371"/>
      <c r="AC77" s="371"/>
      <c r="AD77" s="371"/>
      <c r="AE77" s="371"/>
      <c r="AF77" s="371"/>
      <c r="AG77" s="1867"/>
      <c r="BA77" s="4930"/>
      <c r="BB77" s="4930"/>
      <c r="BC77" s="4930"/>
    </row>
    <row r="78" spans="1:55" ht="12" customHeight="1" thickBot="1">
      <c r="A78" s="1867"/>
      <c r="B78" s="2780">
        <f>IF(C78&lt;&gt;"",1,0)</f>
        <v>0</v>
      </c>
      <c r="C78" s="2779"/>
      <c r="D78" s="729" t="s">
        <v>1838</v>
      </c>
      <c r="E78" s="371"/>
      <c r="F78" s="371"/>
      <c r="G78" s="371"/>
      <c r="H78" s="371"/>
      <c r="I78" s="371"/>
      <c r="J78" s="371"/>
      <c r="K78" s="371"/>
      <c r="L78" s="371"/>
      <c r="M78" s="371"/>
      <c r="N78" s="371"/>
      <c r="O78" s="371"/>
      <c r="P78" s="371"/>
      <c r="Q78" s="371"/>
      <c r="R78" s="371"/>
      <c r="S78" s="371"/>
      <c r="T78" s="371"/>
      <c r="U78" s="371"/>
      <c r="V78" s="371"/>
      <c r="W78" s="371"/>
      <c r="X78" s="371"/>
      <c r="Y78" s="371"/>
      <c r="Z78" s="371"/>
      <c r="AA78" s="371"/>
      <c r="AB78" s="371"/>
      <c r="AC78" s="371"/>
      <c r="AD78" s="371"/>
      <c r="AE78" s="371"/>
      <c r="AF78" s="371"/>
      <c r="AG78" s="1867"/>
      <c r="AJ78" s="4922"/>
      <c r="AK78" s="4923"/>
      <c r="AL78" s="4923"/>
      <c r="AM78" s="4923"/>
      <c r="AN78" s="4923"/>
      <c r="AO78" s="4923"/>
      <c r="AP78" s="4923"/>
      <c r="AQ78" s="4923"/>
      <c r="BA78" s="4930"/>
      <c r="BB78" s="4930"/>
      <c r="BC78" s="4930"/>
    </row>
    <row r="79" spans="1:55" ht="4.5" customHeight="1" thickBot="1">
      <c r="A79" s="1867"/>
      <c r="B79" s="2648"/>
      <c r="C79" s="371"/>
      <c r="D79" s="371"/>
      <c r="E79" s="371"/>
      <c r="F79" s="371"/>
      <c r="G79" s="371"/>
      <c r="H79" s="371"/>
      <c r="I79" s="371"/>
      <c r="J79" s="371"/>
      <c r="K79" s="371"/>
      <c r="L79" s="371"/>
      <c r="M79" s="371"/>
      <c r="N79" s="371"/>
      <c r="O79" s="371"/>
      <c r="P79" s="371"/>
      <c r="Q79" s="371"/>
      <c r="R79" s="371"/>
      <c r="S79" s="371"/>
      <c r="T79" s="371"/>
      <c r="U79" s="371"/>
      <c r="V79" s="371"/>
      <c r="W79" s="371"/>
      <c r="X79" s="371"/>
      <c r="Y79" s="371"/>
      <c r="Z79" s="371"/>
      <c r="AA79" s="371"/>
      <c r="AB79" s="371"/>
      <c r="AC79" s="371"/>
      <c r="AD79" s="371"/>
      <c r="AE79" s="371"/>
      <c r="AF79" s="371"/>
      <c r="AG79" s="1867"/>
      <c r="BA79" s="4930"/>
      <c r="BB79" s="4930"/>
      <c r="BC79" s="4930"/>
    </row>
    <row r="80" spans="1:55" ht="11.25" customHeight="1" thickBot="1">
      <c r="A80" s="1867"/>
      <c r="B80" s="2780">
        <f>IF(C80&lt;&gt;"",1,0)</f>
        <v>0</v>
      </c>
      <c r="C80" s="2779"/>
      <c r="D80" s="729" t="s">
        <v>1839</v>
      </c>
      <c r="E80" s="371"/>
      <c r="F80" s="371"/>
      <c r="G80" s="371"/>
      <c r="H80" s="371"/>
      <c r="I80" s="371"/>
      <c r="J80" s="371"/>
      <c r="K80" s="371"/>
      <c r="L80" s="371"/>
      <c r="M80" s="371"/>
      <c r="N80" s="371"/>
      <c r="O80" s="371"/>
      <c r="P80" s="371"/>
      <c r="Q80" s="371"/>
      <c r="R80" s="371"/>
      <c r="S80" s="371"/>
      <c r="T80" s="371"/>
      <c r="U80" s="371"/>
      <c r="V80" s="371"/>
      <c r="W80" s="371"/>
      <c r="X80" s="371"/>
      <c r="Y80" s="371"/>
      <c r="Z80" s="371"/>
      <c r="AA80" s="371"/>
      <c r="AB80" s="371"/>
      <c r="AC80" s="371"/>
      <c r="AD80" s="371"/>
      <c r="AE80" s="371"/>
      <c r="AF80" s="371"/>
      <c r="AG80" s="1867"/>
      <c r="AJ80" s="4922"/>
      <c r="AK80" s="4923"/>
      <c r="AL80" s="4923"/>
      <c r="AM80" s="4923"/>
      <c r="AN80" s="4923"/>
      <c r="AO80" s="4923"/>
      <c r="AP80" s="4923"/>
      <c r="AQ80" s="4923"/>
      <c r="BA80" s="4930"/>
      <c r="BB80" s="4930"/>
      <c r="BC80" s="4930"/>
    </row>
    <row r="81" spans="1:55" ht="4.5" customHeight="1" thickBot="1">
      <c r="A81" s="1867"/>
      <c r="B81" s="2648"/>
      <c r="C81" s="371"/>
      <c r="D81" s="371"/>
      <c r="E81" s="371"/>
      <c r="F81" s="371"/>
      <c r="G81" s="371"/>
      <c r="H81" s="371"/>
      <c r="I81" s="371"/>
      <c r="J81" s="371"/>
      <c r="K81" s="371"/>
      <c r="L81" s="371"/>
      <c r="M81" s="371"/>
      <c r="N81" s="371"/>
      <c r="O81" s="371"/>
      <c r="P81" s="371"/>
      <c r="Q81" s="371"/>
      <c r="R81" s="371"/>
      <c r="S81" s="371"/>
      <c r="T81" s="371"/>
      <c r="U81" s="371"/>
      <c r="V81" s="371"/>
      <c r="W81" s="371"/>
      <c r="X81" s="371"/>
      <c r="Y81" s="371"/>
      <c r="Z81" s="371"/>
      <c r="AA81" s="371"/>
      <c r="AB81" s="371"/>
      <c r="AC81" s="371"/>
      <c r="AD81" s="371"/>
      <c r="AE81" s="371"/>
      <c r="AF81" s="371"/>
      <c r="AG81" s="1867"/>
      <c r="BA81" s="4930"/>
      <c r="BB81" s="4930"/>
      <c r="BC81" s="4930"/>
    </row>
    <row r="82" spans="1:55" ht="12" customHeight="1" thickBot="1">
      <c r="A82" s="1867">
        <f>SUM(B78:B82)</f>
        <v>0</v>
      </c>
      <c r="B82" s="2780">
        <f>IF(C82&lt;&gt;"",1,0)</f>
        <v>0</v>
      </c>
      <c r="C82" s="2779"/>
      <c r="D82" s="729" t="s">
        <v>1840</v>
      </c>
      <c r="E82" s="371"/>
      <c r="F82" s="371"/>
      <c r="G82" s="371"/>
      <c r="H82" s="371"/>
      <c r="I82" s="371"/>
      <c r="J82" s="371"/>
      <c r="K82" s="371"/>
      <c r="L82" s="371"/>
      <c r="M82" s="371"/>
      <c r="N82" s="371"/>
      <c r="O82" s="371"/>
      <c r="P82" s="371"/>
      <c r="Q82" s="371"/>
      <c r="R82" s="4959" t="str">
        <f>IF(SpaceUsed_8949C_LT,"ERROR: DO NOT use space. Use 'Delete'.",IF(A82&gt;1,"Check only ONE box.",IF($A$31&gt;0,"",IF(A82&lt;1,"Check ONE box.",""))))</f>
        <v>Check ONE box.</v>
      </c>
      <c r="S82" s="4960"/>
      <c r="T82" s="4960"/>
      <c r="U82" s="4960"/>
      <c r="V82" s="4960"/>
      <c r="W82" s="4960"/>
      <c r="X82" s="4960"/>
      <c r="Y82" s="4960"/>
      <c r="Z82" s="4960"/>
      <c r="AA82" s="4960"/>
      <c r="AB82" s="4960"/>
      <c r="AC82" s="4960"/>
      <c r="AD82" s="4960"/>
      <c r="AE82" s="4960"/>
      <c r="AF82" s="371"/>
      <c r="AG82" s="1867"/>
      <c r="AH82" s="3123" t="b">
        <f>IF(OR(F8949CLBOXA=CHAR(32),F8949CLBOXB=CHAR(32),F8949CLBOXC=CHAR(32)),TRUE,FALSE)</f>
        <v>0</v>
      </c>
      <c r="AJ82" s="4922" t="s">
        <v>1485</v>
      </c>
      <c r="AK82" s="4923"/>
      <c r="AL82" s="4923"/>
      <c r="AM82" s="4923"/>
      <c r="AN82" s="4923"/>
      <c r="AO82" s="4923"/>
      <c r="AP82" s="4923"/>
      <c r="AQ82" s="4923"/>
      <c r="BA82" s="4930"/>
      <c r="BB82" s="4930"/>
      <c r="BC82" s="4930"/>
    </row>
    <row r="83" spans="1:55" ht="3.75" customHeight="1">
      <c r="A83" s="1867"/>
      <c r="B83" s="372"/>
      <c r="C83" s="1807"/>
      <c r="D83" s="372"/>
      <c r="E83" s="372"/>
      <c r="F83" s="372"/>
      <c r="G83" s="372"/>
      <c r="H83" s="372"/>
      <c r="I83" s="372"/>
      <c r="J83" s="372"/>
      <c r="K83" s="372"/>
      <c r="L83" s="372"/>
      <c r="M83" s="372"/>
      <c r="N83" s="1807"/>
      <c r="O83" s="372"/>
      <c r="P83" s="372"/>
      <c r="Q83" s="372"/>
      <c r="R83" s="372"/>
      <c r="S83" s="372"/>
      <c r="T83" s="372"/>
      <c r="U83" s="372"/>
      <c r="V83" s="372"/>
      <c r="W83" s="372"/>
      <c r="X83" s="372"/>
      <c r="Y83" s="1807"/>
      <c r="Z83" s="372"/>
      <c r="AA83" s="372"/>
      <c r="AB83" s="372"/>
      <c r="AC83" s="372"/>
      <c r="AD83" s="372"/>
      <c r="AE83" s="372"/>
      <c r="AF83" s="372"/>
      <c r="AG83" s="1867"/>
      <c r="BA83" s="4930"/>
      <c r="BB83" s="4930"/>
      <c r="BC83" s="4930"/>
    </row>
    <row r="84" spans="1:55" ht="21" customHeight="1">
      <c r="A84" s="1867"/>
      <c r="B84" s="4982">
        <v>1</v>
      </c>
      <c r="C84" s="4991" t="s">
        <v>1170</v>
      </c>
      <c r="D84" s="4992"/>
      <c r="E84" s="4992"/>
      <c r="F84" s="4992"/>
      <c r="G84" s="4992"/>
      <c r="H84" s="4992"/>
      <c r="I84" s="4993"/>
      <c r="J84" s="4949" t="s">
        <v>1540</v>
      </c>
      <c r="K84" s="4950"/>
      <c r="L84" s="4951"/>
      <c r="M84" s="4949" t="s">
        <v>1541</v>
      </c>
      <c r="N84" s="4950"/>
      <c r="O84" s="4950"/>
      <c r="P84" s="4951"/>
      <c r="Q84" s="4949" t="s">
        <v>1542</v>
      </c>
      <c r="R84" s="4950"/>
      <c r="S84" s="4950"/>
      <c r="T84" s="4951"/>
      <c r="U84" s="4924" t="s">
        <v>1547</v>
      </c>
      <c r="V84" s="4297"/>
      <c r="W84" s="4297"/>
      <c r="X84" s="5006"/>
      <c r="Y84" s="4932" t="s">
        <v>1543</v>
      </c>
      <c r="Z84" s="5000"/>
      <c r="AA84" s="5000"/>
      <c r="AB84" s="5001"/>
      <c r="AC84" s="4924" t="s">
        <v>1546</v>
      </c>
      <c r="AD84" s="4297"/>
      <c r="AE84" s="4297"/>
      <c r="AF84" s="4297"/>
      <c r="AG84" s="1867"/>
      <c r="AJ84" s="4934" t="s">
        <v>1484</v>
      </c>
      <c r="AK84" s="4934" t="s">
        <v>1550</v>
      </c>
      <c r="AL84" s="4934" t="s">
        <v>1551</v>
      </c>
      <c r="AM84" s="4934" t="s">
        <v>1552</v>
      </c>
      <c r="AN84" s="4936" t="s">
        <v>1553</v>
      </c>
      <c r="AO84" s="4932" t="s">
        <v>1543</v>
      </c>
      <c r="AP84" s="4310"/>
      <c r="AQ84" s="4934" t="s">
        <v>1555</v>
      </c>
      <c r="BA84" s="4930"/>
      <c r="BB84" s="4930"/>
      <c r="BC84" s="4930"/>
    </row>
    <row r="85" spans="1:55" ht="21" customHeight="1">
      <c r="A85" s="1867"/>
      <c r="B85" s="3888"/>
      <c r="C85" s="4994"/>
      <c r="D85" s="4995"/>
      <c r="E85" s="4995"/>
      <c r="F85" s="4995"/>
      <c r="G85" s="4995"/>
      <c r="H85" s="4995"/>
      <c r="I85" s="4996"/>
      <c r="J85" s="4952"/>
      <c r="K85" s="4953"/>
      <c r="L85" s="4954"/>
      <c r="M85" s="4952"/>
      <c r="N85" s="4953"/>
      <c r="O85" s="4953"/>
      <c r="P85" s="4954"/>
      <c r="Q85" s="4952"/>
      <c r="R85" s="4953"/>
      <c r="S85" s="4953"/>
      <c r="T85" s="4954"/>
      <c r="U85" s="4925"/>
      <c r="V85" s="4926"/>
      <c r="W85" s="4926"/>
      <c r="X85" s="5031"/>
      <c r="Y85" s="5002"/>
      <c r="Z85" s="5003"/>
      <c r="AA85" s="5003"/>
      <c r="AB85" s="5004"/>
      <c r="AC85" s="4925"/>
      <c r="AD85" s="4926"/>
      <c r="AE85" s="4926"/>
      <c r="AF85" s="4926"/>
      <c r="AG85" s="1867"/>
      <c r="AJ85" s="4934"/>
      <c r="AK85" s="4934"/>
      <c r="AL85" s="4934"/>
      <c r="AM85" s="4934"/>
      <c r="AN85" s="4936"/>
      <c r="AO85" s="4468"/>
      <c r="AP85" s="4316"/>
      <c r="AQ85" s="4934"/>
      <c r="BA85" s="4930"/>
      <c r="BB85" s="4930"/>
      <c r="BC85" s="4930"/>
    </row>
    <row r="86" spans="1:55" ht="18" customHeight="1">
      <c r="A86" s="1867"/>
      <c r="B86" s="4983"/>
      <c r="C86" s="4997"/>
      <c r="D86" s="4997"/>
      <c r="E86" s="4997"/>
      <c r="F86" s="4997"/>
      <c r="G86" s="4997"/>
      <c r="H86" s="4997"/>
      <c r="I86" s="4996"/>
      <c r="J86" s="4955"/>
      <c r="K86" s="4953"/>
      <c r="L86" s="4954"/>
      <c r="M86" s="4955"/>
      <c r="N86" s="4953"/>
      <c r="O86" s="4953"/>
      <c r="P86" s="4954"/>
      <c r="Q86" s="4955"/>
      <c r="R86" s="4953"/>
      <c r="S86" s="4953"/>
      <c r="T86" s="4954"/>
      <c r="U86" s="4298"/>
      <c r="V86" s="4926"/>
      <c r="W86" s="4926"/>
      <c r="X86" s="5031"/>
      <c r="Y86" s="5005" t="s">
        <v>1544</v>
      </c>
      <c r="Z86" s="5006"/>
      <c r="AA86" s="5008" t="s">
        <v>1545</v>
      </c>
      <c r="AB86" s="5009"/>
      <c r="AC86" s="4298"/>
      <c r="AD86" s="4926"/>
      <c r="AE86" s="4926"/>
      <c r="AF86" s="4926"/>
      <c r="AG86" s="1867"/>
      <c r="AJ86" s="4935"/>
      <c r="AK86" s="4935"/>
      <c r="AL86" s="4935"/>
      <c r="AM86" s="4935"/>
      <c r="AN86" s="4937"/>
      <c r="AO86" s="4931" t="s">
        <v>1554</v>
      </c>
      <c r="AP86" s="4933" t="s">
        <v>1545</v>
      </c>
      <c r="AQ86" s="4935"/>
      <c r="BA86" s="4930"/>
      <c r="BB86" s="4930"/>
      <c r="BC86" s="4930"/>
    </row>
    <row r="87" spans="1:55" ht="18" customHeight="1">
      <c r="A87" s="1867"/>
      <c r="B87" s="4984"/>
      <c r="C87" s="4998"/>
      <c r="D87" s="4998"/>
      <c r="E87" s="4998"/>
      <c r="F87" s="4998"/>
      <c r="G87" s="4998"/>
      <c r="H87" s="4998"/>
      <c r="I87" s="4999"/>
      <c r="J87" s="4956"/>
      <c r="K87" s="4957"/>
      <c r="L87" s="4958"/>
      <c r="M87" s="4956"/>
      <c r="N87" s="4957"/>
      <c r="O87" s="4957"/>
      <c r="P87" s="4958"/>
      <c r="Q87" s="4956"/>
      <c r="R87" s="4957"/>
      <c r="S87" s="4957"/>
      <c r="T87" s="4958"/>
      <c r="U87" s="4300"/>
      <c r="V87" s="4301"/>
      <c r="W87" s="4301"/>
      <c r="X87" s="5007"/>
      <c r="Y87" s="4300"/>
      <c r="Z87" s="5007"/>
      <c r="AA87" s="4564"/>
      <c r="AB87" s="4452"/>
      <c r="AC87" s="4300"/>
      <c r="AD87" s="4301"/>
      <c r="AE87" s="4301"/>
      <c r="AF87" s="4301"/>
      <c r="AG87" s="1867"/>
      <c r="AJ87" s="4935"/>
      <c r="AK87" s="4935"/>
      <c r="AL87" s="4935"/>
      <c r="AM87" s="4935"/>
      <c r="AN87" s="4937"/>
      <c r="AO87" s="4244"/>
      <c r="AP87" s="4244"/>
      <c r="AQ87" s="4935"/>
      <c r="BA87" s="4930"/>
      <c r="BB87" s="4930"/>
      <c r="BC87" s="4930"/>
    </row>
    <row r="88" spans="1:55" s="2642" customFormat="1" ht="19.5" customHeight="1">
      <c r="A88" s="1867">
        <f>IF(OR(U88&lt;&gt;"",Y88&lt;&gt;""),1,0)</f>
        <v>0</v>
      </c>
      <c r="B88" s="4945" t="str">
        <f t="shared" ref="B88:B115" si="20">IF(AJ88="","",AJ88)</f>
        <v/>
      </c>
      <c r="C88" s="4946"/>
      <c r="D88" s="4946"/>
      <c r="E88" s="4946"/>
      <c r="F88" s="4946"/>
      <c r="G88" s="4946"/>
      <c r="H88" s="4946"/>
      <c r="I88" s="4947"/>
      <c r="J88" s="4943" t="str">
        <f t="shared" ref="J88:J115" si="21">IF(AK88="","",AK88)</f>
        <v/>
      </c>
      <c r="K88" s="4944"/>
      <c r="L88" s="4944"/>
      <c r="M88" s="4943" t="str">
        <f t="shared" ref="M88:M115" si="22">IF(AL88="","",AL88)</f>
        <v/>
      </c>
      <c r="N88" s="4944"/>
      <c r="O88" s="4944"/>
      <c r="P88" s="4948"/>
      <c r="Q88" s="3792" t="str">
        <f t="shared" ref="Q88:Q115" si="23">IF(AM88="","",AM88)</f>
        <v/>
      </c>
      <c r="R88" s="4938"/>
      <c r="S88" s="4938"/>
      <c r="T88" s="4103"/>
      <c r="U88" s="3792" t="str">
        <f t="shared" ref="U88:U115" si="24">IF(AN88="","",AN88)</f>
        <v/>
      </c>
      <c r="V88" s="4938"/>
      <c r="W88" s="4938"/>
      <c r="X88" s="4103"/>
      <c r="Y88" s="4921" t="str">
        <f>IF(AO88&lt;&gt;"",AO88,"")</f>
        <v/>
      </c>
      <c r="Z88" s="3747"/>
      <c r="AA88" s="4921" t="str">
        <f>IF(AP88="","",AP88)</f>
        <v/>
      </c>
      <c r="AB88" s="3747"/>
      <c r="AC88" s="4919" t="str">
        <f>IF(AQ88&lt;&gt;"",AQ88,IF(AND(Q88&lt;&gt;"",U88&lt;&gt;""),SUM(Q88,-U88,AA88),""))</f>
        <v/>
      </c>
      <c r="AD88" s="4920"/>
      <c r="AE88" s="4920"/>
      <c r="AF88" s="4920"/>
      <c r="AG88" s="2837">
        <f>IF(OR(J88="",M88=""),0,IF(OR(BA88,BB88,BC88),1,0))</f>
        <v>0</v>
      </c>
      <c r="AH88" s="1804"/>
      <c r="AI88" s="1804" t="e">
        <f>M88-J88</f>
        <v>#VALUE!</v>
      </c>
      <c r="AJ88" s="2650"/>
      <c r="AK88" s="2654"/>
      <c r="AL88" s="2654"/>
      <c r="AM88" s="2652"/>
      <c r="AN88" s="2652"/>
      <c r="AO88" s="2653"/>
      <c r="AP88" s="2652"/>
      <c r="AQ88" s="2651"/>
      <c r="AS88" s="2826" t="e">
        <f>YEAR(J88)</f>
        <v>#VALUE!</v>
      </c>
      <c r="AT88" s="2826" t="e">
        <f>MONTH(J88)</f>
        <v>#VALUE!</v>
      </c>
      <c r="AU88" s="2826" t="e">
        <f>DAY(J88)</f>
        <v>#VALUE!</v>
      </c>
      <c r="AV88" s="2826"/>
      <c r="AW88" s="2826" t="e">
        <f>YEAR(M88)</f>
        <v>#VALUE!</v>
      </c>
      <c r="AX88" s="2826" t="e">
        <f>MONTH(M88)</f>
        <v>#VALUE!</v>
      </c>
      <c r="AY88" s="2826" t="e">
        <f>DAY(M88)</f>
        <v>#VALUE!</v>
      </c>
      <c r="AZ88" s="2826"/>
      <c r="BA88" s="2826" t="e">
        <f>IF(AW88=AS88,TRUE,FALSE)</f>
        <v>#VALUE!</v>
      </c>
      <c r="BB88" s="2826" t="e">
        <f>IF(AND(AW88=AS88+1,AX88&lt;AT88),TRUE,FALSE)</f>
        <v>#VALUE!</v>
      </c>
      <c r="BC88" s="2826" t="e">
        <f>IF(AND(AW88=AS88+1,AX88=AT88,AY88&lt;=AU88),TRUE,FALSE)</f>
        <v>#VALUE!</v>
      </c>
    </row>
    <row r="89" spans="1:55" s="2642" customFormat="1" ht="19.5" customHeight="1">
      <c r="A89" s="1867">
        <f t="shared" ref="A89:A115" si="25">IF(OR(U89&lt;&gt;"",Y89&lt;&gt;""),1,0)</f>
        <v>0</v>
      </c>
      <c r="B89" s="4945" t="str">
        <f t="shared" si="20"/>
        <v/>
      </c>
      <c r="C89" s="4946"/>
      <c r="D89" s="4946"/>
      <c r="E89" s="4946"/>
      <c r="F89" s="4946"/>
      <c r="G89" s="4946"/>
      <c r="H89" s="4946"/>
      <c r="I89" s="4947"/>
      <c r="J89" s="4943" t="str">
        <f t="shared" si="21"/>
        <v/>
      </c>
      <c r="K89" s="4944"/>
      <c r="L89" s="4944"/>
      <c r="M89" s="4943" t="str">
        <f t="shared" si="22"/>
        <v/>
      </c>
      <c r="N89" s="4944"/>
      <c r="O89" s="4944"/>
      <c r="P89" s="4948"/>
      <c r="Q89" s="3792" t="str">
        <f t="shared" si="23"/>
        <v/>
      </c>
      <c r="R89" s="4938"/>
      <c r="S89" s="4938"/>
      <c r="T89" s="4103"/>
      <c r="U89" s="3792" t="str">
        <f t="shared" si="24"/>
        <v/>
      </c>
      <c r="V89" s="4938"/>
      <c r="W89" s="4938"/>
      <c r="X89" s="4103"/>
      <c r="Y89" s="4921" t="str">
        <f t="shared" ref="Y89:Y115" si="26">IF(AO89&lt;&gt;"",AO89,"")</f>
        <v/>
      </c>
      <c r="Z89" s="3747"/>
      <c r="AA89" s="4921" t="str">
        <f t="shared" ref="AA89:AA115" si="27">IF(AP89="","",AP89)</f>
        <v/>
      </c>
      <c r="AB89" s="3747"/>
      <c r="AC89" s="4919" t="str">
        <f t="shared" ref="AC89:AC115" si="28">IF(AQ89&lt;&gt;"",AQ89,IF(AND(Q89&lt;&gt;"",U89&lt;&gt;""),SUM(Q89,-U89,AA89),""))</f>
        <v/>
      </c>
      <c r="AD89" s="4920"/>
      <c r="AE89" s="4920"/>
      <c r="AF89" s="4920"/>
      <c r="AG89" s="2837">
        <f t="shared" ref="AG89:AG115" si="29">IF(OR(J89="",M89=""),0,IF(OR(BA89,BB89,BC89),1,0))</f>
        <v>0</v>
      </c>
      <c r="AH89" s="1804"/>
      <c r="AI89" s="1804" t="e">
        <f t="shared" ref="AI89:AI115" si="30">M89-J89</f>
        <v>#VALUE!</v>
      </c>
      <c r="AJ89" s="2650"/>
      <c r="AK89" s="2654"/>
      <c r="AL89" s="2654"/>
      <c r="AM89" s="2652"/>
      <c r="AN89" s="2652"/>
      <c r="AO89" s="2653"/>
      <c r="AP89" s="2652"/>
      <c r="AQ89" s="2651"/>
      <c r="AS89" s="2826" t="e">
        <f t="shared" ref="AS89:AS115" si="31">YEAR(J89)</f>
        <v>#VALUE!</v>
      </c>
      <c r="AT89" s="2826" t="e">
        <f t="shared" ref="AT89:AT115" si="32">MONTH(J89)</f>
        <v>#VALUE!</v>
      </c>
      <c r="AU89" s="2826" t="e">
        <f t="shared" ref="AU89:AU115" si="33">DAY(J89)</f>
        <v>#VALUE!</v>
      </c>
      <c r="AV89" s="2826"/>
      <c r="AW89" s="2826" t="e">
        <f t="shared" ref="AW89:AW115" si="34">YEAR(M89)</f>
        <v>#VALUE!</v>
      </c>
      <c r="AX89" s="2826" t="e">
        <f t="shared" ref="AX89:AX115" si="35">MONTH(M89)</f>
        <v>#VALUE!</v>
      </c>
      <c r="AY89" s="2826" t="e">
        <f t="shared" ref="AY89:AY115" si="36">DAY(M89)</f>
        <v>#VALUE!</v>
      </c>
      <c r="AZ89" s="2826"/>
      <c r="BA89" s="2826" t="e">
        <f t="shared" ref="BA89:BA115" si="37">IF(AW89=AS89,TRUE,FALSE)</f>
        <v>#VALUE!</v>
      </c>
      <c r="BB89" s="2826" t="e">
        <f t="shared" ref="BB89:BB115" si="38">IF(AND(AW89=AS89+1,AX89&lt;AT89),TRUE,FALSE)</f>
        <v>#VALUE!</v>
      </c>
      <c r="BC89" s="2826" t="e">
        <f t="shared" ref="BC89:BC115" si="39">IF(AND(AW89=AS89+1,AX89=AT89,AY89&lt;=AU89),TRUE,FALSE)</f>
        <v>#VALUE!</v>
      </c>
    </row>
    <row r="90" spans="1:55" s="2642" customFormat="1" ht="19.5" customHeight="1">
      <c r="A90" s="1867">
        <f t="shared" si="25"/>
        <v>0</v>
      </c>
      <c r="B90" s="4945" t="str">
        <f t="shared" si="20"/>
        <v/>
      </c>
      <c r="C90" s="4946"/>
      <c r="D90" s="4946"/>
      <c r="E90" s="4946"/>
      <c r="F90" s="4946"/>
      <c r="G90" s="4946"/>
      <c r="H90" s="4946"/>
      <c r="I90" s="4947"/>
      <c r="J90" s="4943" t="str">
        <f t="shared" si="21"/>
        <v/>
      </c>
      <c r="K90" s="4944"/>
      <c r="L90" s="4944"/>
      <c r="M90" s="4943" t="str">
        <f t="shared" si="22"/>
        <v/>
      </c>
      <c r="N90" s="4944"/>
      <c r="O90" s="4944"/>
      <c r="P90" s="4948"/>
      <c r="Q90" s="3792" t="str">
        <f t="shared" si="23"/>
        <v/>
      </c>
      <c r="R90" s="4938"/>
      <c r="S90" s="4938"/>
      <c r="T90" s="4103"/>
      <c r="U90" s="3792" t="str">
        <f t="shared" si="24"/>
        <v/>
      </c>
      <c r="V90" s="4938"/>
      <c r="W90" s="4938"/>
      <c r="X90" s="4103"/>
      <c r="Y90" s="4921" t="str">
        <f t="shared" si="26"/>
        <v/>
      </c>
      <c r="Z90" s="3747"/>
      <c r="AA90" s="4921" t="str">
        <f t="shared" si="27"/>
        <v/>
      </c>
      <c r="AB90" s="3747"/>
      <c r="AC90" s="4919" t="str">
        <f t="shared" si="28"/>
        <v/>
      </c>
      <c r="AD90" s="4920"/>
      <c r="AE90" s="4920"/>
      <c r="AF90" s="4920"/>
      <c r="AG90" s="2837">
        <f t="shared" si="29"/>
        <v>0</v>
      </c>
      <c r="AH90" s="1804"/>
      <c r="AI90" s="1804" t="e">
        <f t="shared" si="30"/>
        <v>#VALUE!</v>
      </c>
      <c r="AJ90" s="2650"/>
      <c r="AK90" s="2654"/>
      <c r="AL90" s="2654"/>
      <c r="AM90" s="2652"/>
      <c r="AN90" s="2652"/>
      <c r="AO90" s="2653"/>
      <c r="AP90" s="2652"/>
      <c r="AQ90" s="2651"/>
      <c r="AS90" s="2826" t="e">
        <f t="shared" si="31"/>
        <v>#VALUE!</v>
      </c>
      <c r="AT90" s="2826" t="e">
        <f t="shared" si="32"/>
        <v>#VALUE!</v>
      </c>
      <c r="AU90" s="2826" t="e">
        <f t="shared" si="33"/>
        <v>#VALUE!</v>
      </c>
      <c r="AV90" s="2826"/>
      <c r="AW90" s="2826" t="e">
        <f t="shared" si="34"/>
        <v>#VALUE!</v>
      </c>
      <c r="AX90" s="2826" t="e">
        <f t="shared" si="35"/>
        <v>#VALUE!</v>
      </c>
      <c r="AY90" s="2826" t="e">
        <f t="shared" si="36"/>
        <v>#VALUE!</v>
      </c>
      <c r="AZ90" s="2826"/>
      <c r="BA90" s="2826" t="e">
        <f t="shared" si="37"/>
        <v>#VALUE!</v>
      </c>
      <c r="BB90" s="2826" t="e">
        <f t="shared" si="38"/>
        <v>#VALUE!</v>
      </c>
      <c r="BC90" s="2826" t="e">
        <f t="shared" si="39"/>
        <v>#VALUE!</v>
      </c>
    </row>
    <row r="91" spans="1:55" s="2642" customFormat="1" ht="19.5" customHeight="1">
      <c r="A91" s="1867">
        <f t="shared" si="25"/>
        <v>0</v>
      </c>
      <c r="B91" s="4945" t="str">
        <f t="shared" si="20"/>
        <v/>
      </c>
      <c r="C91" s="4946"/>
      <c r="D91" s="4946"/>
      <c r="E91" s="4946"/>
      <c r="F91" s="4946"/>
      <c r="G91" s="4946"/>
      <c r="H91" s="4946"/>
      <c r="I91" s="4947"/>
      <c r="J91" s="4943" t="str">
        <f t="shared" si="21"/>
        <v/>
      </c>
      <c r="K91" s="4944"/>
      <c r="L91" s="4944"/>
      <c r="M91" s="4943" t="str">
        <f t="shared" si="22"/>
        <v/>
      </c>
      <c r="N91" s="4944"/>
      <c r="O91" s="4944"/>
      <c r="P91" s="4948"/>
      <c r="Q91" s="3792" t="str">
        <f t="shared" si="23"/>
        <v/>
      </c>
      <c r="R91" s="4938"/>
      <c r="S91" s="4938"/>
      <c r="T91" s="4103"/>
      <c r="U91" s="3792" t="str">
        <f t="shared" si="24"/>
        <v/>
      </c>
      <c r="V91" s="4938"/>
      <c r="W91" s="4938"/>
      <c r="X91" s="4103"/>
      <c r="Y91" s="4921" t="str">
        <f t="shared" si="26"/>
        <v/>
      </c>
      <c r="Z91" s="3747"/>
      <c r="AA91" s="4921" t="str">
        <f t="shared" si="27"/>
        <v/>
      </c>
      <c r="AB91" s="3747"/>
      <c r="AC91" s="4919" t="str">
        <f t="shared" si="28"/>
        <v/>
      </c>
      <c r="AD91" s="4920"/>
      <c r="AE91" s="4920"/>
      <c r="AF91" s="4920"/>
      <c r="AG91" s="2837">
        <f t="shared" si="29"/>
        <v>0</v>
      </c>
      <c r="AH91" s="1804"/>
      <c r="AI91" s="1804" t="e">
        <f t="shared" si="30"/>
        <v>#VALUE!</v>
      </c>
      <c r="AJ91" s="2650"/>
      <c r="AK91" s="2654"/>
      <c r="AL91" s="2654"/>
      <c r="AM91" s="2652"/>
      <c r="AN91" s="2652"/>
      <c r="AO91" s="2653"/>
      <c r="AP91" s="2652"/>
      <c r="AQ91" s="2651"/>
      <c r="AS91" s="2826" t="e">
        <f t="shared" si="31"/>
        <v>#VALUE!</v>
      </c>
      <c r="AT91" s="2826" t="e">
        <f t="shared" si="32"/>
        <v>#VALUE!</v>
      </c>
      <c r="AU91" s="2826" t="e">
        <f t="shared" si="33"/>
        <v>#VALUE!</v>
      </c>
      <c r="AV91" s="2826"/>
      <c r="AW91" s="2826" t="e">
        <f t="shared" si="34"/>
        <v>#VALUE!</v>
      </c>
      <c r="AX91" s="2826" t="e">
        <f t="shared" si="35"/>
        <v>#VALUE!</v>
      </c>
      <c r="AY91" s="2826" t="e">
        <f t="shared" si="36"/>
        <v>#VALUE!</v>
      </c>
      <c r="AZ91" s="2826"/>
      <c r="BA91" s="2826" t="e">
        <f t="shared" si="37"/>
        <v>#VALUE!</v>
      </c>
      <c r="BB91" s="2826" t="e">
        <f t="shared" si="38"/>
        <v>#VALUE!</v>
      </c>
      <c r="BC91" s="2826" t="e">
        <f t="shared" si="39"/>
        <v>#VALUE!</v>
      </c>
    </row>
    <row r="92" spans="1:55" s="2642" customFormat="1" ht="19.5" customHeight="1">
      <c r="A92" s="1867">
        <f t="shared" si="25"/>
        <v>0</v>
      </c>
      <c r="B92" s="4945" t="str">
        <f t="shared" si="20"/>
        <v/>
      </c>
      <c r="C92" s="4946"/>
      <c r="D92" s="4946"/>
      <c r="E92" s="4946"/>
      <c r="F92" s="4946"/>
      <c r="G92" s="4946"/>
      <c r="H92" s="4946"/>
      <c r="I92" s="4947"/>
      <c r="J92" s="4943" t="str">
        <f t="shared" si="21"/>
        <v/>
      </c>
      <c r="K92" s="4944"/>
      <c r="L92" s="4944"/>
      <c r="M92" s="4943" t="str">
        <f t="shared" si="22"/>
        <v/>
      </c>
      <c r="N92" s="4944"/>
      <c r="O92" s="4944"/>
      <c r="P92" s="4948"/>
      <c r="Q92" s="3792" t="str">
        <f t="shared" si="23"/>
        <v/>
      </c>
      <c r="R92" s="4938"/>
      <c r="S92" s="4938"/>
      <c r="T92" s="4103"/>
      <c r="U92" s="3792" t="str">
        <f t="shared" si="24"/>
        <v/>
      </c>
      <c r="V92" s="4938"/>
      <c r="W92" s="4938"/>
      <c r="X92" s="4103"/>
      <c r="Y92" s="4921" t="str">
        <f t="shared" si="26"/>
        <v/>
      </c>
      <c r="Z92" s="3747"/>
      <c r="AA92" s="4921" t="str">
        <f t="shared" si="27"/>
        <v/>
      </c>
      <c r="AB92" s="3747"/>
      <c r="AC92" s="4919" t="str">
        <f t="shared" si="28"/>
        <v/>
      </c>
      <c r="AD92" s="4920"/>
      <c r="AE92" s="4920"/>
      <c r="AF92" s="4920"/>
      <c r="AG92" s="2837">
        <f t="shared" si="29"/>
        <v>0</v>
      </c>
      <c r="AH92" s="1804"/>
      <c r="AI92" s="1804" t="e">
        <f t="shared" si="30"/>
        <v>#VALUE!</v>
      </c>
      <c r="AJ92" s="2650"/>
      <c r="AK92" s="2654"/>
      <c r="AL92" s="2654"/>
      <c r="AM92" s="2652"/>
      <c r="AN92" s="2652"/>
      <c r="AO92" s="2653"/>
      <c r="AP92" s="2652"/>
      <c r="AQ92" s="2651"/>
      <c r="AS92" s="2826" t="e">
        <f t="shared" si="31"/>
        <v>#VALUE!</v>
      </c>
      <c r="AT92" s="2826" t="e">
        <f t="shared" si="32"/>
        <v>#VALUE!</v>
      </c>
      <c r="AU92" s="2826" t="e">
        <f t="shared" si="33"/>
        <v>#VALUE!</v>
      </c>
      <c r="AV92" s="2826"/>
      <c r="AW92" s="2826" t="e">
        <f t="shared" si="34"/>
        <v>#VALUE!</v>
      </c>
      <c r="AX92" s="2826" t="e">
        <f t="shared" si="35"/>
        <v>#VALUE!</v>
      </c>
      <c r="AY92" s="2826" t="e">
        <f t="shared" si="36"/>
        <v>#VALUE!</v>
      </c>
      <c r="AZ92" s="2826"/>
      <c r="BA92" s="2826" t="e">
        <f t="shared" si="37"/>
        <v>#VALUE!</v>
      </c>
      <c r="BB92" s="2826" t="e">
        <f t="shared" si="38"/>
        <v>#VALUE!</v>
      </c>
      <c r="BC92" s="2826" t="e">
        <f t="shared" si="39"/>
        <v>#VALUE!</v>
      </c>
    </row>
    <row r="93" spans="1:55" s="2642" customFormat="1" ht="19.5" customHeight="1">
      <c r="A93" s="1867">
        <f t="shared" si="25"/>
        <v>0</v>
      </c>
      <c r="B93" s="4945" t="str">
        <f t="shared" si="20"/>
        <v/>
      </c>
      <c r="C93" s="4946"/>
      <c r="D93" s="4946"/>
      <c r="E93" s="4946"/>
      <c r="F93" s="4946"/>
      <c r="G93" s="4946"/>
      <c r="H93" s="4946"/>
      <c r="I93" s="4947"/>
      <c r="J93" s="4943" t="str">
        <f t="shared" si="21"/>
        <v/>
      </c>
      <c r="K93" s="4944"/>
      <c r="L93" s="4944"/>
      <c r="M93" s="4943" t="str">
        <f t="shared" si="22"/>
        <v/>
      </c>
      <c r="N93" s="4944"/>
      <c r="O93" s="4944"/>
      <c r="P93" s="4948"/>
      <c r="Q93" s="3792" t="str">
        <f t="shared" si="23"/>
        <v/>
      </c>
      <c r="R93" s="4938"/>
      <c r="S93" s="4938"/>
      <c r="T93" s="4103"/>
      <c r="U93" s="3792" t="str">
        <f t="shared" si="24"/>
        <v/>
      </c>
      <c r="V93" s="4938"/>
      <c r="W93" s="4938"/>
      <c r="X93" s="4103"/>
      <c r="Y93" s="4921" t="str">
        <f t="shared" si="26"/>
        <v/>
      </c>
      <c r="Z93" s="3747"/>
      <c r="AA93" s="4921" t="str">
        <f t="shared" si="27"/>
        <v/>
      </c>
      <c r="AB93" s="3747"/>
      <c r="AC93" s="4919" t="str">
        <f t="shared" si="28"/>
        <v/>
      </c>
      <c r="AD93" s="4920"/>
      <c r="AE93" s="4920"/>
      <c r="AF93" s="4920"/>
      <c r="AG93" s="2837">
        <f t="shared" si="29"/>
        <v>0</v>
      </c>
      <c r="AH93" s="1804"/>
      <c r="AI93" s="1804" t="e">
        <f t="shared" si="30"/>
        <v>#VALUE!</v>
      </c>
      <c r="AJ93" s="2650"/>
      <c r="AK93" s="2654"/>
      <c r="AL93" s="2654"/>
      <c r="AM93" s="2652"/>
      <c r="AN93" s="2652"/>
      <c r="AO93" s="2653"/>
      <c r="AP93" s="2652"/>
      <c r="AQ93" s="2651"/>
      <c r="AS93" s="2826" t="e">
        <f t="shared" si="31"/>
        <v>#VALUE!</v>
      </c>
      <c r="AT93" s="2826" t="e">
        <f t="shared" si="32"/>
        <v>#VALUE!</v>
      </c>
      <c r="AU93" s="2826" t="e">
        <f t="shared" si="33"/>
        <v>#VALUE!</v>
      </c>
      <c r="AV93" s="2826"/>
      <c r="AW93" s="2826" t="e">
        <f t="shared" si="34"/>
        <v>#VALUE!</v>
      </c>
      <c r="AX93" s="2826" t="e">
        <f t="shared" si="35"/>
        <v>#VALUE!</v>
      </c>
      <c r="AY93" s="2826" t="e">
        <f t="shared" si="36"/>
        <v>#VALUE!</v>
      </c>
      <c r="AZ93" s="2826"/>
      <c r="BA93" s="2826" t="e">
        <f t="shared" si="37"/>
        <v>#VALUE!</v>
      </c>
      <c r="BB93" s="2826" t="e">
        <f t="shared" si="38"/>
        <v>#VALUE!</v>
      </c>
      <c r="BC93" s="2826" t="e">
        <f t="shared" si="39"/>
        <v>#VALUE!</v>
      </c>
    </row>
    <row r="94" spans="1:55" s="2642" customFormat="1" ht="19.5" customHeight="1">
      <c r="A94" s="1867">
        <f t="shared" si="25"/>
        <v>0</v>
      </c>
      <c r="B94" s="4945" t="str">
        <f t="shared" si="20"/>
        <v/>
      </c>
      <c r="C94" s="4946"/>
      <c r="D94" s="4946"/>
      <c r="E94" s="4946"/>
      <c r="F94" s="4946"/>
      <c r="G94" s="4946"/>
      <c r="H94" s="4946"/>
      <c r="I94" s="4947"/>
      <c r="J94" s="4943" t="str">
        <f t="shared" si="21"/>
        <v/>
      </c>
      <c r="K94" s="4944"/>
      <c r="L94" s="4944"/>
      <c r="M94" s="4943" t="str">
        <f t="shared" si="22"/>
        <v/>
      </c>
      <c r="N94" s="4944"/>
      <c r="O94" s="4944"/>
      <c r="P94" s="4948"/>
      <c r="Q94" s="3792" t="str">
        <f t="shared" si="23"/>
        <v/>
      </c>
      <c r="R94" s="4938"/>
      <c r="S94" s="4938"/>
      <c r="T94" s="4103"/>
      <c r="U94" s="3792" t="str">
        <f t="shared" si="24"/>
        <v/>
      </c>
      <c r="V94" s="4938"/>
      <c r="W94" s="4938"/>
      <c r="X94" s="4103"/>
      <c r="Y94" s="4921" t="str">
        <f t="shared" si="26"/>
        <v/>
      </c>
      <c r="Z94" s="3747"/>
      <c r="AA94" s="4921" t="str">
        <f t="shared" si="27"/>
        <v/>
      </c>
      <c r="AB94" s="3747"/>
      <c r="AC94" s="4919" t="str">
        <f t="shared" si="28"/>
        <v/>
      </c>
      <c r="AD94" s="4920"/>
      <c r="AE94" s="4920"/>
      <c r="AF94" s="4920"/>
      <c r="AG94" s="2837">
        <f t="shared" si="29"/>
        <v>0</v>
      </c>
      <c r="AH94" s="1804"/>
      <c r="AI94" s="1804" t="e">
        <f t="shared" si="30"/>
        <v>#VALUE!</v>
      </c>
      <c r="AJ94" s="2650"/>
      <c r="AK94" s="2654"/>
      <c r="AL94" s="2654"/>
      <c r="AM94" s="2652"/>
      <c r="AN94" s="2652"/>
      <c r="AO94" s="2653"/>
      <c r="AP94" s="2652"/>
      <c r="AQ94" s="2651"/>
      <c r="AS94" s="2826" t="e">
        <f t="shared" si="31"/>
        <v>#VALUE!</v>
      </c>
      <c r="AT94" s="2826" t="e">
        <f t="shared" si="32"/>
        <v>#VALUE!</v>
      </c>
      <c r="AU94" s="2826" t="e">
        <f t="shared" si="33"/>
        <v>#VALUE!</v>
      </c>
      <c r="AV94" s="2826"/>
      <c r="AW94" s="2826" t="e">
        <f t="shared" si="34"/>
        <v>#VALUE!</v>
      </c>
      <c r="AX94" s="2826" t="e">
        <f t="shared" si="35"/>
        <v>#VALUE!</v>
      </c>
      <c r="AY94" s="2826" t="e">
        <f t="shared" si="36"/>
        <v>#VALUE!</v>
      </c>
      <c r="AZ94" s="2826"/>
      <c r="BA94" s="2826" t="e">
        <f t="shared" si="37"/>
        <v>#VALUE!</v>
      </c>
      <c r="BB94" s="2826" t="e">
        <f t="shared" si="38"/>
        <v>#VALUE!</v>
      </c>
      <c r="BC94" s="2826" t="e">
        <f t="shared" si="39"/>
        <v>#VALUE!</v>
      </c>
    </row>
    <row r="95" spans="1:55" s="2642" customFormat="1" ht="19.5" customHeight="1">
      <c r="A95" s="1867">
        <f t="shared" si="25"/>
        <v>0</v>
      </c>
      <c r="B95" s="4945" t="str">
        <f t="shared" si="20"/>
        <v/>
      </c>
      <c r="C95" s="4946"/>
      <c r="D95" s="4946"/>
      <c r="E95" s="4946"/>
      <c r="F95" s="4946"/>
      <c r="G95" s="4946"/>
      <c r="H95" s="4946"/>
      <c r="I95" s="4947"/>
      <c r="J95" s="4943" t="str">
        <f t="shared" si="21"/>
        <v/>
      </c>
      <c r="K95" s="4944"/>
      <c r="L95" s="4944"/>
      <c r="M95" s="4943" t="str">
        <f t="shared" si="22"/>
        <v/>
      </c>
      <c r="N95" s="4944"/>
      <c r="O95" s="4944"/>
      <c r="P95" s="4948"/>
      <c r="Q95" s="3792" t="str">
        <f t="shared" si="23"/>
        <v/>
      </c>
      <c r="R95" s="4938"/>
      <c r="S95" s="4938"/>
      <c r="T95" s="4103"/>
      <c r="U95" s="3792" t="str">
        <f t="shared" si="24"/>
        <v/>
      </c>
      <c r="V95" s="4938"/>
      <c r="W95" s="4938"/>
      <c r="X95" s="4103"/>
      <c r="Y95" s="4921" t="str">
        <f t="shared" si="26"/>
        <v/>
      </c>
      <c r="Z95" s="3747"/>
      <c r="AA95" s="4921" t="str">
        <f t="shared" si="27"/>
        <v/>
      </c>
      <c r="AB95" s="3747"/>
      <c r="AC95" s="4919" t="str">
        <f t="shared" si="28"/>
        <v/>
      </c>
      <c r="AD95" s="4920"/>
      <c r="AE95" s="4920"/>
      <c r="AF95" s="4920"/>
      <c r="AG95" s="2837">
        <f t="shared" si="29"/>
        <v>0</v>
      </c>
      <c r="AH95" s="1804"/>
      <c r="AI95" s="1804" t="e">
        <f t="shared" si="30"/>
        <v>#VALUE!</v>
      </c>
      <c r="AJ95" s="2650"/>
      <c r="AK95" s="2654"/>
      <c r="AL95" s="2654"/>
      <c r="AM95" s="2652"/>
      <c r="AN95" s="2652"/>
      <c r="AO95" s="2653"/>
      <c r="AP95" s="2652"/>
      <c r="AQ95" s="2651"/>
      <c r="AS95" s="2826" t="e">
        <f t="shared" si="31"/>
        <v>#VALUE!</v>
      </c>
      <c r="AT95" s="2826" t="e">
        <f t="shared" si="32"/>
        <v>#VALUE!</v>
      </c>
      <c r="AU95" s="2826" t="e">
        <f t="shared" si="33"/>
        <v>#VALUE!</v>
      </c>
      <c r="AV95" s="2826"/>
      <c r="AW95" s="2826" t="e">
        <f t="shared" si="34"/>
        <v>#VALUE!</v>
      </c>
      <c r="AX95" s="2826" t="e">
        <f t="shared" si="35"/>
        <v>#VALUE!</v>
      </c>
      <c r="AY95" s="2826" t="e">
        <f t="shared" si="36"/>
        <v>#VALUE!</v>
      </c>
      <c r="AZ95" s="2826"/>
      <c r="BA95" s="2826" t="e">
        <f t="shared" si="37"/>
        <v>#VALUE!</v>
      </c>
      <c r="BB95" s="2826" t="e">
        <f t="shared" si="38"/>
        <v>#VALUE!</v>
      </c>
      <c r="BC95" s="2826" t="e">
        <f t="shared" si="39"/>
        <v>#VALUE!</v>
      </c>
    </row>
    <row r="96" spans="1:55" s="2642" customFormat="1" ht="19.5" customHeight="1">
      <c r="A96" s="1867">
        <f t="shared" si="25"/>
        <v>0</v>
      </c>
      <c r="B96" s="4945" t="str">
        <f t="shared" si="20"/>
        <v/>
      </c>
      <c r="C96" s="4946"/>
      <c r="D96" s="4946"/>
      <c r="E96" s="4946"/>
      <c r="F96" s="4946"/>
      <c r="G96" s="4946"/>
      <c r="H96" s="4946"/>
      <c r="I96" s="4947"/>
      <c r="J96" s="4943" t="str">
        <f t="shared" si="21"/>
        <v/>
      </c>
      <c r="K96" s="4944"/>
      <c r="L96" s="4944"/>
      <c r="M96" s="4943" t="str">
        <f t="shared" si="22"/>
        <v/>
      </c>
      <c r="N96" s="4944"/>
      <c r="O96" s="4944"/>
      <c r="P96" s="4948"/>
      <c r="Q96" s="3792" t="str">
        <f t="shared" si="23"/>
        <v/>
      </c>
      <c r="R96" s="4938"/>
      <c r="S96" s="4938"/>
      <c r="T96" s="4103"/>
      <c r="U96" s="3792" t="str">
        <f t="shared" si="24"/>
        <v/>
      </c>
      <c r="V96" s="4938"/>
      <c r="W96" s="4938"/>
      <c r="X96" s="4103"/>
      <c r="Y96" s="4921" t="str">
        <f t="shared" si="26"/>
        <v/>
      </c>
      <c r="Z96" s="3747"/>
      <c r="AA96" s="4921" t="str">
        <f t="shared" si="27"/>
        <v/>
      </c>
      <c r="AB96" s="3747"/>
      <c r="AC96" s="4919" t="str">
        <f t="shared" si="28"/>
        <v/>
      </c>
      <c r="AD96" s="4920"/>
      <c r="AE96" s="4920"/>
      <c r="AF96" s="4920"/>
      <c r="AG96" s="2837">
        <f t="shared" si="29"/>
        <v>0</v>
      </c>
      <c r="AH96" s="1804"/>
      <c r="AI96" s="1804" t="e">
        <f t="shared" si="30"/>
        <v>#VALUE!</v>
      </c>
      <c r="AJ96" s="2650"/>
      <c r="AK96" s="2654"/>
      <c r="AL96" s="2654"/>
      <c r="AM96" s="2652"/>
      <c r="AN96" s="2652"/>
      <c r="AO96" s="2653"/>
      <c r="AP96" s="2652"/>
      <c r="AQ96" s="2651"/>
      <c r="AS96" s="2826" t="e">
        <f t="shared" si="31"/>
        <v>#VALUE!</v>
      </c>
      <c r="AT96" s="2826" t="e">
        <f t="shared" si="32"/>
        <v>#VALUE!</v>
      </c>
      <c r="AU96" s="2826" t="e">
        <f t="shared" si="33"/>
        <v>#VALUE!</v>
      </c>
      <c r="AV96" s="2826"/>
      <c r="AW96" s="2826" t="e">
        <f t="shared" si="34"/>
        <v>#VALUE!</v>
      </c>
      <c r="AX96" s="2826" t="e">
        <f t="shared" si="35"/>
        <v>#VALUE!</v>
      </c>
      <c r="AY96" s="2826" t="e">
        <f t="shared" si="36"/>
        <v>#VALUE!</v>
      </c>
      <c r="AZ96" s="2826"/>
      <c r="BA96" s="2826" t="e">
        <f t="shared" si="37"/>
        <v>#VALUE!</v>
      </c>
      <c r="BB96" s="2826" t="e">
        <f t="shared" si="38"/>
        <v>#VALUE!</v>
      </c>
      <c r="BC96" s="2826" t="e">
        <f t="shared" si="39"/>
        <v>#VALUE!</v>
      </c>
    </row>
    <row r="97" spans="1:55" s="2642" customFormat="1" ht="19.5" customHeight="1">
      <c r="A97" s="1867">
        <f t="shared" si="25"/>
        <v>0</v>
      </c>
      <c r="B97" s="4945" t="str">
        <f t="shared" si="20"/>
        <v/>
      </c>
      <c r="C97" s="4946"/>
      <c r="D97" s="4946"/>
      <c r="E97" s="4946"/>
      <c r="F97" s="4946"/>
      <c r="G97" s="4946"/>
      <c r="H97" s="4946"/>
      <c r="I97" s="4947"/>
      <c r="J97" s="4943" t="str">
        <f t="shared" si="21"/>
        <v/>
      </c>
      <c r="K97" s="4944"/>
      <c r="L97" s="4944"/>
      <c r="M97" s="4943" t="str">
        <f t="shared" si="22"/>
        <v/>
      </c>
      <c r="N97" s="4944"/>
      <c r="O97" s="4944"/>
      <c r="P97" s="4948"/>
      <c r="Q97" s="3792" t="str">
        <f t="shared" si="23"/>
        <v/>
      </c>
      <c r="R97" s="4938"/>
      <c r="S97" s="4938"/>
      <c r="T97" s="4103"/>
      <c r="U97" s="3792" t="str">
        <f t="shared" si="24"/>
        <v/>
      </c>
      <c r="V97" s="4938"/>
      <c r="W97" s="4938"/>
      <c r="X97" s="4103"/>
      <c r="Y97" s="4921" t="str">
        <f t="shared" si="26"/>
        <v/>
      </c>
      <c r="Z97" s="3747"/>
      <c r="AA97" s="4921" t="str">
        <f t="shared" si="27"/>
        <v/>
      </c>
      <c r="AB97" s="3747"/>
      <c r="AC97" s="4919" t="str">
        <f t="shared" si="28"/>
        <v/>
      </c>
      <c r="AD97" s="4920"/>
      <c r="AE97" s="4920"/>
      <c r="AF97" s="4920"/>
      <c r="AG97" s="2837">
        <f t="shared" si="29"/>
        <v>0</v>
      </c>
      <c r="AH97" s="1804"/>
      <c r="AI97" s="1804" t="e">
        <f t="shared" si="30"/>
        <v>#VALUE!</v>
      </c>
      <c r="AJ97" s="2650"/>
      <c r="AK97" s="2654"/>
      <c r="AL97" s="2654"/>
      <c r="AM97" s="2652"/>
      <c r="AN97" s="2652"/>
      <c r="AO97" s="2653"/>
      <c r="AP97" s="2652"/>
      <c r="AQ97" s="2651"/>
      <c r="AS97" s="2826" t="e">
        <f t="shared" si="31"/>
        <v>#VALUE!</v>
      </c>
      <c r="AT97" s="2826" t="e">
        <f t="shared" si="32"/>
        <v>#VALUE!</v>
      </c>
      <c r="AU97" s="2826" t="e">
        <f t="shared" si="33"/>
        <v>#VALUE!</v>
      </c>
      <c r="AV97" s="2826"/>
      <c r="AW97" s="2826" t="e">
        <f t="shared" si="34"/>
        <v>#VALUE!</v>
      </c>
      <c r="AX97" s="2826" t="e">
        <f t="shared" si="35"/>
        <v>#VALUE!</v>
      </c>
      <c r="AY97" s="2826" t="e">
        <f t="shared" si="36"/>
        <v>#VALUE!</v>
      </c>
      <c r="AZ97" s="2826"/>
      <c r="BA97" s="2826" t="e">
        <f t="shared" si="37"/>
        <v>#VALUE!</v>
      </c>
      <c r="BB97" s="2826" t="e">
        <f t="shared" si="38"/>
        <v>#VALUE!</v>
      </c>
      <c r="BC97" s="2826" t="e">
        <f t="shared" si="39"/>
        <v>#VALUE!</v>
      </c>
    </row>
    <row r="98" spans="1:55" s="2642" customFormat="1" ht="19.5" customHeight="1">
      <c r="A98" s="1867">
        <f t="shared" si="25"/>
        <v>0</v>
      </c>
      <c r="B98" s="4945" t="str">
        <f t="shared" si="20"/>
        <v/>
      </c>
      <c r="C98" s="4946"/>
      <c r="D98" s="4946"/>
      <c r="E98" s="4946"/>
      <c r="F98" s="4946"/>
      <c r="G98" s="4946"/>
      <c r="H98" s="4946"/>
      <c r="I98" s="4947"/>
      <c r="J98" s="4943" t="str">
        <f t="shared" si="21"/>
        <v/>
      </c>
      <c r="K98" s="4944"/>
      <c r="L98" s="4944"/>
      <c r="M98" s="4943" t="str">
        <f t="shared" si="22"/>
        <v/>
      </c>
      <c r="N98" s="4944"/>
      <c r="O98" s="4944"/>
      <c r="P98" s="4948"/>
      <c r="Q98" s="3792" t="str">
        <f t="shared" si="23"/>
        <v/>
      </c>
      <c r="R98" s="4938"/>
      <c r="S98" s="4938"/>
      <c r="T98" s="4103"/>
      <c r="U98" s="3792" t="str">
        <f t="shared" si="24"/>
        <v/>
      </c>
      <c r="V98" s="4938"/>
      <c r="W98" s="4938"/>
      <c r="X98" s="4103"/>
      <c r="Y98" s="4921" t="str">
        <f t="shared" si="26"/>
        <v/>
      </c>
      <c r="Z98" s="3747"/>
      <c r="AA98" s="4921" t="str">
        <f t="shared" si="27"/>
        <v/>
      </c>
      <c r="AB98" s="3747"/>
      <c r="AC98" s="4919" t="str">
        <f t="shared" si="28"/>
        <v/>
      </c>
      <c r="AD98" s="4920"/>
      <c r="AE98" s="4920"/>
      <c r="AF98" s="4920"/>
      <c r="AG98" s="2837">
        <f t="shared" si="29"/>
        <v>0</v>
      </c>
      <c r="AH98" s="1804"/>
      <c r="AI98" s="1804" t="e">
        <f t="shared" si="30"/>
        <v>#VALUE!</v>
      </c>
      <c r="AJ98" s="2650"/>
      <c r="AK98" s="2654"/>
      <c r="AL98" s="2654"/>
      <c r="AM98" s="2652"/>
      <c r="AN98" s="2652"/>
      <c r="AO98" s="2653"/>
      <c r="AP98" s="2652"/>
      <c r="AQ98" s="2651"/>
      <c r="AS98" s="2826" t="e">
        <f t="shared" si="31"/>
        <v>#VALUE!</v>
      </c>
      <c r="AT98" s="2826" t="e">
        <f t="shared" si="32"/>
        <v>#VALUE!</v>
      </c>
      <c r="AU98" s="2826" t="e">
        <f t="shared" si="33"/>
        <v>#VALUE!</v>
      </c>
      <c r="AV98" s="2826"/>
      <c r="AW98" s="2826" t="e">
        <f t="shared" si="34"/>
        <v>#VALUE!</v>
      </c>
      <c r="AX98" s="2826" t="e">
        <f t="shared" si="35"/>
        <v>#VALUE!</v>
      </c>
      <c r="AY98" s="2826" t="e">
        <f t="shared" si="36"/>
        <v>#VALUE!</v>
      </c>
      <c r="AZ98" s="2826"/>
      <c r="BA98" s="2826" t="e">
        <f t="shared" si="37"/>
        <v>#VALUE!</v>
      </c>
      <c r="BB98" s="2826" t="e">
        <f t="shared" si="38"/>
        <v>#VALUE!</v>
      </c>
      <c r="BC98" s="2826" t="e">
        <f t="shared" si="39"/>
        <v>#VALUE!</v>
      </c>
    </row>
    <row r="99" spans="1:55" s="2642" customFormat="1" ht="19.5" customHeight="1">
      <c r="A99" s="1867">
        <f t="shared" si="25"/>
        <v>0</v>
      </c>
      <c r="B99" s="4945" t="str">
        <f t="shared" si="20"/>
        <v/>
      </c>
      <c r="C99" s="4946"/>
      <c r="D99" s="4946"/>
      <c r="E99" s="4946"/>
      <c r="F99" s="4946"/>
      <c r="G99" s="4946"/>
      <c r="H99" s="4946"/>
      <c r="I99" s="4947"/>
      <c r="J99" s="4943" t="str">
        <f t="shared" si="21"/>
        <v/>
      </c>
      <c r="K99" s="4944"/>
      <c r="L99" s="4944"/>
      <c r="M99" s="4943" t="str">
        <f t="shared" si="22"/>
        <v/>
      </c>
      <c r="N99" s="4944"/>
      <c r="O99" s="4944"/>
      <c r="P99" s="4948"/>
      <c r="Q99" s="3792" t="str">
        <f t="shared" si="23"/>
        <v/>
      </c>
      <c r="R99" s="4938"/>
      <c r="S99" s="4938"/>
      <c r="T99" s="4103"/>
      <c r="U99" s="3792" t="str">
        <f t="shared" si="24"/>
        <v/>
      </c>
      <c r="V99" s="4938"/>
      <c r="W99" s="4938"/>
      <c r="X99" s="4103"/>
      <c r="Y99" s="4921" t="str">
        <f t="shared" si="26"/>
        <v/>
      </c>
      <c r="Z99" s="3747"/>
      <c r="AA99" s="4921" t="str">
        <f t="shared" si="27"/>
        <v/>
      </c>
      <c r="AB99" s="3747"/>
      <c r="AC99" s="4919" t="str">
        <f t="shared" si="28"/>
        <v/>
      </c>
      <c r="AD99" s="4920"/>
      <c r="AE99" s="4920"/>
      <c r="AF99" s="4920"/>
      <c r="AG99" s="2837">
        <f t="shared" si="29"/>
        <v>0</v>
      </c>
      <c r="AH99" s="1804"/>
      <c r="AI99" s="1804" t="e">
        <f t="shared" si="30"/>
        <v>#VALUE!</v>
      </c>
      <c r="AJ99" s="2650"/>
      <c r="AK99" s="2654"/>
      <c r="AL99" s="2654"/>
      <c r="AM99" s="2652"/>
      <c r="AN99" s="2652"/>
      <c r="AO99" s="2653"/>
      <c r="AP99" s="2652"/>
      <c r="AQ99" s="2651"/>
      <c r="AS99" s="2826" t="e">
        <f t="shared" si="31"/>
        <v>#VALUE!</v>
      </c>
      <c r="AT99" s="2826" t="e">
        <f t="shared" si="32"/>
        <v>#VALUE!</v>
      </c>
      <c r="AU99" s="2826" t="e">
        <f t="shared" si="33"/>
        <v>#VALUE!</v>
      </c>
      <c r="AV99" s="2826"/>
      <c r="AW99" s="2826" t="e">
        <f t="shared" si="34"/>
        <v>#VALUE!</v>
      </c>
      <c r="AX99" s="2826" t="e">
        <f t="shared" si="35"/>
        <v>#VALUE!</v>
      </c>
      <c r="AY99" s="2826" t="e">
        <f t="shared" si="36"/>
        <v>#VALUE!</v>
      </c>
      <c r="AZ99" s="2826"/>
      <c r="BA99" s="2826" t="e">
        <f t="shared" si="37"/>
        <v>#VALUE!</v>
      </c>
      <c r="BB99" s="2826" t="e">
        <f t="shared" si="38"/>
        <v>#VALUE!</v>
      </c>
      <c r="BC99" s="2826" t="e">
        <f t="shared" si="39"/>
        <v>#VALUE!</v>
      </c>
    </row>
    <row r="100" spans="1:55" s="2642" customFormat="1" ht="19.5" customHeight="1">
      <c r="A100" s="1867">
        <f t="shared" si="25"/>
        <v>0</v>
      </c>
      <c r="B100" s="4945" t="str">
        <f t="shared" si="20"/>
        <v/>
      </c>
      <c r="C100" s="4946"/>
      <c r="D100" s="4946"/>
      <c r="E100" s="4946"/>
      <c r="F100" s="4946"/>
      <c r="G100" s="4946"/>
      <c r="H100" s="4946"/>
      <c r="I100" s="4947"/>
      <c r="J100" s="4943" t="str">
        <f t="shared" si="21"/>
        <v/>
      </c>
      <c r="K100" s="4944"/>
      <c r="L100" s="4944"/>
      <c r="M100" s="4943" t="str">
        <f t="shared" si="22"/>
        <v/>
      </c>
      <c r="N100" s="4944"/>
      <c r="O100" s="4944"/>
      <c r="P100" s="4948"/>
      <c r="Q100" s="3792" t="str">
        <f t="shared" si="23"/>
        <v/>
      </c>
      <c r="R100" s="4938"/>
      <c r="S100" s="4938"/>
      <c r="T100" s="4103"/>
      <c r="U100" s="3792" t="str">
        <f t="shared" si="24"/>
        <v/>
      </c>
      <c r="V100" s="4938"/>
      <c r="W100" s="4938"/>
      <c r="X100" s="4103"/>
      <c r="Y100" s="4921" t="str">
        <f t="shared" si="26"/>
        <v/>
      </c>
      <c r="Z100" s="3747"/>
      <c r="AA100" s="4921" t="str">
        <f t="shared" si="27"/>
        <v/>
      </c>
      <c r="AB100" s="3747"/>
      <c r="AC100" s="4919" t="str">
        <f t="shared" si="28"/>
        <v/>
      </c>
      <c r="AD100" s="4920"/>
      <c r="AE100" s="4920"/>
      <c r="AF100" s="4920"/>
      <c r="AG100" s="2837">
        <f t="shared" si="29"/>
        <v>0</v>
      </c>
      <c r="AH100" s="1804"/>
      <c r="AI100" s="1804" t="e">
        <f t="shared" si="30"/>
        <v>#VALUE!</v>
      </c>
      <c r="AJ100" s="2650"/>
      <c r="AK100" s="2654"/>
      <c r="AL100" s="2654"/>
      <c r="AM100" s="2652"/>
      <c r="AN100" s="2652"/>
      <c r="AO100" s="2653"/>
      <c r="AP100" s="2652"/>
      <c r="AQ100" s="2651"/>
      <c r="AS100" s="2826" t="e">
        <f t="shared" si="31"/>
        <v>#VALUE!</v>
      </c>
      <c r="AT100" s="2826" t="e">
        <f t="shared" si="32"/>
        <v>#VALUE!</v>
      </c>
      <c r="AU100" s="2826" t="e">
        <f t="shared" si="33"/>
        <v>#VALUE!</v>
      </c>
      <c r="AV100" s="2826"/>
      <c r="AW100" s="2826" t="e">
        <f t="shared" si="34"/>
        <v>#VALUE!</v>
      </c>
      <c r="AX100" s="2826" t="e">
        <f t="shared" si="35"/>
        <v>#VALUE!</v>
      </c>
      <c r="AY100" s="2826" t="e">
        <f t="shared" si="36"/>
        <v>#VALUE!</v>
      </c>
      <c r="AZ100" s="2826"/>
      <c r="BA100" s="2826" t="e">
        <f t="shared" si="37"/>
        <v>#VALUE!</v>
      </c>
      <c r="BB100" s="2826" t="e">
        <f t="shared" si="38"/>
        <v>#VALUE!</v>
      </c>
      <c r="BC100" s="2826" t="e">
        <f t="shared" si="39"/>
        <v>#VALUE!</v>
      </c>
    </row>
    <row r="101" spans="1:55" s="2642" customFormat="1" ht="19.5" customHeight="1">
      <c r="A101" s="1867">
        <f t="shared" si="25"/>
        <v>0</v>
      </c>
      <c r="B101" s="4945" t="str">
        <f t="shared" si="20"/>
        <v/>
      </c>
      <c r="C101" s="4946"/>
      <c r="D101" s="4946"/>
      <c r="E101" s="4946"/>
      <c r="F101" s="4946"/>
      <c r="G101" s="4946"/>
      <c r="H101" s="4946"/>
      <c r="I101" s="4947"/>
      <c r="J101" s="4943" t="str">
        <f t="shared" si="21"/>
        <v/>
      </c>
      <c r="K101" s="4944"/>
      <c r="L101" s="4944"/>
      <c r="M101" s="4943" t="str">
        <f t="shared" si="22"/>
        <v/>
      </c>
      <c r="N101" s="4944"/>
      <c r="O101" s="4944"/>
      <c r="P101" s="4948"/>
      <c r="Q101" s="3792" t="str">
        <f t="shared" si="23"/>
        <v/>
      </c>
      <c r="R101" s="4938"/>
      <c r="S101" s="4938"/>
      <c r="T101" s="4103"/>
      <c r="U101" s="3792" t="str">
        <f t="shared" si="24"/>
        <v/>
      </c>
      <c r="V101" s="4938"/>
      <c r="W101" s="4938"/>
      <c r="X101" s="4103"/>
      <c r="Y101" s="4921" t="str">
        <f t="shared" si="26"/>
        <v/>
      </c>
      <c r="Z101" s="3747"/>
      <c r="AA101" s="4921" t="str">
        <f t="shared" si="27"/>
        <v/>
      </c>
      <c r="AB101" s="3747"/>
      <c r="AC101" s="4919" t="str">
        <f t="shared" si="28"/>
        <v/>
      </c>
      <c r="AD101" s="4920"/>
      <c r="AE101" s="4920"/>
      <c r="AF101" s="4920"/>
      <c r="AG101" s="2837">
        <f t="shared" si="29"/>
        <v>0</v>
      </c>
      <c r="AH101" s="1804"/>
      <c r="AI101" s="1804" t="e">
        <f t="shared" si="30"/>
        <v>#VALUE!</v>
      </c>
      <c r="AJ101" s="2650"/>
      <c r="AK101" s="2654"/>
      <c r="AL101" s="2654"/>
      <c r="AM101" s="2652"/>
      <c r="AN101" s="2652"/>
      <c r="AO101" s="2653"/>
      <c r="AP101" s="2652"/>
      <c r="AQ101" s="2651"/>
      <c r="AS101" s="2826" t="e">
        <f t="shared" si="31"/>
        <v>#VALUE!</v>
      </c>
      <c r="AT101" s="2826" t="e">
        <f t="shared" si="32"/>
        <v>#VALUE!</v>
      </c>
      <c r="AU101" s="2826" t="e">
        <f t="shared" si="33"/>
        <v>#VALUE!</v>
      </c>
      <c r="AV101" s="2826"/>
      <c r="AW101" s="2826" t="e">
        <f t="shared" si="34"/>
        <v>#VALUE!</v>
      </c>
      <c r="AX101" s="2826" t="e">
        <f t="shared" si="35"/>
        <v>#VALUE!</v>
      </c>
      <c r="AY101" s="2826" t="e">
        <f t="shared" si="36"/>
        <v>#VALUE!</v>
      </c>
      <c r="AZ101" s="2826"/>
      <c r="BA101" s="2826" t="e">
        <f t="shared" si="37"/>
        <v>#VALUE!</v>
      </c>
      <c r="BB101" s="2826" t="e">
        <f t="shared" si="38"/>
        <v>#VALUE!</v>
      </c>
      <c r="BC101" s="2826" t="e">
        <f t="shared" si="39"/>
        <v>#VALUE!</v>
      </c>
    </row>
    <row r="102" spans="1:55" s="2642" customFormat="1" ht="19.5" customHeight="1">
      <c r="A102" s="1867">
        <f t="shared" si="25"/>
        <v>0</v>
      </c>
      <c r="B102" s="4945" t="str">
        <f t="shared" si="20"/>
        <v/>
      </c>
      <c r="C102" s="4946"/>
      <c r="D102" s="4946"/>
      <c r="E102" s="4946"/>
      <c r="F102" s="4946"/>
      <c r="G102" s="4946"/>
      <c r="H102" s="4946"/>
      <c r="I102" s="4947"/>
      <c r="J102" s="4943" t="str">
        <f t="shared" si="21"/>
        <v/>
      </c>
      <c r="K102" s="4944"/>
      <c r="L102" s="4944"/>
      <c r="M102" s="4943" t="str">
        <f t="shared" si="22"/>
        <v/>
      </c>
      <c r="N102" s="4944"/>
      <c r="O102" s="4944"/>
      <c r="P102" s="4948"/>
      <c r="Q102" s="3792" t="str">
        <f t="shared" si="23"/>
        <v/>
      </c>
      <c r="R102" s="4938"/>
      <c r="S102" s="4938"/>
      <c r="T102" s="4103"/>
      <c r="U102" s="3792" t="str">
        <f t="shared" si="24"/>
        <v/>
      </c>
      <c r="V102" s="4938"/>
      <c r="W102" s="4938"/>
      <c r="X102" s="4103"/>
      <c r="Y102" s="4921" t="str">
        <f t="shared" si="26"/>
        <v/>
      </c>
      <c r="Z102" s="3747"/>
      <c r="AA102" s="4921" t="str">
        <f t="shared" si="27"/>
        <v/>
      </c>
      <c r="AB102" s="3747"/>
      <c r="AC102" s="4919" t="str">
        <f t="shared" si="28"/>
        <v/>
      </c>
      <c r="AD102" s="4920"/>
      <c r="AE102" s="4920"/>
      <c r="AF102" s="4920"/>
      <c r="AG102" s="2837">
        <f t="shared" si="29"/>
        <v>0</v>
      </c>
      <c r="AH102" s="1804"/>
      <c r="AI102" s="1804" t="e">
        <f t="shared" si="30"/>
        <v>#VALUE!</v>
      </c>
      <c r="AJ102" s="2650"/>
      <c r="AK102" s="2654"/>
      <c r="AL102" s="2654"/>
      <c r="AM102" s="2652"/>
      <c r="AN102" s="2652"/>
      <c r="AO102" s="2653"/>
      <c r="AP102" s="2652"/>
      <c r="AQ102" s="2651"/>
      <c r="AS102" s="2826" t="e">
        <f t="shared" si="31"/>
        <v>#VALUE!</v>
      </c>
      <c r="AT102" s="2826" t="e">
        <f t="shared" si="32"/>
        <v>#VALUE!</v>
      </c>
      <c r="AU102" s="2826" t="e">
        <f t="shared" si="33"/>
        <v>#VALUE!</v>
      </c>
      <c r="AV102" s="2826"/>
      <c r="AW102" s="2826" t="e">
        <f t="shared" si="34"/>
        <v>#VALUE!</v>
      </c>
      <c r="AX102" s="2826" t="e">
        <f t="shared" si="35"/>
        <v>#VALUE!</v>
      </c>
      <c r="AY102" s="2826" t="e">
        <f t="shared" si="36"/>
        <v>#VALUE!</v>
      </c>
      <c r="AZ102" s="2826"/>
      <c r="BA102" s="2826" t="e">
        <f t="shared" si="37"/>
        <v>#VALUE!</v>
      </c>
      <c r="BB102" s="2826" t="e">
        <f t="shared" si="38"/>
        <v>#VALUE!</v>
      </c>
      <c r="BC102" s="2826" t="e">
        <f t="shared" si="39"/>
        <v>#VALUE!</v>
      </c>
    </row>
    <row r="103" spans="1:55" s="2642" customFormat="1" ht="19.5" customHeight="1">
      <c r="A103" s="1867">
        <f t="shared" si="25"/>
        <v>0</v>
      </c>
      <c r="B103" s="4945" t="str">
        <f t="shared" si="20"/>
        <v/>
      </c>
      <c r="C103" s="4946"/>
      <c r="D103" s="4946"/>
      <c r="E103" s="4946"/>
      <c r="F103" s="4946"/>
      <c r="G103" s="4946"/>
      <c r="H103" s="4946"/>
      <c r="I103" s="4947"/>
      <c r="J103" s="4943" t="str">
        <f t="shared" si="21"/>
        <v/>
      </c>
      <c r="K103" s="4944"/>
      <c r="L103" s="4944"/>
      <c r="M103" s="4943" t="str">
        <f t="shared" si="22"/>
        <v/>
      </c>
      <c r="N103" s="4944"/>
      <c r="O103" s="4944"/>
      <c r="P103" s="4948"/>
      <c r="Q103" s="3792" t="str">
        <f t="shared" si="23"/>
        <v/>
      </c>
      <c r="R103" s="4938"/>
      <c r="S103" s="4938"/>
      <c r="T103" s="4103"/>
      <c r="U103" s="3792" t="str">
        <f t="shared" si="24"/>
        <v/>
      </c>
      <c r="V103" s="4938"/>
      <c r="W103" s="4938"/>
      <c r="X103" s="4103"/>
      <c r="Y103" s="4921" t="str">
        <f t="shared" si="26"/>
        <v/>
      </c>
      <c r="Z103" s="3747"/>
      <c r="AA103" s="4921" t="str">
        <f t="shared" si="27"/>
        <v/>
      </c>
      <c r="AB103" s="3747"/>
      <c r="AC103" s="4919" t="str">
        <f t="shared" si="28"/>
        <v/>
      </c>
      <c r="AD103" s="4920"/>
      <c r="AE103" s="4920"/>
      <c r="AF103" s="4920"/>
      <c r="AG103" s="2837">
        <f t="shared" si="29"/>
        <v>0</v>
      </c>
      <c r="AH103" s="1804"/>
      <c r="AI103" s="1804" t="e">
        <f t="shared" si="30"/>
        <v>#VALUE!</v>
      </c>
      <c r="AJ103" s="2650"/>
      <c r="AK103" s="2654"/>
      <c r="AL103" s="2654"/>
      <c r="AM103" s="2652"/>
      <c r="AN103" s="2652"/>
      <c r="AO103" s="2653"/>
      <c r="AP103" s="2652"/>
      <c r="AQ103" s="2651"/>
      <c r="AS103" s="2826" t="e">
        <f t="shared" si="31"/>
        <v>#VALUE!</v>
      </c>
      <c r="AT103" s="2826" t="e">
        <f t="shared" si="32"/>
        <v>#VALUE!</v>
      </c>
      <c r="AU103" s="2826" t="e">
        <f t="shared" si="33"/>
        <v>#VALUE!</v>
      </c>
      <c r="AV103" s="2826"/>
      <c r="AW103" s="2826" t="e">
        <f t="shared" si="34"/>
        <v>#VALUE!</v>
      </c>
      <c r="AX103" s="2826" t="e">
        <f t="shared" si="35"/>
        <v>#VALUE!</v>
      </c>
      <c r="AY103" s="2826" t="e">
        <f t="shared" si="36"/>
        <v>#VALUE!</v>
      </c>
      <c r="AZ103" s="2826"/>
      <c r="BA103" s="2826" t="e">
        <f t="shared" si="37"/>
        <v>#VALUE!</v>
      </c>
      <c r="BB103" s="2826" t="e">
        <f t="shared" si="38"/>
        <v>#VALUE!</v>
      </c>
      <c r="BC103" s="2826" t="e">
        <f t="shared" si="39"/>
        <v>#VALUE!</v>
      </c>
    </row>
    <row r="104" spans="1:55" s="2642" customFormat="1" ht="19.5" customHeight="1">
      <c r="A104" s="1867">
        <f t="shared" si="25"/>
        <v>0</v>
      </c>
      <c r="B104" s="4945" t="str">
        <f t="shared" si="20"/>
        <v/>
      </c>
      <c r="C104" s="4946"/>
      <c r="D104" s="4946"/>
      <c r="E104" s="4946"/>
      <c r="F104" s="4946"/>
      <c r="G104" s="4946"/>
      <c r="H104" s="4946"/>
      <c r="I104" s="4947"/>
      <c r="J104" s="4943" t="str">
        <f t="shared" si="21"/>
        <v/>
      </c>
      <c r="K104" s="4944"/>
      <c r="L104" s="4944"/>
      <c r="M104" s="4943" t="str">
        <f t="shared" si="22"/>
        <v/>
      </c>
      <c r="N104" s="4944"/>
      <c r="O104" s="4944"/>
      <c r="P104" s="4948"/>
      <c r="Q104" s="3792" t="str">
        <f t="shared" si="23"/>
        <v/>
      </c>
      <c r="R104" s="4938"/>
      <c r="S104" s="4938"/>
      <c r="T104" s="4103"/>
      <c r="U104" s="3792" t="str">
        <f t="shared" si="24"/>
        <v/>
      </c>
      <c r="V104" s="4938"/>
      <c r="W104" s="4938"/>
      <c r="X104" s="4103"/>
      <c r="Y104" s="4921" t="str">
        <f t="shared" si="26"/>
        <v/>
      </c>
      <c r="Z104" s="3747"/>
      <c r="AA104" s="4921" t="str">
        <f t="shared" si="27"/>
        <v/>
      </c>
      <c r="AB104" s="3747"/>
      <c r="AC104" s="4919" t="str">
        <f t="shared" si="28"/>
        <v/>
      </c>
      <c r="AD104" s="4920"/>
      <c r="AE104" s="4920"/>
      <c r="AF104" s="4920"/>
      <c r="AG104" s="2837">
        <f t="shared" si="29"/>
        <v>0</v>
      </c>
      <c r="AH104" s="1804"/>
      <c r="AI104" s="1804" t="e">
        <f t="shared" si="30"/>
        <v>#VALUE!</v>
      </c>
      <c r="AJ104" s="2650"/>
      <c r="AK104" s="2654"/>
      <c r="AL104" s="2654"/>
      <c r="AM104" s="2652"/>
      <c r="AN104" s="2652"/>
      <c r="AO104" s="2653"/>
      <c r="AP104" s="2652"/>
      <c r="AQ104" s="2651"/>
      <c r="AS104" s="2826" t="e">
        <f t="shared" si="31"/>
        <v>#VALUE!</v>
      </c>
      <c r="AT104" s="2826" t="e">
        <f t="shared" si="32"/>
        <v>#VALUE!</v>
      </c>
      <c r="AU104" s="2826" t="e">
        <f t="shared" si="33"/>
        <v>#VALUE!</v>
      </c>
      <c r="AV104" s="2826"/>
      <c r="AW104" s="2826" t="e">
        <f t="shared" si="34"/>
        <v>#VALUE!</v>
      </c>
      <c r="AX104" s="2826" t="e">
        <f t="shared" si="35"/>
        <v>#VALUE!</v>
      </c>
      <c r="AY104" s="2826" t="e">
        <f t="shared" si="36"/>
        <v>#VALUE!</v>
      </c>
      <c r="AZ104" s="2826"/>
      <c r="BA104" s="2826" t="e">
        <f t="shared" si="37"/>
        <v>#VALUE!</v>
      </c>
      <c r="BB104" s="2826" t="e">
        <f t="shared" si="38"/>
        <v>#VALUE!</v>
      </c>
      <c r="BC104" s="2826" t="e">
        <f t="shared" si="39"/>
        <v>#VALUE!</v>
      </c>
    </row>
    <row r="105" spans="1:55" s="2642" customFormat="1" ht="19.5" customHeight="1">
      <c r="A105" s="1867">
        <f t="shared" si="25"/>
        <v>0</v>
      </c>
      <c r="B105" s="4945" t="str">
        <f t="shared" si="20"/>
        <v/>
      </c>
      <c r="C105" s="4946"/>
      <c r="D105" s="4946"/>
      <c r="E105" s="4946"/>
      <c r="F105" s="4946"/>
      <c r="G105" s="4946"/>
      <c r="H105" s="4946"/>
      <c r="I105" s="4947"/>
      <c r="J105" s="4943" t="str">
        <f t="shared" si="21"/>
        <v/>
      </c>
      <c r="K105" s="4944"/>
      <c r="L105" s="4944"/>
      <c r="M105" s="4943" t="str">
        <f t="shared" si="22"/>
        <v/>
      </c>
      <c r="N105" s="4944"/>
      <c r="O105" s="4944"/>
      <c r="P105" s="4948"/>
      <c r="Q105" s="3792" t="str">
        <f t="shared" si="23"/>
        <v/>
      </c>
      <c r="R105" s="4938"/>
      <c r="S105" s="4938"/>
      <c r="T105" s="4103"/>
      <c r="U105" s="3792" t="str">
        <f t="shared" si="24"/>
        <v/>
      </c>
      <c r="V105" s="4938"/>
      <c r="W105" s="4938"/>
      <c r="X105" s="4103"/>
      <c r="Y105" s="4921" t="str">
        <f t="shared" si="26"/>
        <v/>
      </c>
      <c r="Z105" s="3747"/>
      <c r="AA105" s="4921" t="str">
        <f t="shared" si="27"/>
        <v/>
      </c>
      <c r="AB105" s="3747"/>
      <c r="AC105" s="4919" t="str">
        <f t="shared" si="28"/>
        <v/>
      </c>
      <c r="AD105" s="4920"/>
      <c r="AE105" s="4920"/>
      <c r="AF105" s="4920"/>
      <c r="AG105" s="2837">
        <f t="shared" si="29"/>
        <v>0</v>
      </c>
      <c r="AH105" s="1804"/>
      <c r="AI105" s="1804" t="e">
        <f t="shared" si="30"/>
        <v>#VALUE!</v>
      </c>
      <c r="AJ105" s="2650"/>
      <c r="AK105" s="2654"/>
      <c r="AL105" s="2654"/>
      <c r="AM105" s="2652"/>
      <c r="AN105" s="2652"/>
      <c r="AO105" s="2653"/>
      <c r="AP105" s="2652"/>
      <c r="AQ105" s="2651"/>
      <c r="AS105" s="2826" t="e">
        <f t="shared" si="31"/>
        <v>#VALUE!</v>
      </c>
      <c r="AT105" s="2826" t="e">
        <f t="shared" si="32"/>
        <v>#VALUE!</v>
      </c>
      <c r="AU105" s="2826" t="e">
        <f t="shared" si="33"/>
        <v>#VALUE!</v>
      </c>
      <c r="AV105" s="2826"/>
      <c r="AW105" s="2826" t="e">
        <f t="shared" si="34"/>
        <v>#VALUE!</v>
      </c>
      <c r="AX105" s="2826" t="e">
        <f t="shared" si="35"/>
        <v>#VALUE!</v>
      </c>
      <c r="AY105" s="2826" t="e">
        <f t="shared" si="36"/>
        <v>#VALUE!</v>
      </c>
      <c r="AZ105" s="2826"/>
      <c r="BA105" s="2826" t="e">
        <f t="shared" si="37"/>
        <v>#VALUE!</v>
      </c>
      <c r="BB105" s="2826" t="e">
        <f t="shared" si="38"/>
        <v>#VALUE!</v>
      </c>
      <c r="BC105" s="2826" t="e">
        <f t="shared" si="39"/>
        <v>#VALUE!</v>
      </c>
    </row>
    <row r="106" spans="1:55" s="2642" customFormat="1" ht="19.5" customHeight="1">
      <c r="A106" s="1867">
        <f t="shared" si="25"/>
        <v>0</v>
      </c>
      <c r="B106" s="4945" t="str">
        <f t="shared" si="20"/>
        <v/>
      </c>
      <c r="C106" s="4946"/>
      <c r="D106" s="4946"/>
      <c r="E106" s="4946"/>
      <c r="F106" s="4946"/>
      <c r="G106" s="4946"/>
      <c r="H106" s="4946"/>
      <c r="I106" s="4947"/>
      <c r="J106" s="4943" t="str">
        <f t="shared" si="21"/>
        <v/>
      </c>
      <c r="K106" s="4944"/>
      <c r="L106" s="4944"/>
      <c r="M106" s="4943" t="str">
        <f t="shared" si="22"/>
        <v/>
      </c>
      <c r="N106" s="4944"/>
      <c r="O106" s="4944"/>
      <c r="P106" s="4948"/>
      <c r="Q106" s="3792" t="str">
        <f t="shared" si="23"/>
        <v/>
      </c>
      <c r="R106" s="4938"/>
      <c r="S106" s="4938"/>
      <c r="T106" s="4103"/>
      <c r="U106" s="3792" t="str">
        <f t="shared" si="24"/>
        <v/>
      </c>
      <c r="V106" s="4938"/>
      <c r="W106" s="4938"/>
      <c r="X106" s="4103"/>
      <c r="Y106" s="4921" t="str">
        <f t="shared" si="26"/>
        <v/>
      </c>
      <c r="Z106" s="3747"/>
      <c r="AA106" s="4921" t="str">
        <f t="shared" si="27"/>
        <v/>
      </c>
      <c r="AB106" s="3747"/>
      <c r="AC106" s="4919" t="str">
        <f t="shared" si="28"/>
        <v/>
      </c>
      <c r="AD106" s="4920"/>
      <c r="AE106" s="4920"/>
      <c r="AF106" s="4920"/>
      <c r="AG106" s="2837">
        <f t="shared" si="29"/>
        <v>0</v>
      </c>
      <c r="AH106" s="1804"/>
      <c r="AI106" s="1804" t="e">
        <f t="shared" si="30"/>
        <v>#VALUE!</v>
      </c>
      <c r="AJ106" s="2650"/>
      <c r="AK106" s="2654"/>
      <c r="AL106" s="2654"/>
      <c r="AM106" s="2652"/>
      <c r="AN106" s="2652"/>
      <c r="AO106" s="2653"/>
      <c r="AP106" s="2652"/>
      <c r="AQ106" s="2651"/>
      <c r="AS106" s="2826" t="e">
        <f t="shared" si="31"/>
        <v>#VALUE!</v>
      </c>
      <c r="AT106" s="2826" t="e">
        <f t="shared" si="32"/>
        <v>#VALUE!</v>
      </c>
      <c r="AU106" s="2826" t="e">
        <f t="shared" si="33"/>
        <v>#VALUE!</v>
      </c>
      <c r="AV106" s="2826"/>
      <c r="AW106" s="2826" t="e">
        <f t="shared" si="34"/>
        <v>#VALUE!</v>
      </c>
      <c r="AX106" s="2826" t="e">
        <f t="shared" si="35"/>
        <v>#VALUE!</v>
      </c>
      <c r="AY106" s="2826" t="e">
        <f t="shared" si="36"/>
        <v>#VALUE!</v>
      </c>
      <c r="AZ106" s="2826"/>
      <c r="BA106" s="2826" t="e">
        <f t="shared" si="37"/>
        <v>#VALUE!</v>
      </c>
      <c r="BB106" s="2826" t="e">
        <f t="shared" si="38"/>
        <v>#VALUE!</v>
      </c>
      <c r="BC106" s="2826" t="e">
        <f t="shared" si="39"/>
        <v>#VALUE!</v>
      </c>
    </row>
    <row r="107" spans="1:55" s="2642" customFormat="1" ht="19.5" customHeight="1">
      <c r="A107" s="1867">
        <f t="shared" si="25"/>
        <v>0</v>
      </c>
      <c r="B107" s="4945" t="str">
        <f t="shared" si="20"/>
        <v/>
      </c>
      <c r="C107" s="4946"/>
      <c r="D107" s="4946"/>
      <c r="E107" s="4946"/>
      <c r="F107" s="4946"/>
      <c r="G107" s="4946"/>
      <c r="H107" s="4946"/>
      <c r="I107" s="4947"/>
      <c r="J107" s="4943" t="str">
        <f t="shared" si="21"/>
        <v/>
      </c>
      <c r="K107" s="4944"/>
      <c r="L107" s="4944"/>
      <c r="M107" s="4943" t="str">
        <f t="shared" si="22"/>
        <v/>
      </c>
      <c r="N107" s="4944"/>
      <c r="O107" s="4944"/>
      <c r="P107" s="4948"/>
      <c r="Q107" s="3792" t="str">
        <f t="shared" si="23"/>
        <v/>
      </c>
      <c r="R107" s="4938"/>
      <c r="S107" s="4938"/>
      <c r="T107" s="4103"/>
      <c r="U107" s="3792" t="str">
        <f t="shared" si="24"/>
        <v/>
      </c>
      <c r="V107" s="4938"/>
      <c r="W107" s="4938"/>
      <c r="X107" s="4103"/>
      <c r="Y107" s="4921" t="str">
        <f t="shared" si="26"/>
        <v/>
      </c>
      <c r="Z107" s="3747"/>
      <c r="AA107" s="4921" t="str">
        <f t="shared" si="27"/>
        <v/>
      </c>
      <c r="AB107" s="3747"/>
      <c r="AC107" s="4919" t="str">
        <f t="shared" si="28"/>
        <v/>
      </c>
      <c r="AD107" s="4920"/>
      <c r="AE107" s="4920"/>
      <c r="AF107" s="4920"/>
      <c r="AG107" s="2837">
        <f t="shared" si="29"/>
        <v>0</v>
      </c>
      <c r="AH107" s="1804"/>
      <c r="AI107" s="1804" t="e">
        <f t="shared" si="30"/>
        <v>#VALUE!</v>
      </c>
      <c r="AJ107" s="2650"/>
      <c r="AK107" s="2654"/>
      <c r="AL107" s="2654"/>
      <c r="AM107" s="2652"/>
      <c r="AN107" s="2652"/>
      <c r="AO107" s="2653"/>
      <c r="AP107" s="2652"/>
      <c r="AQ107" s="2651"/>
      <c r="AS107" s="2826" t="e">
        <f t="shared" si="31"/>
        <v>#VALUE!</v>
      </c>
      <c r="AT107" s="2826" t="e">
        <f t="shared" si="32"/>
        <v>#VALUE!</v>
      </c>
      <c r="AU107" s="2826" t="e">
        <f t="shared" si="33"/>
        <v>#VALUE!</v>
      </c>
      <c r="AV107" s="2826"/>
      <c r="AW107" s="2826" t="e">
        <f t="shared" si="34"/>
        <v>#VALUE!</v>
      </c>
      <c r="AX107" s="2826" t="e">
        <f t="shared" si="35"/>
        <v>#VALUE!</v>
      </c>
      <c r="AY107" s="2826" t="e">
        <f t="shared" si="36"/>
        <v>#VALUE!</v>
      </c>
      <c r="AZ107" s="2826"/>
      <c r="BA107" s="2826" t="e">
        <f t="shared" si="37"/>
        <v>#VALUE!</v>
      </c>
      <c r="BB107" s="2826" t="e">
        <f t="shared" si="38"/>
        <v>#VALUE!</v>
      </c>
      <c r="BC107" s="2826" t="e">
        <f t="shared" si="39"/>
        <v>#VALUE!</v>
      </c>
    </row>
    <row r="108" spans="1:55" s="2642" customFormat="1" ht="19.5" customHeight="1">
      <c r="A108" s="1867">
        <f t="shared" si="25"/>
        <v>0</v>
      </c>
      <c r="B108" s="4945" t="str">
        <f t="shared" si="20"/>
        <v/>
      </c>
      <c r="C108" s="4946"/>
      <c r="D108" s="4946"/>
      <c r="E108" s="4946"/>
      <c r="F108" s="4946"/>
      <c r="G108" s="4946"/>
      <c r="H108" s="4946"/>
      <c r="I108" s="4947"/>
      <c r="J108" s="4943" t="str">
        <f t="shared" si="21"/>
        <v/>
      </c>
      <c r="K108" s="4944"/>
      <c r="L108" s="4944"/>
      <c r="M108" s="4943" t="str">
        <f t="shared" si="22"/>
        <v/>
      </c>
      <c r="N108" s="4944"/>
      <c r="O108" s="4944"/>
      <c r="P108" s="4948"/>
      <c r="Q108" s="3792" t="str">
        <f t="shared" si="23"/>
        <v/>
      </c>
      <c r="R108" s="4938"/>
      <c r="S108" s="4938"/>
      <c r="T108" s="4103"/>
      <c r="U108" s="3792" t="str">
        <f t="shared" si="24"/>
        <v/>
      </c>
      <c r="V108" s="4938"/>
      <c r="W108" s="4938"/>
      <c r="X108" s="4103"/>
      <c r="Y108" s="4921" t="str">
        <f t="shared" si="26"/>
        <v/>
      </c>
      <c r="Z108" s="3747"/>
      <c r="AA108" s="4921" t="str">
        <f t="shared" si="27"/>
        <v/>
      </c>
      <c r="AB108" s="3747"/>
      <c r="AC108" s="4919" t="str">
        <f t="shared" si="28"/>
        <v/>
      </c>
      <c r="AD108" s="4920"/>
      <c r="AE108" s="4920"/>
      <c r="AF108" s="4920"/>
      <c r="AG108" s="2837">
        <f t="shared" si="29"/>
        <v>0</v>
      </c>
      <c r="AH108" s="1804"/>
      <c r="AI108" s="1804" t="e">
        <f t="shared" si="30"/>
        <v>#VALUE!</v>
      </c>
      <c r="AJ108" s="2650"/>
      <c r="AK108" s="2654"/>
      <c r="AL108" s="2654"/>
      <c r="AM108" s="2652"/>
      <c r="AN108" s="2652"/>
      <c r="AO108" s="2653"/>
      <c r="AP108" s="2652"/>
      <c r="AQ108" s="2651"/>
      <c r="AS108" s="2826" t="e">
        <f t="shared" si="31"/>
        <v>#VALUE!</v>
      </c>
      <c r="AT108" s="2826" t="e">
        <f t="shared" si="32"/>
        <v>#VALUE!</v>
      </c>
      <c r="AU108" s="2826" t="e">
        <f t="shared" si="33"/>
        <v>#VALUE!</v>
      </c>
      <c r="AV108" s="2826"/>
      <c r="AW108" s="2826" t="e">
        <f t="shared" si="34"/>
        <v>#VALUE!</v>
      </c>
      <c r="AX108" s="2826" t="e">
        <f t="shared" si="35"/>
        <v>#VALUE!</v>
      </c>
      <c r="AY108" s="2826" t="e">
        <f t="shared" si="36"/>
        <v>#VALUE!</v>
      </c>
      <c r="AZ108" s="2826"/>
      <c r="BA108" s="2826" t="e">
        <f t="shared" si="37"/>
        <v>#VALUE!</v>
      </c>
      <c r="BB108" s="2826" t="e">
        <f t="shared" si="38"/>
        <v>#VALUE!</v>
      </c>
      <c r="BC108" s="2826" t="e">
        <f t="shared" si="39"/>
        <v>#VALUE!</v>
      </c>
    </row>
    <row r="109" spans="1:55" s="2642" customFormat="1" ht="19.5" customHeight="1">
      <c r="A109" s="1867">
        <f t="shared" si="25"/>
        <v>0</v>
      </c>
      <c r="B109" s="4945" t="str">
        <f t="shared" si="20"/>
        <v/>
      </c>
      <c r="C109" s="4946"/>
      <c r="D109" s="4946"/>
      <c r="E109" s="4946"/>
      <c r="F109" s="4946"/>
      <c r="G109" s="4946"/>
      <c r="H109" s="4946"/>
      <c r="I109" s="4947"/>
      <c r="J109" s="4943" t="str">
        <f t="shared" si="21"/>
        <v/>
      </c>
      <c r="K109" s="4944"/>
      <c r="L109" s="4944"/>
      <c r="M109" s="4943" t="str">
        <f t="shared" si="22"/>
        <v/>
      </c>
      <c r="N109" s="4944"/>
      <c r="O109" s="4944"/>
      <c r="P109" s="4948"/>
      <c r="Q109" s="3792" t="str">
        <f t="shared" si="23"/>
        <v/>
      </c>
      <c r="R109" s="4938"/>
      <c r="S109" s="4938"/>
      <c r="T109" s="4103"/>
      <c r="U109" s="3792" t="str">
        <f t="shared" si="24"/>
        <v/>
      </c>
      <c r="V109" s="4938"/>
      <c r="W109" s="4938"/>
      <c r="X109" s="4103"/>
      <c r="Y109" s="4921" t="str">
        <f t="shared" si="26"/>
        <v/>
      </c>
      <c r="Z109" s="3747"/>
      <c r="AA109" s="4921" t="str">
        <f t="shared" si="27"/>
        <v/>
      </c>
      <c r="AB109" s="3747"/>
      <c r="AC109" s="4919" t="str">
        <f t="shared" si="28"/>
        <v/>
      </c>
      <c r="AD109" s="4920"/>
      <c r="AE109" s="4920"/>
      <c r="AF109" s="4920"/>
      <c r="AG109" s="2837">
        <f t="shared" si="29"/>
        <v>0</v>
      </c>
      <c r="AH109" s="1804"/>
      <c r="AI109" s="1804" t="e">
        <f t="shared" si="30"/>
        <v>#VALUE!</v>
      </c>
      <c r="AJ109" s="2650"/>
      <c r="AK109" s="2654"/>
      <c r="AL109" s="2654"/>
      <c r="AM109" s="2652"/>
      <c r="AN109" s="2652"/>
      <c r="AO109" s="2653"/>
      <c r="AP109" s="2652"/>
      <c r="AQ109" s="2651"/>
      <c r="AS109" s="2826" t="e">
        <f t="shared" si="31"/>
        <v>#VALUE!</v>
      </c>
      <c r="AT109" s="2826" t="e">
        <f t="shared" si="32"/>
        <v>#VALUE!</v>
      </c>
      <c r="AU109" s="2826" t="e">
        <f t="shared" si="33"/>
        <v>#VALUE!</v>
      </c>
      <c r="AV109" s="2826"/>
      <c r="AW109" s="2826" t="e">
        <f t="shared" si="34"/>
        <v>#VALUE!</v>
      </c>
      <c r="AX109" s="2826" t="e">
        <f t="shared" si="35"/>
        <v>#VALUE!</v>
      </c>
      <c r="AY109" s="2826" t="e">
        <f t="shared" si="36"/>
        <v>#VALUE!</v>
      </c>
      <c r="AZ109" s="2826"/>
      <c r="BA109" s="2826" t="e">
        <f t="shared" si="37"/>
        <v>#VALUE!</v>
      </c>
      <c r="BB109" s="2826" t="e">
        <f t="shared" si="38"/>
        <v>#VALUE!</v>
      </c>
      <c r="BC109" s="2826" t="e">
        <f t="shared" si="39"/>
        <v>#VALUE!</v>
      </c>
    </row>
    <row r="110" spans="1:55" s="2642" customFormat="1" ht="19.5" customHeight="1">
      <c r="A110" s="1867">
        <f t="shared" si="25"/>
        <v>0</v>
      </c>
      <c r="B110" s="4945" t="str">
        <f t="shared" si="20"/>
        <v/>
      </c>
      <c r="C110" s="4946"/>
      <c r="D110" s="4946"/>
      <c r="E110" s="4946"/>
      <c r="F110" s="4946"/>
      <c r="G110" s="4946"/>
      <c r="H110" s="4946"/>
      <c r="I110" s="4947"/>
      <c r="J110" s="4943" t="str">
        <f t="shared" si="21"/>
        <v/>
      </c>
      <c r="K110" s="4944"/>
      <c r="L110" s="4944"/>
      <c r="M110" s="4943" t="str">
        <f t="shared" si="22"/>
        <v/>
      </c>
      <c r="N110" s="4944"/>
      <c r="O110" s="4944"/>
      <c r="P110" s="4948"/>
      <c r="Q110" s="3792" t="str">
        <f t="shared" si="23"/>
        <v/>
      </c>
      <c r="R110" s="4938"/>
      <c r="S110" s="4938"/>
      <c r="T110" s="4103"/>
      <c r="U110" s="3792" t="str">
        <f t="shared" si="24"/>
        <v/>
      </c>
      <c r="V110" s="4938"/>
      <c r="W110" s="4938"/>
      <c r="X110" s="4103"/>
      <c r="Y110" s="4921" t="str">
        <f t="shared" si="26"/>
        <v/>
      </c>
      <c r="Z110" s="3747"/>
      <c r="AA110" s="4921" t="str">
        <f t="shared" si="27"/>
        <v/>
      </c>
      <c r="AB110" s="3747"/>
      <c r="AC110" s="4919" t="str">
        <f t="shared" si="28"/>
        <v/>
      </c>
      <c r="AD110" s="4920"/>
      <c r="AE110" s="4920"/>
      <c r="AF110" s="4920"/>
      <c r="AG110" s="2837">
        <f t="shared" si="29"/>
        <v>0</v>
      </c>
      <c r="AH110" s="1804"/>
      <c r="AI110" s="1804" t="e">
        <f t="shared" si="30"/>
        <v>#VALUE!</v>
      </c>
      <c r="AJ110" s="2650"/>
      <c r="AK110" s="2654"/>
      <c r="AL110" s="2654"/>
      <c r="AM110" s="2652"/>
      <c r="AN110" s="2652"/>
      <c r="AO110" s="2653"/>
      <c r="AP110" s="2652"/>
      <c r="AQ110" s="2651"/>
      <c r="AS110" s="2826" t="e">
        <f t="shared" si="31"/>
        <v>#VALUE!</v>
      </c>
      <c r="AT110" s="2826" t="e">
        <f t="shared" si="32"/>
        <v>#VALUE!</v>
      </c>
      <c r="AU110" s="2826" t="e">
        <f t="shared" si="33"/>
        <v>#VALUE!</v>
      </c>
      <c r="AV110" s="2826"/>
      <c r="AW110" s="2826" t="e">
        <f t="shared" si="34"/>
        <v>#VALUE!</v>
      </c>
      <c r="AX110" s="2826" t="e">
        <f t="shared" si="35"/>
        <v>#VALUE!</v>
      </c>
      <c r="AY110" s="2826" t="e">
        <f t="shared" si="36"/>
        <v>#VALUE!</v>
      </c>
      <c r="AZ110" s="2826"/>
      <c r="BA110" s="2826" t="e">
        <f t="shared" si="37"/>
        <v>#VALUE!</v>
      </c>
      <c r="BB110" s="2826" t="e">
        <f t="shared" si="38"/>
        <v>#VALUE!</v>
      </c>
      <c r="BC110" s="2826" t="e">
        <f t="shared" si="39"/>
        <v>#VALUE!</v>
      </c>
    </row>
    <row r="111" spans="1:55" s="2642" customFormat="1" ht="19.5" customHeight="1">
      <c r="A111" s="1867">
        <f t="shared" si="25"/>
        <v>0</v>
      </c>
      <c r="B111" s="4945" t="str">
        <f t="shared" si="20"/>
        <v/>
      </c>
      <c r="C111" s="4946"/>
      <c r="D111" s="4946"/>
      <c r="E111" s="4946"/>
      <c r="F111" s="4946"/>
      <c r="G111" s="4946"/>
      <c r="H111" s="4946"/>
      <c r="I111" s="4947"/>
      <c r="J111" s="4943" t="str">
        <f t="shared" si="21"/>
        <v/>
      </c>
      <c r="K111" s="4944"/>
      <c r="L111" s="4944"/>
      <c r="M111" s="4943" t="str">
        <f t="shared" si="22"/>
        <v/>
      </c>
      <c r="N111" s="4944"/>
      <c r="O111" s="4944"/>
      <c r="P111" s="4948"/>
      <c r="Q111" s="3792" t="str">
        <f t="shared" si="23"/>
        <v/>
      </c>
      <c r="R111" s="4938"/>
      <c r="S111" s="4938"/>
      <c r="T111" s="4103"/>
      <c r="U111" s="3792" t="str">
        <f t="shared" si="24"/>
        <v/>
      </c>
      <c r="V111" s="4938"/>
      <c r="W111" s="4938"/>
      <c r="X111" s="4103"/>
      <c r="Y111" s="4921" t="str">
        <f t="shared" si="26"/>
        <v/>
      </c>
      <c r="Z111" s="3747"/>
      <c r="AA111" s="4921" t="str">
        <f t="shared" si="27"/>
        <v/>
      </c>
      <c r="AB111" s="3747"/>
      <c r="AC111" s="4919" t="str">
        <f t="shared" si="28"/>
        <v/>
      </c>
      <c r="AD111" s="4920"/>
      <c r="AE111" s="4920"/>
      <c r="AF111" s="4920"/>
      <c r="AG111" s="2837">
        <f t="shared" si="29"/>
        <v>0</v>
      </c>
      <c r="AH111" s="1804"/>
      <c r="AI111" s="1804" t="e">
        <f t="shared" si="30"/>
        <v>#VALUE!</v>
      </c>
      <c r="AJ111" s="2650"/>
      <c r="AK111" s="2654"/>
      <c r="AL111" s="2654"/>
      <c r="AM111" s="2652"/>
      <c r="AN111" s="2652"/>
      <c r="AO111" s="2653"/>
      <c r="AP111" s="2652"/>
      <c r="AQ111" s="2651"/>
      <c r="AS111" s="2826" t="e">
        <f t="shared" si="31"/>
        <v>#VALUE!</v>
      </c>
      <c r="AT111" s="2826" t="e">
        <f t="shared" si="32"/>
        <v>#VALUE!</v>
      </c>
      <c r="AU111" s="2826" t="e">
        <f t="shared" si="33"/>
        <v>#VALUE!</v>
      </c>
      <c r="AV111" s="2826"/>
      <c r="AW111" s="2826" t="e">
        <f t="shared" si="34"/>
        <v>#VALUE!</v>
      </c>
      <c r="AX111" s="2826" t="e">
        <f t="shared" si="35"/>
        <v>#VALUE!</v>
      </c>
      <c r="AY111" s="2826" t="e">
        <f t="shared" si="36"/>
        <v>#VALUE!</v>
      </c>
      <c r="AZ111" s="2826"/>
      <c r="BA111" s="2826" t="e">
        <f t="shared" si="37"/>
        <v>#VALUE!</v>
      </c>
      <c r="BB111" s="2826" t="e">
        <f t="shared" si="38"/>
        <v>#VALUE!</v>
      </c>
      <c r="BC111" s="2826" t="e">
        <f t="shared" si="39"/>
        <v>#VALUE!</v>
      </c>
    </row>
    <row r="112" spans="1:55" s="2642" customFormat="1" ht="19.5" customHeight="1">
      <c r="A112" s="1867">
        <f t="shared" si="25"/>
        <v>0</v>
      </c>
      <c r="B112" s="4945" t="str">
        <f t="shared" si="20"/>
        <v/>
      </c>
      <c r="C112" s="4946"/>
      <c r="D112" s="4946"/>
      <c r="E112" s="4946"/>
      <c r="F112" s="4946"/>
      <c r="G112" s="4946"/>
      <c r="H112" s="4946"/>
      <c r="I112" s="4947"/>
      <c r="J112" s="4943" t="str">
        <f t="shared" si="21"/>
        <v/>
      </c>
      <c r="K112" s="4944"/>
      <c r="L112" s="4944"/>
      <c r="M112" s="4943" t="str">
        <f t="shared" si="22"/>
        <v/>
      </c>
      <c r="N112" s="4944"/>
      <c r="O112" s="4944"/>
      <c r="P112" s="4948"/>
      <c r="Q112" s="3792" t="str">
        <f t="shared" si="23"/>
        <v/>
      </c>
      <c r="R112" s="4938"/>
      <c r="S112" s="4938"/>
      <c r="T112" s="4103"/>
      <c r="U112" s="3792" t="str">
        <f t="shared" si="24"/>
        <v/>
      </c>
      <c r="V112" s="4938"/>
      <c r="W112" s="4938"/>
      <c r="X112" s="4103"/>
      <c r="Y112" s="4921" t="str">
        <f t="shared" si="26"/>
        <v/>
      </c>
      <c r="Z112" s="3747"/>
      <c r="AA112" s="4921" t="str">
        <f t="shared" si="27"/>
        <v/>
      </c>
      <c r="AB112" s="3747"/>
      <c r="AC112" s="4919" t="str">
        <f t="shared" si="28"/>
        <v/>
      </c>
      <c r="AD112" s="4920"/>
      <c r="AE112" s="4920"/>
      <c r="AF112" s="4920"/>
      <c r="AG112" s="2837">
        <f t="shared" si="29"/>
        <v>0</v>
      </c>
      <c r="AH112" s="1804"/>
      <c r="AI112" s="1804" t="e">
        <f t="shared" si="30"/>
        <v>#VALUE!</v>
      </c>
      <c r="AJ112" s="2650"/>
      <c r="AK112" s="2654"/>
      <c r="AL112" s="2654"/>
      <c r="AM112" s="2652"/>
      <c r="AN112" s="2652"/>
      <c r="AO112" s="2653"/>
      <c r="AP112" s="2652"/>
      <c r="AQ112" s="2651"/>
      <c r="AS112" s="2826" t="e">
        <f t="shared" si="31"/>
        <v>#VALUE!</v>
      </c>
      <c r="AT112" s="2826" t="e">
        <f t="shared" si="32"/>
        <v>#VALUE!</v>
      </c>
      <c r="AU112" s="2826" t="e">
        <f t="shared" si="33"/>
        <v>#VALUE!</v>
      </c>
      <c r="AV112" s="2826"/>
      <c r="AW112" s="2826" t="e">
        <f t="shared" si="34"/>
        <v>#VALUE!</v>
      </c>
      <c r="AX112" s="2826" t="e">
        <f t="shared" si="35"/>
        <v>#VALUE!</v>
      </c>
      <c r="AY112" s="2826" t="e">
        <f t="shared" si="36"/>
        <v>#VALUE!</v>
      </c>
      <c r="AZ112" s="2826"/>
      <c r="BA112" s="2826" t="e">
        <f t="shared" si="37"/>
        <v>#VALUE!</v>
      </c>
      <c r="BB112" s="2826" t="e">
        <f t="shared" si="38"/>
        <v>#VALUE!</v>
      </c>
      <c r="BC112" s="2826" t="e">
        <f t="shared" si="39"/>
        <v>#VALUE!</v>
      </c>
    </row>
    <row r="113" spans="1:55" s="2642" customFormat="1" ht="19.5" customHeight="1">
      <c r="A113" s="1867">
        <f t="shared" si="25"/>
        <v>0</v>
      </c>
      <c r="B113" s="4945" t="str">
        <f t="shared" si="20"/>
        <v/>
      </c>
      <c r="C113" s="4946"/>
      <c r="D113" s="4946"/>
      <c r="E113" s="4946"/>
      <c r="F113" s="4946"/>
      <c r="G113" s="4946"/>
      <c r="H113" s="4946"/>
      <c r="I113" s="4947"/>
      <c r="J113" s="4943" t="str">
        <f t="shared" si="21"/>
        <v/>
      </c>
      <c r="K113" s="4944"/>
      <c r="L113" s="4944"/>
      <c r="M113" s="4943" t="str">
        <f t="shared" si="22"/>
        <v/>
      </c>
      <c r="N113" s="4944"/>
      <c r="O113" s="4944"/>
      <c r="P113" s="4948"/>
      <c r="Q113" s="3792" t="str">
        <f t="shared" si="23"/>
        <v/>
      </c>
      <c r="R113" s="4938"/>
      <c r="S113" s="4938"/>
      <c r="T113" s="4103"/>
      <c r="U113" s="3792" t="str">
        <f t="shared" si="24"/>
        <v/>
      </c>
      <c r="V113" s="4938"/>
      <c r="W113" s="4938"/>
      <c r="X113" s="4103"/>
      <c r="Y113" s="4921" t="str">
        <f t="shared" si="26"/>
        <v/>
      </c>
      <c r="Z113" s="3747"/>
      <c r="AA113" s="4921" t="str">
        <f t="shared" si="27"/>
        <v/>
      </c>
      <c r="AB113" s="3747"/>
      <c r="AC113" s="4919" t="str">
        <f t="shared" si="28"/>
        <v/>
      </c>
      <c r="AD113" s="4920"/>
      <c r="AE113" s="4920"/>
      <c r="AF113" s="4920"/>
      <c r="AG113" s="2837">
        <f t="shared" si="29"/>
        <v>0</v>
      </c>
      <c r="AH113" s="1804"/>
      <c r="AI113" s="1804" t="e">
        <f t="shared" si="30"/>
        <v>#VALUE!</v>
      </c>
      <c r="AJ113" s="2650"/>
      <c r="AK113" s="2654"/>
      <c r="AL113" s="2654"/>
      <c r="AM113" s="2652"/>
      <c r="AN113" s="2652"/>
      <c r="AO113" s="2653"/>
      <c r="AP113" s="2652"/>
      <c r="AQ113" s="2651"/>
      <c r="AS113" s="2826" t="e">
        <f t="shared" si="31"/>
        <v>#VALUE!</v>
      </c>
      <c r="AT113" s="2826" t="e">
        <f t="shared" si="32"/>
        <v>#VALUE!</v>
      </c>
      <c r="AU113" s="2826" t="e">
        <f t="shared" si="33"/>
        <v>#VALUE!</v>
      </c>
      <c r="AV113" s="2826"/>
      <c r="AW113" s="2826" t="e">
        <f t="shared" si="34"/>
        <v>#VALUE!</v>
      </c>
      <c r="AX113" s="2826" t="e">
        <f t="shared" si="35"/>
        <v>#VALUE!</v>
      </c>
      <c r="AY113" s="2826" t="e">
        <f t="shared" si="36"/>
        <v>#VALUE!</v>
      </c>
      <c r="AZ113" s="2826"/>
      <c r="BA113" s="2826" t="e">
        <f t="shared" si="37"/>
        <v>#VALUE!</v>
      </c>
      <c r="BB113" s="2826" t="e">
        <f t="shared" si="38"/>
        <v>#VALUE!</v>
      </c>
      <c r="BC113" s="2826" t="e">
        <f t="shared" si="39"/>
        <v>#VALUE!</v>
      </c>
    </row>
    <row r="114" spans="1:55" s="2642" customFormat="1" ht="19.5" customHeight="1">
      <c r="A114" s="1867">
        <f t="shared" si="25"/>
        <v>0</v>
      </c>
      <c r="B114" s="4945" t="str">
        <f t="shared" si="20"/>
        <v/>
      </c>
      <c r="C114" s="4946"/>
      <c r="D114" s="4946"/>
      <c r="E114" s="4946"/>
      <c r="F114" s="4946"/>
      <c r="G114" s="4946"/>
      <c r="H114" s="4946"/>
      <c r="I114" s="4947"/>
      <c r="J114" s="4943" t="str">
        <f t="shared" si="21"/>
        <v/>
      </c>
      <c r="K114" s="4944"/>
      <c r="L114" s="4944"/>
      <c r="M114" s="4943" t="str">
        <f t="shared" si="22"/>
        <v/>
      </c>
      <c r="N114" s="4944"/>
      <c r="O114" s="4944"/>
      <c r="P114" s="4948"/>
      <c r="Q114" s="3792" t="str">
        <f t="shared" si="23"/>
        <v/>
      </c>
      <c r="R114" s="4938"/>
      <c r="S114" s="4938"/>
      <c r="T114" s="4103"/>
      <c r="U114" s="3792" t="str">
        <f t="shared" si="24"/>
        <v/>
      </c>
      <c r="V114" s="4938"/>
      <c r="W114" s="4938"/>
      <c r="X114" s="4103"/>
      <c r="Y114" s="4921" t="str">
        <f t="shared" si="26"/>
        <v/>
      </c>
      <c r="Z114" s="3747"/>
      <c r="AA114" s="4921" t="str">
        <f t="shared" si="27"/>
        <v/>
      </c>
      <c r="AB114" s="3747"/>
      <c r="AC114" s="4919" t="str">
        <f t="shared" si="28"/>
        <v/>
      </c>
      <c r="AD114" s="4920"/>
      <c r="AE114" s="4920"/>
      <c r="AF114" s="4920"/>
      <c r="AG114" s="2837">
        <f t="shared" si="29"/>
        <v>0</v>
      </c>
      <c r="AH114" s="1804"/>
      <c r="AI114" s="1804" t="e">
        <f t="shared" si="30"/>
        <v>#VALUE!</v>
      </c>
      <c r="AJ114" s="2650"/>
      <c r="AK114" s="2654"/>
      <c r="AL114" s="2654"/>
      <c r="AM114" s="2652"/>
      <c r="AN114" s="2652"/>
      <c r="AO114" s="2653"/>
      <c r="AP114" s="2652"/>
      <c r="AQ114" s="2651"/>
      <c r="AS114" s="2826" t="e">
        <f t="shared" si="31"/>
        <v>#VALUE!</v>
      </c>
      <c r="AT114" s="2826" t="e">
        <f t="shared" si="32"/>
        <v>#VALUE!</v>
      </c>
      <c r="AU114" s="2826" t="e">
        <f t="shared" si="33"/>
        <v>#VALUE!</v>
      </c>
      <c r="AV114" s="2826"/>
      <c r="AW114" s="2826" t="e">
        <f t="shared" si="34"/>
        <v>#VALUE!</v>
      </c>
      <c r="AX114" s="2826" t="e">
        <f t="shared" si="35"/>
        <v>#VALUE!</v>
      </c>
      <c r="AY114" s="2826" t="e">
        <f t="shared" si="36"/>
        <v>#VALUE!</v>
      </c>
      <c r="AZ114" s="2826"/>
      <c r="BA114" s="2826" t="e">
        <f t="shared" si="37"/>
        <v>#VALUE!</v>
      </c>
      <c r="BB114" s="2826" t="e">
        <f t="shared" si="38"/>
        <v>#VALUE!</v>
      </c>
      <c r="BC114" s="2826" t="e">
        <f t="shared" si="39"/>
        <v>#VALUE!</v>
      </c>
    </row>
    <row r="115" spans="1:55" s="2642" customFormat="1" ht="19.5" customHeight="1">
      <c r="A115" s="1867">
        <f t="shared" si="25"/>
        <v>0</v>
      </c>
      <c r="B115" s="4945" t="str">
        <f t="shared" si="20"/>
        <v/>
      </c>
      <c r="C115" s="4946"/>
      <c r="D115" s="4946"/>
      <c r="E115" s="4946"/>
      <c r="F115" s="4946"/>
      <c r="G115" s="4946"/>
      <c r="H115" s="4946"/>
      <c r="I115" s="4947"/>
      <c r="J115" s="4943" t="str">
        <f t="shared" si="21"/>
        <v/>
      </c>
      <c r="K115" s="4944"/>
      <c r="L115" s="4944"/>
      <c r="M115" s="4943" t="str">
        <f t="shared" si="22"/>
        <v/>
      </c>
      <c r="N115" s="4944"/>
      <c r="O115" s="4944"/>
      <c r="P115" s="4948"/>
      <c r="Q115" s="3792" t="str">
        <f t="shared" si="23"/>
        <v/>
      </c>
      <c r="R115" s="4938"/>
      <c r="S115" s="4938"/>
      <c r="T115" s="4103"/>
      <c r="U115" s="3792" t="str">
        <f t="shared" si="24"/>
        <v/>
      </c>
      <c r="V115" s="4938"/>
      <c r="W115" s="4938"/>
      <c r="X115" s="4103"/>
      <c r="Y115" s="4921" t="str">
        <f t="shared" si="26"/>
        <v/>
      </c>
      <c r="Z115" s="3747"/>
      <c r="AA115" s="4921" t="str">
        <f t="shared" si="27"/>
        <v/>
      </c>
      <c r="AB115" s="3747"/>
      <c r="AC115" s="4919" t="str">
        <f t="shared" si="28"/>
        <v/>
      </c>
      <c r="AD115" s="4920"/>
      <c r="AE115" s="4920"/>
      <c r="AF115" s="4920"/>
      <c r="AG115" s="2837">
        <f t="shared" si="29"/>
        <v>0</v>
      </c>
      <c r="AH115" s="1804"/>
      <c r="AI115" s="1804" t="e">
        <f t="shared" si="30"/>
        <v>#VALUE!</v>
      </c>
      <c r="AJ115" s="2650"/>
      <c r="AK115" s="2654"/>
      <c r="AL115" s="2654"/>
      <c r="AM115" s="2652"/>
      <c r="AN115" s="2652"/>
      <c r="AO115" s="2653"/>
      <c r="AP115" s="2652"/>
      <c r="AQ115" s="2651"/>
      <c r="AS115" s="2826" t="e">
        <f t="shared" si="31"/>
        <v>#VALUE!</v>
      </c>
      <c r="AT115" s="2826" t="e">
        <f t="shared" si="32"/>
        <v>#VALUE!</v>
      </c>
      <c r="AU115" s="2826" t="e">
        <f t="shared" si="33"/>
        <v>#VALUE!</v>
      </c>
      <c r="AV115" s="2826"/>
      <c r="AW115" s="2826" t="e">
        <f t="shared" si="34"/>
        <v>#VALUE!</v>
      </c>
      <c r="AX115" s="2826" t="e">
        <f t="shared" si="35"/>
        <v>#VALUE!</v>
      </c>
      <c r="AY115" s="2826" t="e">
        <f t="shared" si="36"/>
        <v>#VALUE!</v>
      </c>
      <c r="AZ115" s="2826"/>
      <c r="BA115" s="2826" t="e">
        <f t="shared" si="37"/>
        <v>#VALUE!</v>
      </c>
      <c r="BB115" s="2826" t="e">
        <f t="shared" si="38"/>
        <v>#VALUE!</v>
      </c>
      <c r="BC115" s="2826" t="e">
        <f t="shared" si="39"/>
        <v>#VALUE!</v>
      </c>
    </row>
    <row r="116" spans="1:55" ht="11.25" customHeight="1">
      <c r="A116" s="1867">
        <f>SUM(A88:A115)</f>
        <v>0</v>
      </c>
      <c r="B116" s="5010">
        <v>2</v>
      </c>
      <c r="C116" s="5034" t="s">
        <v>2002</v>
      </c>
      <c r="D116" s="5035"/>
      <c r="E116" s="5035"/>
      <c r="F116" s="5035"/>
      <c r="G116" s="5035"/>
      <c r="H116" s="5035"/>
      <c r="I116" s="5035"/>
      <c r="J116" s="5035"/>
      <c r="K116" s="5035"/>
      <c r="L116" s="5035"/>
      <c r="M116" s="5035"/>
      <c r="N116" s="5035"/>
      <c r="O116" s="5035"/>
      <c r="P116" s="5035"/>
      <c r="Q116" s="5012" t="str">
        <f>IF(A116=0,"",SUM(Q88:Q115))</f>
        <v/>
      </c>
      <c r="R116" s="5038"/>
      <c r="S116" s="5038"/>
      <c r="T116" s="5027"/>
      <c r="U116" s="5012" t="str">
        <f>IF(A116=0,"",SUM(U88:U115))</f>
        <v/>
      </c>
      <c r="V116" s="5013"/>
      <c r="W116" s="5013"/>
      <c r="X116" s="5014"/>
      <c r="Y116" s="5021"/>
      <c r="Z116" s="5022"/>
      <c r="AA116" s="5012" t="str">
        <f>IF(A116=0,"",SUM(AA88:AA115))</f>
        <v/>
      </c>
      <c r="AB116" s="5027"/>
      <c r="AC116" s="5012" t="str">
        <f>IF(A116=0,"",SUM(AC88:AC115))</f>
        <v/>
      </c>
      <c r="AD116" s="5013"/>
      <c r="AE116" s="5013"/>
      <c r="AF116" s="5013"/>
      <c r="AG116" s="1867"/>
    </row>
    <row r="117" spans="1:55" ht="11.25" customHeight="1">
      <c r="A117" s="1867"/>
      <c r="B117" s="5011"/>
      <c r="C117" s="5036"/>
      <c r="D117" s="5036"/>
      <c r="E117" s="5036"/>
      <c r="F117" s="5036"/>
      <c r="G117" s="5036"/>
      <c r="H117" s="5036"/>
      <c r="I117" s="5036"/>
      <c r="J117" s="5036"/>
      <c r="K117" s="5036"/>
      <c r="L117" s="5036"/>
      <c r="M117" s="5036"/>
      <c r="N117" s="5036"/>
      <c r="O117" s="5036"/>
      <c r="P117" s="5036"/>
      <c r="Q117" s="5028"/>
      <c r="R117" s="5039"/>
      <c r="S117" s="5039"/>
      <c r="T117" s="5029"/>
      <c r="U117" s="5015"/>
      <c r="V117" s="5016"/>
      <c r="W117" s="5016"/>
      <c r="X117" s="5017"/>
      <c r="Y117" s="5023"/>
      <c r="Z117" s="5024"/>
      <c r="AA117" s="5028"/>
      <c r="AB117" s="5029"/>
      <c r="AC117" s="5015"/>
      <c r="AD117" s="5016"/>
      <c r="AE117" s="5016"/>
      <c r="AF117" s="5016"/>
      <c r="AG117" s="1867"/>
    </row>
    <row r="118" spans="1:55" ht="11.25" customHeight="1">
      <c r="A118" s="1867"/>
      <c r="B118" s="5011"/>
      <c r="C118" s="5036"/>
      <c r="D118" s="5036"/>
      <c r="E118" s="5036"/>
      <c r="F118" s="5036"/>
      <c r="G118" s="5036"/>
      <c r="H118" s="5036"/>
      <c r="I118" s="5036"/>
      <c r="J118" s="5036"/>
      <c r="K118" s="5036"/>
      <c r="L118" s="5036"/>
      <c r="M118" s="5036"/>
      <c r="N118" s="5036"/>
      <c r="O118" s="5036"/>
      <c r="P118" s="5036"/>
      <c r="Q118" s="5028"/>
      <c r="R118" s="5039"/>
      <c r="S118" s="5039"/>
      <c r="T118" s="5029"/>
      <c r="U118" s="5015"/>
      <c r="V118" s="5016"/>
      <c r="W118" s="5016"/>
      <c r="X118" s="5017"/>
      <c r="Y118" s="5023"/>
      <c r="Z118" s="5024"/>
      <c r="AA118" s="5028"/>
      <c r="AB118" s="5029"/>
      <c r="AC118" s="5015"/>
      <c r="AD118" s="5016"/>
      <c r="AE118" s="5016"/>
      <c r="AF118" s="5016"/>
      <c r="AG118" s="1867"/>
    </row>
    <row r="119" spans="1:55" ht="11.25" customHeight="1">
      <c r="A119" s="1867"/>
      <c r="B119" s="5011"/>
      <c r="C119" s="5036"/>
      <c r="D119" s="5036"/>
      <c r="E119" s="5036"/>
      <c r="F119" s="5036"/>
      <c r="G119" s="5036"/>
      <c r="H119" s="5036"/>
      <c r="I119" s="5036"/>
      <c r="J119" s="5036"/>
      <c r="K119" s="5036"/>
      <c r="L119" s="5036"/>
      <c r="M119" s="5036"/>
      <c r="N119" s="5036"/>
      <c r="O119" s="5036"/>
      <c r="P119" s="5036"/>
      <c r="Q119" s="5028"/>
      <c r="R119" s="5039"/>
      <c r="S119" s="5039"/>
      <c r="T119" s="5029"/>
      <c r="U119" s="5015"/>
      <c r="V119" s="5016"/>
      <c r="W119" s="5016"/>
      <c r="X119" s="5017"/>
      <c r="Y119" s="5023"/>
      <c r="Z119" s="5024"/>
      <c r="AA119" s="5028"/>
      <c r="AB119" s="5029"/>
      <c r="AC119" s="5015"/>
      <c r="AD119" s="5016"/>
      <c r="AE119" s="5016"/>
      <c r="AF119" s="5016"/>
      <c r="AG119" s="1867"/>
    </row>
    <row r="120" spans="1:55" ht="6" customHeight="1" thickBot="1">
      <c r="A120" s="1867"/>
      <c r="B120" s="5011"/>
      <c r="C120" s="5037"/>
      <c r="D120" s="5037"/>
      <c r="E120" s="5037"/>
      <c r="F120" s="5037"/>
      <c r="G120" s="5037"/>
      <c r="H120" s="5037"/>
      <c r="I120" s="5037"/>
      <c r="J120" s="5037"/>
      <c r="K120" s="5037"/>
      <c r="L120" s="5037"/>
      <c r="M120" s="5037"/>
      <c r="N120" s="5037"/>
      <c r="O120" s="5037"/>
      <c r="P120" s="5037"/>
      <c r="Q120" s="5028"/>
      <c r="R120" s="5039"/>
      <c r="S120" s="5039"/>
      <c r="T120" s="5029"/>
      <c r="U120" s="5018"/>
      <c r="V120" s="5019"/>
      <c r="W120" s="5019"/>
      <c r="X120" s="5020"/>
      <c r="Y120" s="5025"/>
      <c r="Z120" s="5026"/>
      <c r="AA120" s="5030"/>
      <c r="AB120" s="3733"/>
      <c r="AC120" s="5015"/>
      <c r="AD120" s="5016"/>
      <c r="AE120" s="5016"/>
      <c r="AF120" s="5016"/>
      <c r="AG120" s="1867"/>
    </row>
    <row r="121" spans="1:55" ht="25.5" customHeight="1" thickBot="1">
      <c r="A121" s="1867"/>
      <c r="B121" s="5040" t="s">
        <v>1548</v>
      </c>
      <c r="C121" s="5041"/>
      <c r="D121" s="5041"/>
      <c r="E121" s="5041"/>
      <c r="F121" s="5041"/>
      <c r="G121" s="5041"/>
      <c r="H121" s="5041"/>
      <c r="I121" s="5041"/>
      <c r="J121" s="5041"/>
      <c r="K121" s="5041"/>
      <c r="L121" s="5041"/>
      <c r="M121" s="5041"/>
      <c r="N121" s="5041"/>
      <c r="O121" s="5041"/>
      <c r="P121" s="5041"/>
      <c r="Q121" s="5041"/>
      <c r="R121" s="5041"/>
      <c r="S121" s="5041"/>
      <c r="T121" s="5041"/>
      <c r="U121" s="5042"/>
      <c r="V121" s="5042"/>
      <c r="W121" s="5042"/>
      <c r="X121" s="5042"/>
      <c r="Y121" s="5041"/>
      <c r="Z121" s="5041"/>
      <c r="AA121" s="5041"/>
      <c r="AB121" s="5041"/>
      <c r="AC121" s="5041"/>
      <c r="AD121" s="5041"/>
      <c r="AE121" s="5041"/>
      <c r="AF121" s="5041"/>
      <c r="AG121" s="1867"/>
    </row>
    <row r="122" spans="1:55" ht="14.25" customHeight="1" thickTop="1">
      <c r="A122" s="186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1816"/>
      <c r="AD122" s="1816" t="s">
        <v>1222</v>
      </c>
      <c r="AE122" s="37"/>
      <c r="AF122" s="1816" t="str">
        <f>"("&amp;TaxYear&amp;")"</f>
        <v>(2014)</v>
      </c>
      <c r="AG122" s="1867"/>
    </row>
    <row r="123" spans="1:55">
      <c r="A123" s="1867"/>
      <c r="B123" s="1867"/>
      <c r="C123" s="1867"/>
      <c r="D123" s="1867"/>
      <c r="E123" s="1867"/>
      <c r="F123" s="1867"/>
      <c r="G123" s="1867"/>
      <c r="H123" s="1867"/>
      <c r="I123" s="1867"/>
      <c r="J123" s="1867"/>
      <c r="K123" s="1867"/>
      <c r="L123" s="1867"/>
      <c r="M123" s="1867"/>
      <c r="N123" s="1867"/>
      <c r="O123" s="1867"/>
      <c r="P123" s="1867"/>
      <c r="Q123" s="1867"/>
      <c r="R123" s="1867"/>
      <c r="S123" s="1867"/>
      <c r="T123" s="1867"/>
      <c r="U123" s="1867"/>
      <c r="V123" s="1867"/>
      <c r="W123" s="1867"/>
      <c r="X123" s="1867"/>
      <c r="Y123" s="1867"/>
      <c r="Z123" s="1867"/>
      <c r="AA123" s="1867"/>
      <c r="AB123" s="1867"/>
      <c r="AC123" s="1867"/>
      <c r="AD123" s="1867"/>
      <c r="AE123" s="1867"/>
      <c r="AF123" s="1867"/>
      <c r="AG123" s="1867"/>
    </row>
  </sheetData>
  <sheetProtection password="F07E" sheet="1" objects="1" scenarios="1"/>
  <mergeCells count="470">
    <mergeCell ref="R82:AE82"/>
    <mergeCell ref="H8:AA8"/>
    <mergeCell ref="AB8:AF9"/>
    <mergeCell ref="B11:U11"/>
    <mergeCell ref="V11:AF11"/>
    <mergeCell ref="B2:K2"/>
    <mergeCell ref="B4:F6"/>
    <mergeCell ref="H4:AA6"/>
    <mergeCell ref="AB4:AF4"/>
    <mergeCell ref="AB5:AF7"/>
    <mergeCell ref="H7:AA7"/>
    <mergeCell ref="B16:C16"/>
    <mergeCell ref="AA35:AB35"/>
    <mergeCell ref="AC35:AF35"/>
    <mergeCell ref="B36:I36"/>
    <mergeCell ref="J36:L36"/>
    <mergeCell ref="M36:P36"/>
    <mergeCell ref="Q36:T36"/>
    <mergeCell ref="U36:X36"/>
    <mergeCell ref="Y36:Z36"/>
    <mergeCell ref="AA36:AB36"/>
    <mergeCell ref="AC36:AF36"/>
    <mergeCell ref="B35:I35"/>
    <mergeCell ref="J35:L35"/>
    <mergeCell ref="AJ25:AQ25"/>
    <mergeCell ref="AJ27:AQ27"/>
    <mergeCell ref="AJ29:AQ29"/>
    <mergeCell ref="B31:B34"/>
    <mergeCell ref="C31:I34"/>
    <mergeCell ref="J31:L34"/>
    <mergeCell ref="M31:P34"/>
    <mergeCell ref="Q31:T34"/>
    <mergeCell ref="AM31:AM34"/>
    <mergeCell ref="AN31:AN34"/>
    <mergeCell ref="AO31:AP32"/>
    <mergeCell ref="AQ31:AQ34"/>
    <mergeCell ref="Y33:Z34"/>
    <mergeCell ref="AA33:AB34"/>
    <mergeCell ref="AO33:AO34"/>
    <mergeCell ref="AP33:AP34"/>
    <mergeCell ref="U31:X34"/>
    <mergeCell ref="Y31:AB32"/>
    <mergeCell ref="AC31:AF34"/>
    <mergeCell ref="AJ31:AJ34"/>
    <mergeCell ref="AK31:AK34"/>
    <mergeCell ref="AL31:AL34"/>
    <mergeCell ref="R29:AE29"/>
    <mergeCell ref="M35:P35"/>
    <mergeCell ref="Q35:T35"/>
    <mergeCell ref="U35:X35"/>
    <mergeCell ref="Y35:Z35"/>
    <mergeCell ref="AA37:AB37"/>
    <mergeCell ref="AC37:AF37"/>
    <mergeCell ref="B38:I38"/>
    <mergeCell ref="J38:L38"/>
    <mergeCell ref="M38:P38"/>
    <mergeCell ref="Q38:T38"/>
    <mergeCell ref="U38:X38"/>
    <mergeCell ref="Y38:Z38"/>
    <mergeCell ref="AA38:AB38"/>
    <mergeCell ref="AC38:AF38"/>
    <mergeCell ref="B37:I37"/>
    <mergeCell ref="J37:L37"/>
    <mergeCell ref="M37:P37"/>
    <mergeCell ref="Q37:T37"/>
    <mergeCell ref="U37:X37"/>
    <mergeCell ref="Y37:Z37"/>
    <mergeCell ref="AA39:AB39"/>
    <mergeCell ref="AC39:AF39"/>
    <mergeCell ref="B40:I40"/>
    <mergeCell ref="J40:L40"/>
    <mergeCell ref="M40:P40"/>
    <mergeCell ref="Q40:T40"/>
    <mergeCell ref="U40:X40"/>
    <mergeCell ref="Y40:Z40"/>
    <mergeCell ref="AA40:AB40"/>
    <mergeCell ref="AC40:AF40"/>
    <mergeCell ref="B39:I39"/>
    <mergeCell ref="J39:L39"/>
    <mergeCell ref="M39:P39"/>
    <mergeCell ref="Q39:T39"/>
    <mergeCell ref="U39:X39"/>
    <mergeCell ref="Y39:Z39"/>
    <mergeCell ref="AA41:AB41"/>
    <mergeCell ref="AC41:AF41"/>
    <mergeCell ref="B42:I42"/>
    <mergeCell ref="J42:L42"/>
    <mergeCell ref="M42:P42"/>
    <mergeCell ref="Q42:T42"/>
    <mergeCell ref="U42:X42"/>
    <mergeCell ref="Y42:Z42"/>
    <mergeCell ref="AA42:AB42"/>
    <mergeCell ref="AC42:AF42"/>
    <mergeCell ref="B41:I41"/>
    <mergeCell ref="J41:L41"/>
    <mergeCell ref="M41:P41"/>
    <mergeCell ref="Q41:T41"/>
    <mergeCell ref="U41:X41"/>
    <mergeCell ref="Y41:Z41"/>
    <mergeCell ref="AA43:AB43"/>
    <mergeCell ref="AC43:AF43"/>
    <mergeCell ref="B44:I44"/>
    <mergeCell ref="J44:L44"/>
    <mergeCell ref="M44:P44"/>
    <mergeCell ref="Q44:T44"/>
    <mergeCell ref="U44:X44"/>
    <mergeCell ref="Y44:Z44"/>
    <mergeCell ref="AA44:AB44"/>
    <mergeCell ref="AC44:AF44"/>
    <mergeCell ref="B43:I43"/>
    <mergeCell ref="J43:L43"/>
    <mergeCell ref="M43:P43"/>
    <mergeCell ref="Q43:T43"/>
    <mergeCell ref="U43:X43"/>
    <mergeCell ref="Y43:Z43"/>
    <mergeCell ref="AA45:AB45"/>
    <mergeCell ref="AC45:AF45"/>
    <mergeCell ref="B46:I46"/>
    <mergeCell ref="J46:L46"/>
    <mergeCell ref="M46:P46"/>
    <mergeCell ref="Q46:T46"/>
    <mergeCell ref="U46:X46"/>
    <mergeCell ref="Y46:Z46"/>
    <mergeCell ref="AA46:AB46"/>
    <mergeCell ref="AC46:AF46"/>
    <mergeCell ref="B45:I45"/>
    <mergeCell ref="J45:L45"/>
    <mergeCell ref="M45:P45"/>
    <mergeCell ref="Q45:T45"/>
    <mergeCell ref="U45:X45"/>
    <mergeCell ref="Y45:Z45"/>
    <mergeCell ref="AA47:AB47"/>
    <mergeCell ref="AC47:AF47"/>
    <mergeCell ref="B48:I48"/>
    <mergeCell ref="J48:L48"/>
    <mergeCell ref="M48:P48"/>
    <mergeCell ref="Q48:T48"/>
    <mergeCell ref="U48:X48"/>
    <mergeCell ref="Y48:Z48"/>
    <mergeCell ref="AA48:AB48"/>
    <mergeCell ref="AC48:AF48"/>
    <mergeCell ref="B47:I47"/>
    <mergeCell ref="J47:L47"/>
    <mergeCell ref="M47:P47"/>
    <mergeCell ref="Q47:T47"/>
    <mergeCell ref="U47:X47"/>
    <mergeCell ref="Y47:Z47"/>
    <mergeCell ref="AA49:AB49"/>
    <mergeCell ref="AC49:AF49"/>
    <mergeCell ref="B50:I50"/>
    <mergeCell ref="J50:L50"/>
    <mergeCell ref="M50:P50"/>
    <mergeCell ref="Q50:T50"/>
    <mergeCell ref="U50:X50"/>
    <mergeCell ref="Y50:Z50"/>
    <mergeCell ref="AA50:AB50"/>
    <mergeCell ref="AC50:AF50"/>
    <mergeCell ref="B49:I49"/>
    <mergeCell ref="J49:L49"/>
    <mergeCell ref="M49:P49"/>
    <mergeCell ref="Q49:T49"/>
    <mergeCell ref="U49:X49"/>
    <mergeCell ref="Y49:Z49"/>
    <mergeCell ref="B53:I53"/>
    <mergeCell ref="J53:L53"/>
    <mergeCell ref="M53:P53"/>
    <mergeCell ref="Q53:T53"/>
    <mergeCell ref="U53:X53"/>
    <mergeCell ref="Y53:Z53"/>
    <mergeCell ref="AA51:AB51"/>
    <mergeCell ref="AC51:AF51"/>
    <mergeCell ref="B52:I52"/>
    <mergeCell ref="J52:L52"/>
    <mergeCell ref="M52:P52"/>
    <mergeCell ref="Q52:T52"/>
    <mergeCell ref="U52:X52"/>
    <mergeCell ref="Y52:Z52"/>
    <mergeCell ref="AA52:AB52"/>
    <mergeCell ref="AC52:AF52"/>
    <mergeCell ref="B51:I51"/>
    <mergeCell ref="J51:L51"/>
    <mergeCell ref="M51:P51"/>
    <mergeCell ref="Q51:T51"/>
    <mergeCell ref="U51:X51"/>
    <mergeCell ref="Y51:Z51"/>
    <mergeCell ref="AA88:AB88"/>
    <mergeCell ref="AC88:AF88"/>
    <mergeCell ref="B89:I89"/>
    <mergeCell ref="J89:L89"/>
    <mergeCell ref="M89:P89"/>
    <mergeCell ref="Q89:T89"/>
    <mergeCell ref="U89:X89"/>
    <mergeCell ref="Y89:Z89"/>
    <mergeCell ref="AA89:AB89"/>
    <mergeCell ref="AC89:AF89"/>
    <mergeCell ref="B88:I88"/>
    <mergeCell ref="J88:L88"/>
    <mergeCell ref="M88:P88"/>
    <mergeCell ref="Q88:T88"/>
    <mergeCell ref="U88:X88"/>
    <mergeCell ref="Y88:Z88"/>
    <mergeCell ref="AA90:AB90"/>
    <mergeCell ref="AC90:AF90"/>
    <mergeCell ref="B91:I91"/>
    <mergeCell ref="J91:L91"/>
    <mergeCell ref="M91:P91"/>
    <mergeCell ref="Q91:T91"/>
    <mergeCell ref="U91:X91"/>
    <mergeCell ref="Y91:Z91"/>
    <mergeCell ref="AA91:AB91"/>
    <mergeCell ref="AC91:AF91"/>
    <mergeCell ref="B90:I90"/>
    <mergeCell ref="J90:L90"/>
    <mergeCell ref="M90:P90"/>
    <mergeCell ref="Q90:T90"/>
    <mergeCell ref="U90:X90"/>
    <mergeCell ref="Y90:Z90"/>
    <mergeCell ref="AA92:AB92"/>
    <mergeCell ref="AC92:AF92"/>
    <mergeCell ref="B93:I93"/>
    <mergeCell ref="J93:L93"/>
    <mergeCell ref="M93:P93"/>
    <mergeCell ref="Q93:T93"/>
    <mergeCell ref="U93:X93"/>
    <mergeCell ref="Y93:Z93"/>
    <mergeCell ref="AA93:AB93"/>
    <mergeCell ref="AC93:AF93"/>
    <mergeCell ref="B92:I92"/>
    <mergeCell ref="J92:L92"/>
    <mergeCell ref="M92:P92"/>
    <mergeCell ref="Q92:T92"/>
    <mergeCell ref="U92:X92"/>
    <mergeCell ref="Y92:Z92"/>
    <mergeCell ref="AA94:AB94"/>
    <mergeCell ref="AC94:AF94"/>
    <mergeCell ref="B95:I95"/>
    <mergeCell ref="J95:L95"/>
    <mergeCell ref="M95:P95"/>
    <mergeCell ref="Q95:T95"/>
    <mergeCell ref="U95:X95"/>
    <mergeCell ref="Y95:Z95"/>
    <mergeCell ref="AA95:AB95"/>
    <mergeCell ref="AC95:AF95"/>
    <mergeCell ref="B94:I94"/>
    <mergeCell ref="J94:L94"/>
    <mergeCell ref="M94:P94"/>
    <mergeCell ref="Q94:T94"/>
    <mergeCell ref="U94:X94"/>
    <mergeCell ref="Y94:Z94"/>
    <mergeCell ref="AA96:AB96"/>
    <mergeCell ref="AC96:AF96"/>
    <mergeCell ref="B97:I97"/>
    <mergeCell ref="J97:L97"/>
    <mergeCell ref="M97:P97"/>
    <mergeCell ref="Q97:T97"/>
    <mergeCell ref="U97:X97"/>
    <mergeCell ref="Y97:Z97"/>
    <mergeCell ref="AA97:AB97"/>
    <mergeCell ref="AC97:AF97"/>
    <mergeCell ref="B96:I96"/>
    <mergeCell ref="J96:L96"/>
    <mergeCell ref="M96:P96"/>
    <mergeCell ref="Q96:T96"/>
    <mergeCell ref="U96:X96"/>
    <mergeCell ref="Y96:Z96"/>
    <mergeCell ref="AA98:AB98"/>
    <mergeCell ref="AC98:AF98"/>
    <mergeCell ref="B99:I99"/>
    <mergeCell ref="J99:L99"/>
    <mergeCell ref="M99:P99"/>
    <mergeCell ref="Q99:T99"/>
    <mergeCell ref="U99:X99"/>
    <mergeCell ref="Y99:Z99"/>
    <mergeCell ref="AA99:AB99"/>
    <mergeCell ref="AC99:AF99"/>
    <mergeCell ref="B98:I98"/>
    <mergeCell ref="J98:L98"/>
    <mergeCell ref="M98:P98"/>
    <mergeCell ref="Q98:T98"/>
    <mergeCell ref="U98:X98"/>
    <mergeCell ref="Y98:Z98"/>
    <mergeCell ref="AA100:AB100"/>
    <mergeCell ref="AC100:AF100"/>
    <mergeCell ref="B101:I101"/>
    <mergeCell ref="J101:L101"/>
    <mergeCell ref="M101:P101"/>
    <mergeCell ref="Q101:T101"/>
    <mergeCell ref="U101:X101"/>
    <mergeCell ref="Y101:Z101"/>
    <mergeCell ref="AA101:AB101"/>
    <mergeCell ref="AC101:AF101"/>
    <mergeCell ref="B100:I100"/>
    <mergeCell ref="J100:L100"/>
    <mergeCell ref="M100:P100"/>
    <mergeCell ref="Q100:T100"/>
    <mergeCell ref="U100:X100"/>
    <mergeCell ref="Y100:Z100"/>
    <mergeCell ref="AA102:AB102"/>
    <mergeCell ref="AC102:AF102"/>
    <mergeCell ref="B103:I103"/>
    <mergeCell ref="J103:L103"/>
    <mergeCell ref="M103:P103"/>
    <mergeCell ref="Q103:T103"/>
    <mergeCell ref="U103:X103"/>
    <mergeCell ref="Y103:Z103"/>
    <mergeCell ref="AA103:AB103"/>
    <mergeCell ref="AC103:AF103"/>
    <mergeCell ref="B102:I102"/>
    <mergeCell ref="J102:L102"/>
    <mergeCell ref="M102:P102"/>
    <mergeCell ref="Q102:T102"/>
    <mergeCell ref="U102:X102"/>
    <mergeCell ref="Y102:Z102"/>
    <mergeCell ref="AA104:AB104"/>
    <mergeCell ref="AC104:AF104"/>
    <mergeCell ref="B105:I105"/>
    <mergeCell ref="J105:L105"/>
    <mergeCell ref="M105:P105"/>
    <mergeCell ref="Q105:T105"/>
    <mergeCell ref="U105:X105"/>
    <mergeCell ref="Y105:Z105"/>
    <mergeCell ref="AA105:AB105"/>
    <mergeCell ref="AC105:AF105"/>
    <mergeCell ref="B104:I104"/>
    <mergeCell ref="J104:L104"/>
    <mergeCell ref="M104:P104"/>
    <mergeCell ref="Q104:T104"/>
    <mergeCell ref="U104:X104"/>
    <mergeCell ref="Y104:Z104"/>
    <mergeCell ref="AA106:AB106"/>
    <mergeCell ref="AC106:AF106"/>
    <mergeCell ref="B107:I107"/>
    <mergeCell ref="J107:L107"/>
    <mergeCell ref="M107:P107"/>
    <mergeCell ref="Q107:T107"/>
    <mergeCell ref="U107:X107"/>
    <mergeCell ref="Y107:Z107"/>
    <mergeCell ref="AA107:AB107"/>
    <mergeCell ref="AC107:AF107"/>
    <mergeCell ref="B106:I106"/>
    <mergeCell ref="J106:L106"/>
    <mergeCell ref="M106:P106"/>
    <mergeCell ref="Q106:T106"/>
    <mergeCell ref="U106:X106"/>
    <mergeCell ref="Y106:Z106"/>
    <mergeCell ref="AA108:AB108"/>
    <mergeCell ref="AC108:AF108"/>
    <mergeCell ref="B109:I109"/>
    <mergeCell ref="J109:L109"/>
    <mergeCell ref="M109:P109"/>
    <mergeCell ref="Q109:T109"/>
    <mergeCell ref="U109:X109"/>
    <mergeCell ref="Y109:Z109"/>
    <mergeCell ref="AA109:AB109"/>
    <mergeCell ref="AC109:AF109"/>
    <mergeCell ref="B108:I108"/>
    <mergeCell ref="J108:L108"/>
    <mergeCell ref="M108:P108"/>
    <mergeCell ref="Q108:T108"/>
    <mergeCell ref="U108:X108"/>
    <mergeCell ref="Y108:Z108"/>
    <mergeCell ref="Y111:Z111"/>
    <mergeCell ref="AA111:AB111"/>
    <mergeCell ref="AC111:AF111"/>
    <mergeCell ref="B110:I110"/>
    <mergeCell ref="J110:L110"/>
    <mergeCell ref="M110:P110"/>
    <mergeCell ref="Q110:T110"/>
    <mergeCell ref="U110:X110"/>
    <mergeCell ref="Y110:Z110"/>
    <mergeCell ref="AA110:AB110"/>
    <mergeCell ref="AC110:AF110"/>
    <mergeCell ref="B111:I111"/>
    <mergeCell ref="J111:L111"/>
    <mergeCell ref="M111:P111"/>
    <mergeCell ref="Q111:T111"/>
    <mergeCell ref="U111:X111"/>
    <mergeCell ref="M114:P114"/>
    <mergeCell ref="Q114:T114"/>
    <mergeCell ref="U114:X114"/>
    <mergeCell ref="Y114:Z114"/>
    <mergeCell ref="AC116:AF120"/>
    <mergeCell ref="AC113:AF113"/>
    <mergeCell ref="B112:I112"/>
    <mergeCell ref="J112:L112"/>
    <mergeCell ref="M112:P112"/>
    <mergeCell ref="Q112:T112"/>
    <mergeCell ref="U112:X112"/>
    <mergeCell ref="Y112:Z112"/>
    <mergeCell ref="AA112:AB112"/>
    <mergeCell ref="AC112:AF112"/>
    <mergeCell ref="B113:I113"/>
    <mergeCell ref="J113:L113"/>
    <mergeCell ref="M113:P113"/>
    <mergeCell ref="Q113:T113"/>
    <mergeCell ref="U113:X113"/>
    <mergeCell ref="Y113:Z113"/>
    <mergeCell ref="AA113:AB113"/>
    <mergeCell ref="AM84:AM87"/>
    <mergeCell ref="AN84:AN87"/>
    <mergeCell ref="AO84:AP85"/>
    <mergeCell ref="AQ84:AQ87"/>
    <mergeCell ref="Y86:Z87"/>
    <mergeCell ref="B121:AF121"/>
    <mergeCell ref="B116:B120"/>
    <mergeCell ref="C116:P120"/>
    <mergeCell ref="Q116:T120"/>
    <mergeCell ref="U116:X120"/>
    <mergeCell ref="Y116:Z120"/>
    <mergeCell ref="AA116:AB120"/>
    <mergeCell ref="AA114:AB114"/>
    <mergeCell ref="AC114:AF114"/>
    <mergeCell ref="B115:I115"/>
    <mergeCell ref="J115:L115"/>
    <mergeCell ref="M115:P115"/>
    <mergeCell ref="Q115:T115"/>
    <mergeCell ref="U115:X115"/>
    <mergeCell ref="Y115:Z115"/>
    <mergeCell ref="AA115:AB115"/>
    <mergeCell ref="AC115:AF115"/>
    <mergeCell ref="B114:I114"/>
    <mergeCell ref="J114:L114"/>
    <mergeCell ref="B12:AF14"/>
    <mergeCell ref="B65:AF67"/>
    <mergeCell ref="U84:X87"/>
    <mergeCell ref="B69:C69"/>
    <mergeCell ref="B84:B87"/>
    <mergeCell ref="C84:I87"/>
    <mergeCell ref="J84:L87"/>
    <mergeCell ref="M84:P87"/>
    <mergeCell ref="Q84:T87"/>
    <mergeCell ref="C55:P59"/>
    <mergeCell ref="Q55:T59"/>
    <mergeCell ref="U55:X59"/>
    <mergeCell ref="Y55:Z59"/>
    <mergeCell ref="AA55:AB59"/>
    <mergeCell ref="AA53:AB53"/>
    <mergeCell ref="AC53:AF53"/>
    <mergeCell ref="B54:I54"/>
    <mergeCell ref="J54:L54"/>
    <mergeCell ref="M54:P54"/>
    <mergeCell ref="Q54:T54"/>
    <mergeCell ref="U54:X54"/>
    <mergeCell ref="Y54:Z54"/>
    <mergeCell ref="AA54:AB54"/>
    <mergeCell ref="AC54:AF54"/>
    <mergeCell ref="BA22:BC22"/>
    <mergeCell ref="BA23:BA34"/>
    <mergeCell ref="BB23:BB34"/>
    <mergeCell ref="BC23:BC34"/>
    <mergeCell ref="BA75:BC75"/>
    <mergeCell ref="BA76:BA87"/>
    <mergeCell ref="BB76:BB87"/>
    <mergeCell ref="BC76:BC87"/>
    <mergeCell ref="AA86:AB87"/>
    <mergeCell ref="AO86:AO87"/>
    <mergeCell ref="AP86:AP87"/>
    <mergeCell ref="Y84:AB85"/>
    <mergeCell ref="AC84:AF87"/>
    <mergeCell ref="AJ84:AJ87"/>
    <mergeCell ref="AK84:AK87"/>
    <mergeCell ref="AL84:AL87"/>
    <mergeCell ref="AC55:AF59"/>
    <mergeCell ref="B60:AF60"/>
    <mergeCell ref="B64:U64"/>
    <mergeCell ref="V64:AF64"/>
    <mergeCell ref="B55:B59"/>
    <mergeCell ref="AJ78:AQ78"/>
    <mergeCell ref="AJ80:AQ80"/>
    <mergeCell ref="AJ82:AQ82"/>
  </mergeCells>
  <conditionalFormatting sqref="P69">
    <cfRule type="expression" dxfId="365" priority="56" stopIfTrue="1">
      <formula>IF(AND($L$2="",$AG$69),TRUE,FALSE)</formula>
    </cfRule>
  </conditionalFormatting>
  <conditionalFormatting sqref="T16">
    <cfRule type="expression" dxfId="364" priority="55" stopIfTrue="1">
      <formula>IF(AND($L$2="",$AG$16),TRUE,FALSE)</formula>
    </cfRule>
  </conditionalFormatting>
  <conditionalFormatting sqref="T69">
    <cfRule type="expression" dxfId="363" priority="54" stopIfTrue="1">
      <formula>IF(AND($L$2="",$AG$69),TRUE,FALSE)</formula>
    </cfRule>
  </conditionalFormatting>
  <conditionalFormatting sqref="L2">
    <cfRule type="expression" dxfId="362" priority="57" stopIfTrue="1">
      <formula>IF(OR($AG$16,$AG$69),1,0)</formula>
    </cfRule>
  </conditionalFormatting>
  <conditionalFormatting sqref="B2">
    <cfRule type="expression" dxfId="361" priority="58" stopIfTrue="1">
      <formula>IF(OR($AG$16,$AG$69),1,0)</formula>
    </cfRule>
  </conditionalFormatting>
  <conditionalFormatting sqref="B11:AF11">
    <cfRule type="expression" dxfId="360" priority="40">
      <formula>IF(NoColor,1,0)</formula>
    </cfRule>
  </conditionalFormatting>
  <conditionalFormatting sqref="B35:AB54">
    <cfRule type="expression" dxfId="359" priority="34">
      <formula>IF(NoColor,1,0)</formula>
    </cfRule>
  </conditionalFormatting>
  <conditionalFormatting sqref="J35:J54">
    <cfRule type="expression" dxfId="358" priority="36" stopIfTrue="1">
      <formula>IF(AND($L$2="",AG35&lt;&gt;0),TRUE,FALSE)</formula>
    </cfRule>
  </conditionalFormatting>
  <conditionalFormatting sqref="M35:M54">
    <cfRule type="expression" dxfId="357" priority="35" stopIfTrue="1">
      <formula>IF(AND($L$2="",AG35&gt;0),TRUE,FALSE)</formula>
    </cfRule>
  </conditionalFormatting>
  <conditionalFormatting sqref="B64:AF64">
    <cfRule type="expression" dxfId="356" priority="33">
      <formula>IF(NoColor,1,0)</formula>
    </cfRule>
  </conditionalFormatting>
  <conditionalFormatting sqref="J88:J115">
    <cfRule type="expression" dxfId="355" priority="29" stopIfTrue="1">
      <formula>IF(AND($L$2="",AG88&lt;&gt;0),TRUE,FALSE)</formula>
    </cfRule>
  </conditionalFormatting>
  <conditionalFormatting sqref="M88:M115">
    <cfRule type="expression" dxfId="354" priority="28" stopIfTrue="1">
      <formula>IF(AND($L$2="",AG88&gt;0),TRUE,FALSE)</formula>
    </cfRule>
  </conditionalFormatting>
  <conditionalFormatting sqref="B88:AB115">
    <cfRule type="expression" dxfId="353" priority="27">
      <formula>IF(NoColor,1,0)</formula>
    </cfRule>
  </conditionalFormatting>
  <conditionalFormatting sqref="C78">
    <cfRule type="expression" dxfId="352" priority="19">
      <formula>IF(NoColor,1,0)</formula>
    </cfRule>
  </conditionalFormatting>
  <conditionalFormatting sqref="Q55:X59">
    <cfRule type="expression" dxfId="351" priority="16">
      <formula>IF(NoColor,1,0)</formula>
    </cfRule>
  </conditionalFormatting>
  <conditionalFormatting sqref="AA55:AF59">
    <cfRule type="expression" dxfId="350" priority="15">
      <formula>IF(NoColor,1,0)</formula>
    </cfRule>
  </conditionalFormatting>
  <conditionalFormatting sqref="Q116:X120">
    <cfRule type="expression" dxfId="349" priority="14">
      <formula>IF(NoColor,1,0)</formula>
    </cfRule>
  </conditionalFormatting>
  <conditionalFormatting sqref="AA116:AF120">
    <cfRule type="expression" dxfId="348" priority="13">
      <formula>IF(NoColor,1,0)</formula>
    </cfRule>
  </conditionalFormatting>
  <conditionalFormatting sqref="C25">
    <cfRule type="expression" dxfId="347" priority="9">
      <formula>IF(NoColor,1,0)</formula>
    </cfRule>
  </conditionalFormatting>
  <conditionalFormatting sqref="AC88:AF115">
    <cfRule type="expression" dxfId="346" priority="8">
      <formula>IF(NoColor,1,0)</formula>
    </cfRule>
  </conditionalFormatting>
  <conditionalFormatting sqref="AC35:AF54">
    <cfRule type="expression" dxfId="345" priority="7">
      <formula>IF(NoColor,1,0)</formula>
    </cfRule>
  </conditionalFormatting>
  <conditionalFormatting sqref="C80">
    <cfRule type="expression" dxfId="344" priority="6">
      <formula>IF(NoColor,1,0)</formula>
    </cfRule>
  </conditionalFormatting>
  <conditionalFormatting sqref="C82">
    <cfRule type="expression" dxfId="343" priority="5">
      <formula>IF(NoColor,1,0)</formula>
    </cfRule>
  </conditionalFormatting>
  <conditionalFormatting sqref="C27">
    <cfRule type="expression" dxfId="342" priority="4">
      <formula>IF(NoColor,1,0)</formula>
    </cfRule>
  </conditionalFormatting>
  <conditionalFormatting sqref="C29">
    <cfRule type="expression" dxfId="341" priority="3">
      <formula>IF(NoColor,1,0)</formula>
    </cfRule>
  </conditionalFormatting>
  <printOptions horizontalCentered="1"/>
  <pageMargins left="0.2" right="0.2" top="0.5" bottom="0.5" header="0.3" footer="0.3"/>
  <pageSetup scale="78" fitToHeight="2" orientation="portrait" r:id="rId1"/>
  <rowBreaks count="1" manualBreakCount="1">
    <brk id="61" min="1" max="31" man="1"/>
  </rowBreaks>
  <drawing r:id="rId2"/>
  <extLst>
    <ext xmlns:x14="http://schemas.microsoft.com/office/spreadsheetml/2009/9/main" uri="{78C0D931-6437-407d-A8EE-F0AAD7539E65}">
      <x14:conditionalFormattings>
        <x14:conditionalFormatting xmlns:xm="http://schemas.microsoft.com/office/excel/2006/main">
          <x14:cfRule type="expression" priority="2" stopIfTrue="1" id="{FF1D813B-CDD4-426E-B84E-126D84FACA65}">
            <xm:f>IF(AND('8949A'!$L$2="",'8949A'!$AG$16),TRUE,FALSE)</xm:f>
            <x14:dxf>
              <font>
                <b val="0"/>
                <i val="0"/>
                <color rgb="FFFF0000"/>
              </font>
            </x14:dxf>
          </x14:cfRule>
          <xm:sqref>T18:T19</xm:sqref>
        </x14:conditionalFormatting>
        <x14:conditionalFormatting xmlns:xm="http://schemas.microsoft.com/office/excel/2006/main">
          <x14:cfRule type="expression" priority="1" stopIfTrue="1" id="{A2D9BE0A-FD70-42C9-87DB-4C17D8C57EB8}">
            <xm:f>IF(AND('8949A'!$L$2="",'8949A'!$AG$16),TRUE,FALSE)</xm:f>
            <x14:dxf>
              <font>
                <b val="0"/>
                <i val="0"/>
                <color rgb="FFFF0000"/>
              </font>
            </x14:dxf>
          </x14:cfRule>
          <xm:sqref>T71:T72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70"/>
  <sheetViews>
    <sheetView zoomScaleNormal="100" workbookViewId="0">
      <pane ySplit="1" topLeftCell="A2" activePane="bottomLeft" state="frozen"/>
      <selection activeCell="D26" sqref="D26"/>
      <selection pane="bottomLeft" activeCell="C3" sqref="C3"/>
    </sheetView>
  </sheetViews>
  <sheetFormatPr defaultRowHeight="12.75"/>
  <cols>
    <col min="1" max="1" width="6.28515625" style="436" customWidth="1"/>
    <col min="2" max="2" width="36" customWidth="1"/>
    <col min="3" max="6" width="19.42578125" customWidth="1"/>
    <col min="7" max="7" width="13" customWidth="1"/>
    <col min="8" max="8" width="12" customWidth="1"/>
    <col min="9" max="9" width="2.140625" customWidth="1"/>
    <col min="10" max="10" width="13.5703125" style="1265" customWidth="1"/>
    <col min="11" max="11" width="24" customWidth="1"/>
    <col min="12" max="12" width="4.28515625" style="1265" customWidth="1"/>
    <col min="13" max="13" width="3.7109375" style="1265" customWidth="1"/>
    <col min="14" max="15" width="3.42578125" style="1265" customWidth="1"/>
  </cols>
  <sheetData>
    <row r="1" spans="1:15" ht="36.75" customHeight="1" thickBot="1">
      <c r="A1" s="719"/>
      <c r="B1" s="719" t="s">
        <v>271</v>
      </c>
      <c r="C1" s="720"/>
      <c r="D1" s="721"/>
      <c r="E1" s="3146"/>
      <c r="F1" s="721"/>
      <c r="G1" s="721"/>
      <c r="H1" s="721"/>
      <c r="I1" s="721"/>
      <c r="J1" s="1380"/>
      <c r="K1" s="700"/>
      <c r="L1" s="1375"/>
      <c r="M1" s="1375"/>
      <c r="N1" s="1375"/>
    </row>
    <row r="2" spans="1:15" ht="36.75" customHeight="1" thickTop="1" thickBot="1">
      <c r="A2" s="554"/>
      <c r="B2" s="2813" t="str">
        <f>IF(Name_1st_Yours="","Enter your name on Form 1040",NameYours)</f>
        <v>Enter your name on Form 1040</v>
      </c>
      <c r="C2" s="3474" t="s">
        <v>2627</v>
      </c>
      <c r="D2" s="601" t="s">
        <v>395</v>
      </c>
      <c r="E2" s="601" t="s">
        <v>396</v>
      </c>
      <c r="F2" s="601" t="s">
        <v>348</v>
      </c>
      <c r="G2" s="554" t="s">
        <v>349</v>
      </c>
      <c r="H2" s="555" t="s">
        <v>350</v>
      </c>
      <c r="I2" s="604"/>
      <c r="J2" s="1378" t="s">
        <v>577</v>
      </c>
      <c r="K2" s="1866" t="s">
        <v>1360</v>
      </c>
      <c r="L2" s="1376"/>
      <c r="M2" s="1376"/>
      <c r="N2" s="1376"/>
      <c r="O2" s="1376"/>
    </row>
    <row r="3" spans="1:15" ht="19.5" customHeight="1" thickBot="1">
      <c r="A3" s="1336" t="s">
        <v>251</v>
      </c>
      <c r="B3" s="557" t="s">
        <v>285</v>
      </c>
      <c r="C3" s="2097"/>
      <c r="D3" s="2098"/>
      <c r="E3" s="2098"/>
      <c r="F3" s="2098"/>
      <c r="G3" s="558">
        <f t="shared" ref="G3:G23" si="0">SUM(C3:F3)</f>
        <v>0</v>
      </c>
      <c r="H3" s="466"/>
      <c r="I3" s="466"/>
      <c r="J3" s="1379">
        <f>SUM(L3:O3)</f>
        <v>0</v>
      </c>
      <c r="K3" s="1384">
        <v>117000</v>
      </c>
      <c r="L3" s="1377">
        <f>IF(C3&lt;&gt;"",1,0)</f>
        <v>0</v>
      </c>
      <c r="M3" s="1377">
        <f>IF(D3&lt;&gt;"",1,0)</f>
        <v>0</v>
      </c>
      <c r="N3" s="1377">
        <f>IF(E3&lt;&gt;"",1,0)</f>
        <v>0</v>
      </c>
      <c r="O3" s="1377">
        <f>IF(F3&lt;&gt;"",1,0)</f>
        <v>0</v>
      </c>
    </row>
    <row r="4" spans="1:15">
      <c r="A4" s="436">
        <v>2</v>
      </c>
      <c r="B4" s="557" t="s">
        <v>286</v>
      </c>
      <c r="C4" s="2097"/>
      <c r="D4" s="2098"/>
      <c r="E4" s="2098"/>
      <c r="F4" s="2098"/>
      <c r="G4" s="558">
        <f t="shared" si="0"/>
        <v>0</v>
      </c>
      <c r="H4" s="466"/>
      <c r="I4" s="466"/>
      <c r="J4" s="771">
        <f>TaxYear</f>
        <v>2014</v>
      </c>
      <c r="K4" s="1865">
        <v>6.2E-2</v>
      </c>
      <c r="L4" s="1377"/>
      <c r="M4" s="1377"/>
      <c r="N4" s="1377"/>
      <c r="O4" s="1377"/>
    </row>
    <row r="5" spans="1:15" ht="13.5" thickBot="1">
      <c r="A5" s="436">
        <v>3</v>
      </c>
      <c r="B5" s="3075" t="s">
        <v>525</v>
      </c>
      <c r="C5" s="2098"/>
      <c r="D5" s="2098"/>
      <c r="E5" s="2099"/>
      <c r="F5" s="2098"/>
      <c r="G5" s="558">
        <f t="shared" si="0"/>
        <v>0</v>
      </c>
      <c r="H5" s="465"/>
      <c r="I5" s="465"/>
      <c r="J5" s="606" t="s">
        <v>124</v>
      </c>
      <c r="K5" s="562"/>
      <c r="L5" s="10"/>
      <c r="M5" s="10"/>
      <c r="N5" s="10"/>
      <c r="O5" s="10"/>
    </row>
    <row r="6" spans="1:15" ht="13.5" thickBot="1">
      <c r="A6" s="436">
        <v>4</v>
      </c>
      <c r="B6" s="3076" t="s">
        <v>526</v>
      </c>
      <c r="C6" s="2098"/>
      <c r="D6" s="2098"/>
      <c r="E6" s="2098"/>
      <c r="F6" s="2098"/>
      <c r="G6" s="558">
        <f t="shared" si="0"/>
        <v>0</v>
      </c>
      <c r="H6" s="465">
        <f>IF(K6&lt;2,0,IF(AND(K6&gt;1,SUM(G6,-MaxSSTax)&gt;0),SUM(G6,-MaxSSTax),0))</f>
        <v>0</v>
      </c>
      <c r="I6" s="465"/>
      <c r="J6" s="1384">
        <f>MaxSSTaxEarnings*K4</f>
        <v>7254</v>
      </c>
      <c r="K6" s="563">
        <f>SUM(L6:O6)</f>
        <v>0</v>
      </c>
      <c r="L6" s="10">
        <f>IF(C6&lt;&gt;"",1,0)</f>
        <v>0</v>
      </c>
      <c r="M6" s="10">
        <f>IF(D6&lt;&gt;"",1,0)</f>
        <v>0</v>
      </c>
      <c r="N6" s="10">
        <f>IF(E6&lt;&gt;"",1,0)</f>
        <v>0</v>
      </c>
      <c r="O6" s="10">
        <f>IF(F6&lt;&gt;"",1,0)</f>
        <v>0</v>
      </c>
    </row>
    <row r="7" spans="1:15">
      <c r="A7" s="436">
        <v>5</v>
      </c>
      <c r="B7" s="3076" t="s">
        <v>527</v>
      </c>
      <c r="C7" s="2097"/>
      <c r="D7" s="2098"/>
      <c r="E7" s="2098"/>
      <c r="F7" s="2098"/>
      <c r="G7" s="558">
        <f t="shared" si="0"/>
        <v>0</v>
      </c>
      <c r="H7" s="465"/>
      <c r="I7" s="465"/>
      <c r="J7" s="1865"/>
      <c r="K7" s="1866"/>
      <c r="L7" s="10"/>
      <c r="M7" s="10"/>
      <c r="N7" s="10"/>
      <c r="O7" s="10"/>
    </row>
    <row r="8" spans="1:15">
      <c r="A8" s="436">
        <v>6</v>
      </c>
      <c r="B8" s="3076" t="s">
        <v>528</v>
      </c>
      <c r="C8" s="2097"/>
      <c r="D8" s="2098"/>
      <c r="E8" s="2098"/>
      <c r="F8" s="2098"/>
      <c r="G8" s="558">
        <f t="shared" si="0"/>
        <v>0</v>
      </c>
      <c r="H8" s="465"/>
      <c r="I8" s="465"/>
      <c r="J8" s="3077" t="s">
        <v>1478</v>
      </c>
      <c r="K8" s="1866"/>
      <c r="L8" s="10"/>
      <c r="M8" s="10"/>
      <c r="N8" s="10"/>
      <c r="O8" s="10"/>
    </row>
    <row r="9" spans="1:15">
      <c r="A9" s="436">
        <v>7</v>
      </c>
      <c r="B9" s="3075" t="s">
        <v>857</v>
      </c>
      <c r="C9" s="2098"/>
      <c r="D9" s="2098"/>
      <c r="E9" s="2098"/>
      <c r="F9" s="2098"/>
      <c r="G9" s="558">
        <f t="shared" si="0"/>
        <v>0</v>
      </c>
      <c r="H9" s="465"/>
      <c r="I9" s="465"/>
      <c r="J9" s="1382"/>
      <c r="K9" s="562"/>
      <c r="L9" s="10"/>
      <c r="M9" s="10"/>
      <c r="N9" s="10"/>
      <c r="O9" s="10"/>
    </row>
    <row r="10" spans="1:15">
      <c r="A10" s="436">
        <v>8</v>
      </c>
      <c r="B10" s="3075" t="s">
        <v>858</v>
      </c>
      <c r="C10" s="2098"/>
      <c r="D10" s="2098"/>
      <c r="E10" s="2098"/>
      <c r="F10" s="2098"/>
      <c r="G10" s="558">
        <f t="shared" si="0"/>
        <v>0</v>
      </c>
      <c r="H10" s="465"/>
      <c r="I10" s="465"/>
      <c r="J10" s="1382"/>
      <c r="K10" s="562"/>
      <c r="L10" s="10"/>
      <c r="M10" s="10"/>
      <c r="N10" s="10"/>
      <c r="O10" s="10"/>
    </row>
    <row r="11" spans="1:15">
      <c r="A11" s="436">
        <v>9</v>
      </c>
      <c r="B11" s="3075" t="s">
        <v>859</v>
      </c>
      <c r="C11" s="2098"/>
      <c r="D11" s="2098"/>
      <c r="E11" s="2098"/>
      <c r="F11" s="2098"/>
      <c r="G11" s="558">
        <f t="shared" si="0"/>
        <v>0</v>
      </c>
      <c r="H11" s="465"/>
      <c r="I11" s="465"/>
      <c r="J11" s="1382"/>
      <c r="K11" s="562"/>
      <c r="L11" s="10"/>
      <c r="M11" s="10"/>
      <c r="N11" s="10"/>
      <c r="O11" s="10"/>
    </row>
    <row r="12" spans="1:15">
      <c r="A12" s="436">
        <v>10</v>
      </c>
      <c r="B12" s="3075" t="s">
        <v>860</v>
      </c>
      <c r="C12" s="2098"/>
      <c r="D12" s="2098"/>
      <c r="E12" s="2098"/>
      <c r="F12" s="2098"/>
      <c r="G12" s="558">
        <f t="shared" si="0"/>
        <v>0</v>
      </c>
      <c r="H12" s="465"/>
      <c r="I12" s="465"/>
      <c r="J12" s="1382"/>
      <c r="K12" s="562"/>
      <c r="L12" s="10"/>
      <c r="M12" s="10"/>
      <c r="N12" s="10"/>
      <c r="O12" s="10"/>
    </row>
    <row r="13" spans="1:15">
      <c r="A13" s="436">
        <v>11</v>
      </c>
      <c r="B13" s="3075" t="s">
        <v>861</v>
      </c>
      <c r="C13" s="2098"/>
      <c r="D13" s="2098"/>
      <c r="E13" s="2098"/>
      <c r="F13" s="2098"/>
      <c r="G13" s="558">
        <f t="shared" si="0"/>
        <v>0</v>
      </c>
      <c r="H13" s="465"/>
      <c r="I13" s="465"/>
      <c r="J13" s="1382"/>
      <c r="K13" s="562"/>
      <c r="L13" s="10"/>
      <c r="M13" s="10"/>
      <c r="N13" s="10"/>
      <c r="O13" s="10"/>
    </row>
    <row r="14" spans="1:15">
      <c r="A14" s="436" t="s">
        <v>863</v>
      </c>
      <c r="B14" s="3075" t="s">
        <v>862</v>
      </c>
      <c r="C14" s="2098"/>
      <c r="D14" s="2098"/>
      <c r="E14" s="2098"/>
      <c r="F14" s="2098"/>
      <c r="G14" s="558">
        <f t="shared" si="0"/>
        <v>0</v>
      </c>
      <c r="H14" s="465"/>
      <c r="I14" s="465"/>
      <c r="J14" s="1382"/>
      <c r="K14" s="562"/>
      <c r="L14" s="10"/>
      <c r="M14" s="10"/>
      <c r="N14" s="10"/>
      <c r="O14" s="10"/>
    </row>
    <row r="15" spans="1:15">
      <c r="A15" s="436" t="s">
        <v>864</v>
      </c>
      <c r="B15" s="3075"/>
      <c r="C15" s="2098"/>
      <c r="D15" s="2098"/>
      <c r="E15" s="2098"/>
      <c r="F15" s="2098"/>
      <c r="G15" s="558">
        <f t="shared" si="0"/>
        <v>0</v>
      </c>
      <c r="H15" s="465"/>
      <c r="I15" s="465"/>
      <c r="J15" s="1382"/>
      <c r="K15" s="562"/>
      <c r="L15" s="10"/>
      <c r="M15" s="10"/>
      <c r="N15" s="10"/>
      <c r="O15" s="10"/>
    </row>
    <row r="16" spans="1:15">
      <c r="A16" s="436" t="s">
        <v>865</v>
      </c>
      <c r="B16" s="3075"/>
      <c r="C16" s="2098"/>
      <c r="D16" s="2098"/>
      <c r="E16" s="2098"/>
      <c r="F16" s="2098"/>
      <c r="G16" s="558">
        <f t="shared" si="0"/>
        <v>0</v>
      </c>
      <c r="H16" s="465"/>
      <c r="I16" s="465"/>
      <c r="J16" s="1382"/>
      <c r="K16" s="562"/>
      <c r="L16" s="10"/>
      <c r="M16" s="10"/>
      <c r="N16" s="10"/>
      <c r="O16" s="10"/>
    </row>
    <row r="17" spans="1:15">
      <c r="A17" s="436" t="s">
        <v>866</v>
      </c>
      <c r="B17" s="3075"/>
      <c r="C17" s="2098"/>
      <c r="D17" s="2098"/>
      <c r="E17" s="2098"/>
      <c r="F17" s="2098"/>
      <c r="G17" s="558">
        <f t="shared" si="0"/>
        <v>0</v>
      </c>
      <c r="H17" s="465"/>
      <c r="I17" s="465"/>
      <c r="J17" s="1382"/>
      <c r="K17" s="562"/>
      <c r="L17" s="10"/>
      <c r="M17" s="10"/>
      <c r="N17" s="10"/>
      <c r="O17" s="10"/>
    </row>
    <row r="18" spans="1:15">
      <c r="A18" s="436">
        <v>13</v>
      </c>
      <c r="B18" s="3075" t="s">
        <v>867</v>
      </c>
      <c r="C18" s="2098"/>
      <c r="D18" s="2098"/>
      <c r="E18" s="2098"/>
      <c r="F18" s="2098"/>
      <c r="G18" s="558">
        <f t="shared" si="0"/>
        <v>0</v>
      </c>
      <c r="H18" s="465"/>
      <c r="I18" s="465"/>
      <c r="J18" s="1382"/>
      <c r="K18" s="562"/>
      <c r="L18" s="10"/>
      <c r="M18" s="10"/>
      <c r="N18" s="10"/>
      <c r="O18" s="10"/>
    </row>
    <row r="19" spans="1:15">
      <c r="A19" s="436">
        <v>14</v>
      </c>
      <c r="B19" s="3075" t="s">
        <v>689</v>
      </c>
      <c r="C19" s="2098"/>
      <c r="D19" s="2098"/>
      <c r="E19" s="2098"/>
      <c r="F19" s="2098"/>
      <c r="G19" s="558">
        <f t="shared" si="0"/>
        <v>0</v>
      </c>
      <c r="H19" s="465"/>
      <c r="I19" s="465"/>
      <c r="J19" s="1382"/>
      <c r="K19" s="562"/>
      <c r="L19" s="10"/>
      <c r="M19" s="10"/>
      <c r="N19" s="10"/>
      <c r="O19" s="10"/>
    </row>
    <row r="20" spans="1:15">
      <c r="A20" s="436">
        <v>16</v>
      </c>
      <c r="B20" s="3075" t="s">
        <v>868</v>
      </c>
      <c r="C20" s="2098"/>
      <c r="D20" s="2098"/>
      <c r="E20" s="2098"/>
      <c r="F20" s="2098"/>
      <c r="G20" s="558">
        <f t="shared" si="0"/>
        <v>0</v>
      </c>
      <c r="H20" s="465"/>
      <c r="I20" s="465"/>
      <c r="J20" s="1382"/>
      <c r="K20" s="562"/>
      <c r="L20" s="10"/>
      <c r="M20" s="10"/>
      <c r="N20" s="10"/>
      <c r="O20" s="10"/>
    </row>
    <row r="21" spans="1:15">
      <c r="A21" s="436">
        <v>17</v>
      </c>
      <c r="B21" s="3076" t="s">
        <v>315</v>
      </c>
      <c r="C21" s="2098"/>
      <c r="D21" s="2098"/>
      <c r="E21" s="2098"/>
      <c r="F21" s="2098"/>
      <c r="G21" s="558">
        <f>SUM(C21:F21)</f>
        <v>0</v>
      </c>
      <c r="H21" s="465"/>
      <c r="I21" s="465"/>
      <c r="J21" s="1382"/>
      <c r="K21" s="562"/>
      <c r="L21" s="10"/>
      <c r="M21" s="10"/>
      <c r="N21" s="10"/>
      <c r="O21" s="10"/>
    </row>
    <row r="22" spans="1:15">
      <c r="A22" s="436">
        <v>18</v>
      </c>
      <c r="B22" s="3075" t="s">
        <v>869</v>
      </c>
      <c r="C22" s="2098"/>
      <c r="D22" s="2098"/>
      <c r="E22" s="2098"/>
      <c r="F22" s="2098"/>
      <c r="G22" s="558">
        <f>SUM(C22:F22)</f>
        <v>0</v>
      </c>
      <c r="H22" s="465"/>
      <c r="I22" s="465"/>
      <c r="J22" s="1382"/>
      <c r="K22" s="562"/>
      <c r="L22" s="10"/>
      <c r="M22" s="10"/>
      <c r="N22" s="10"/>
      <c r="O22" s="10"/>
    </row>
    <row r="23" spans="1:15">
      <c r="A23" s="436">
        <v>19</v>
      </c>
      <c r="B23" s="3121" t="s">
        <v>846</v>
      </c>
      <c r="C23" s="2098"/>
      <c r="D23" s="2098"/>
      <c r="E23" s="2098"/>
      <c r="F23" s="2098"/>
      <c r="G23" s="558">
        <f t="shared" si="0"/>
        <v>0</v>
      </c>
      <c r="H23" s="605"/>
      <c r="I23" s="465"/>
      <c r="J23" s="1382"/>
      <c r="K23" s="562"/>
      <c r="L23" s="10"/>
      <c r="M23" s="10"/>
      <c r="N23" s="10"/>
      <c r="O23" s="10"/>
    </row>
    <row r="24" spans="1:15" s="313" customFormat="1" ht="15" customHeight="1">
      <c r="A24" s="1386"/>
      <c r="B24" s="1387"/>
      <c r="C24" s="1446" t="str">
        <f>IF(AND(G6&gt;MaxSSTax,K6=1),"Notify your employer that they withheld "&amp;TEXT(SUM(G6,-MaxSSTax),"$0.00")&amp;" too much Social Security Tax.","")</f>
        <v/>
      </c>
      <c r="D24" s="1387"/>
      <c r="E24" s="1387"/>
      <c r="F24" s="1387"/>
      <c r="G24" s="1387"/>
      <c r="H24" s="1387"/>
      <c r="I24" s="604"/>
      <c r="J24" s="1378"/>
      <c r="K24" s="556"/>
      <c r="L24" s="1388"/>
      <c r="M24" s="1388"/>
      <c r="N24" s="1388"/>
      <c r="O24" s="1388"/>
    </row>
    <row r="25" spans="1:15" ht="36.75" customHeight="1">
      <c r="A25" s="472"/>
      <c r="B25" s="2814" t="str">
        <f>IF(Name_1st_Sp="","Enter spouse's name on Form 1040",NameSpouse)</f>
        <v>Enter spouse's name on Form 1040</v>
      </c>
      <c r="C25" s="3475" t="s">
        <v>2627</v>
      </c>
      <c r="D25" s="1374" t="s">
        <v>395</v>
      </c>
      <c r="E25" s="1374" t="s">
        <v>396</v>
      </c>
      <c r="F25" s="1374" t="s">
        <v>348</v>
      </c>
      <c r="G25" s="1385" t="s">
        <v>349</v>
      </c>
      <c r="H25" s="1385" t="s">
        <v>350</v>
      </c>
      <c r="I25" s="604"/>
      <c r="J25" s="1378" t="s">
        <v>577</v>
      </c>
      <c r="K25" s="556"/>
      <c r="L25" s="1376"/>
      <c r="M25" s="1376"/>
      <c r="N25" s="1376"/>
      <c r="O25" s="1376"/>
    </row>
    <row r="26" spans="1:15" ht="18" customHeight="1">
      <c r="A26" s="1336" t="s">
        <v>251</v>
      </c>
      <c r="B26" s="557" t="s">
        <v>285</v>
      </c>
      <c r="C26" s="410"/>
      <c r="D26" s="410"/>
      <c r="E26" s="410"/>
      <c r="F26" s="410"/>
      <c r="G26" s="558">
        <f t="shared" ref="G26:G46" si="1">SUM(C26:F26)</f>
        <v>0</v>
      </c>
      <c r="H26" s="466"/>
      <c r="I26" s="466"/>
      <c r="J26" s="1379">
        <f>SUM(L26:O26)</f>
        <v>0</v>
      </c>
      <c r="K26" s="559"/>
      <c r="L26" s="1377">
        <f>IF(C26&lt;&gt;"",1,0)</f>
        <v>0</v>
      </c>
      <c r="M26" s="1377">
        <f>IF(D26&lt;&gt;"",1,0)</f>
        <v>0</v>
      </c>
      <c r="N26" s="1377">
        <f>IF(E26&lt;&gt;"",1,0)</f>
        <v>0</v>
      </c>
      <c r="O26" s="1377">
        <f>IF(F26&lt;&gt;"",1,0)</f>
        <v>0</v>
      </c>
    </row>
    <row r="27" spans="1:15">
      <c r="A27" s="436">
        <v>2</v>
      </c>
      <c r="B27" s="557" t="s">
        <v>286</v>
      </c>
      <c r="C27" s="410"/>
      <c r="D27" s="410"/>
      <c r="E27" s="410"/>
      <c r="F27" s="410"/>
      <c r="G27" s="558">
        <f t="shared" si="1"/>
        <v>0</v>
      </c>
      <c r="H27" s="466"/>
      <c r="I27" s="466"/>
      <c r="J27" s="1383"/>
      <c r="K27" s="562"/>
      <c r="L27" s="1377"/>
      <c r="M27" s="1377"/>
      <c r="N27" s="1377"/>
      <c r="O27" s="1377"/>
    </row>
    <row r="28" spans="1:15">
      <c r="A28" s="436">
        <v>3</v>
      </c>
      <c r="B28" s="3075" t="s">
        <v>525</v>
      </c>
      <c r="C28" s="410"/>
      <c r="D28" s="410"/>
      <c r="E28" s="411"/>
      <c r="F28" s="410"/>
      <c r="G28" s="558">
        <f t="shared" si="1"/>
        <v>0</v>
      </c>
      <c r="H28" s="465"/>
      <c r="I28" s="465"/>
      <c r="J28" s="1381"/>
      <c r="K28" s="562"/>
      <c r="L28" s="10"/>
      <c r="M28" s="10"/>
      <c r="N28" s="10"/>
      <c r="O28" s="10"/>
    </row>
    <row r="29" spans="1:15">
      <c r="A29" s="436">
        <v>4</v>
      </c>
      <c r="B29" s="3076" t="s">
        <v>526</v>
      </c>
      <c r="C29" s="410"/>
      <c r="D29" s="410"/>
      <c r="E29" s="410"/>
      <c r="F29" s="410"/>
      <c r="G29" s="558">
        <f t="shared" si="1"/>
        <v>0</v>
      </c>
      <c r="H29" s="465">
        <f>IF(K29&lt;2,0,IF(AND(K29&gt;1,SUM(G29,-MaxSSTax)&gt;0),SUM(G29,-MaxSSTax),0))</f>
        <v>0</v>
      </c>
      <c r="I29" s="465"/>
      <c r="J29" s="1381"/>
      <c r="K29" s="563">
        <f>SUM(L29:O29)</f>
        <v>0</v>
      </c>
      <c r="L29" s="10">
        <f>IF(C29&lt;&gt;"",1,0)</f>
        <v>0</v>
      </c>
      <c r="M29" s="10">
        <f>IF(D29&lt;&gt;"",1,0)</f>
        <v>0</v>
      </c>
      <c r="N29" s="10">
        <f>IF(E29&lt;&gt;"",1,0)</f>
        <v>0</v>
      </c>
      <c r="O29" s="10">
        <f>IF(F29&lt;&gt;"",1,0)</f>
        <v>0</v>
      </c>
    </row>
    <row r="30" spans="1:15">
      <c r="A30" s="436">
        <v>5</v>
      </c>
      <c r="B30" s="3076" t="s">
        <v>527</v>
      </c>
      <c r="C30" s="410"/>
      <c r="D30" s="410"/>
      <c r="E30" s="410"/>
      <c r="F30" s="410"/>
      <c r="G30" s="558">
        <f t="shared" si="1"/>
        <v>0</v>
      </c>
      <c r="H30" s="465"/>
      <c r="I30" s="465"/>
      <c r="J30" s="1381"/>
      <c r="K30" s="562"/>
      <c r="L30" s="10"/>
      <c r="M30" s="10"/>
      <c r="N30" s="10"/>
      <c r="O30" s="10"/>
    </row>
    <row r="31" spans="1:15">
      <c r="A31" s="436">
        <v>6</v>
      </c>
      <c r="B31" s="3076" t="s">
        <v>528</v>
      </c>
      <c r="C31" s="410"/>
      <c r="D31" s="410"/>
      <c r="E31" s="410"/>
      <c r="F31" s="410"/>
      <c r="G31" s="558">
        <f t="shared" si="1"/>
        <v>0</v>
      </c>
      <c r="H31" s="443"/>
      <c r="I31" s="443"/>
      <c r="J31" s="3077" t="s">
        <v>1478</v>
      </c>
      <c r="K31" s="562"/>
      <c r="L31" s="10"/>
      <c r="M31" s="10"/>
      <c r="N31" s="10"/>
      <c r="O31" s="10"/>
    </row>
    <row r="32" spans="1:15">
      <c r="A32" s="436">
        <v>7</v>
      </c>
      <c r="B32" s="3075" t="s">
        <v>857</v>
      </c>
      <c r="C32" s="410"/>
      <c r="D32" s="410"/>
      <c r="E32" s="410"/>
      <c r="F32" s="410"/>
      <c r="G32" s="558">
        <f t="shared" si="1"/>
        <v>0</v>
      </c>
      <c r="H32" s="465"/>
      <c r="I32" s="465"/>
      <c r="J32" s="1382"/>
      <c r="K32" s="562"/>
      <c r="L32" s="10"/>
      <c r="M32" s="10"/>
      <c r="N32" s="10"/>
      <c r="O32" s="10"/>
    </row>
    <row r="33" spans="1:15">
      <c r="A33" s="436">
        <v>8</v>
      </c>
      <c r="B33" s="3075" t="s">
        <v>858</v>
      </c>
      <c r="C33" s="410"/>
      <c r="D33" s="410"/>
      <c r="E33" s="410"/>
      <c r="F33" s="410"/>
      <c r="G33" s="558">
        <f t="shared" si="1"/>
        <v>0</v>
      </c>
      <c r="H33" s="465"/>
      <c r="I33" s="465"/>
      <c r="J33" s="1382"/>
      <c r="K33" s="562"/>
      <c r="L33" s="10"/>
      <c r="M33" s="10"/>
      <c r="N33" s="10"/>
      <c r="O33" s="10"/>
    </row>
    <row r="34" spans="1:15">
      <c r="A34" s="436">
        <v>9</v>
      </c>
      <c r="B34" s="3075" t="s">
        <v>859</v>
      </c>
      <c r="C34" s="410"/>
      <c r="D34" s="410"/>
      <c r="E34" s="410"/>
      <c r="F34" s="410"/>
      <c r="G34" s="558">
        <f t="shared" si="1"/>
        <v>0</v>
      </c>
      <c r="H34" s="465"/>
      <c r="I34" s="465"/>
      <c r="J34" s="1382"/>
      <c r="K34" s="562"/>
      <c r="L34" s="10"/>
      <c r="M34" s="10"/>
      <c r="N34" s="10"/>
      <c r="O34" s="10"/>
    </row>
    <row r="35" spans="1:15">
      <c r="A35" s="436">
        <v>10</v>
      </c>
      <c r="B35" s="3075" t="s">
        <v>860</v>
      </c>
      <c r="C35" s="410"/>
      <c r="D35" s="410"/>
      <c r="E35" s="410"/>
      <c r="F35" s="410"/>
      <c r="G35" s="558">
        <f t="shared" si="1"/>
        <v>0</v>
      </c>
      <c r="H35" s="465"/>
      <c r="I35" s="465"/>
      <c r="J35" s="1382"/>
      <c r="K35" s="562"/>
      <c r="L35" s="10"/>
      <c r="M35" s="10"/>
      <c r="N35" s="10"/>
      <c r="O35" s="10"/>
    </row>
    <row r="36" spans="1:15">
      <c r="A36" s="436">
        <v>11</v>
      </c>
      <c r="B36" s="3075" t="s">
        <v>861</v>
      </c>
      <c r="C36" s="410"/>
      <c r="D36" s="410"/>
      <c r="E36" s="410"/>
      <c r="F36" s="410"/>
      <c r="G36" s="558">
        <f t="shared" si="1"/>
        <v>0</v>
      </c>
      <c r="H36" s="465"/>
      <c r="I36" s="465"/>
      <c r="J36" s="1382"/>
      <c r="K36" s="562"/>
      <c r="L36" s="10"/>
      <c r="M36" s="10"/>
      <c r="N36" s="10"/>
      <c r="O36" s="10"/>
    </row>
    <row r="37" spans="1:15">
      <c r="A37" s="436" t="s">
        <v>863</v>
      </c>
      <c r="B37" s="3075" t="s">
        <v>862</v>
      </c>
      <c r="C37" s="410"/>
      <c r="D37" s="410"/>
      <c r="E37" s="410"/>
      <c r="F37" s="410"/>
      <c r="G37" s="558">
        <f t="shared" si="1"/>
        <v>0</v>
      </c>
      <c r="H37" s="465"/>
      <c r="I37" s="465"/>
      <c r="J37" s="1382"/>
      <c r="K37" s="562"/>
      <c r="L37" s="10"/>
      <c r="M37" s="10"/>
      <c r="N37" s="10"/>
      <c r="O37" s="10"/>
    </row>
    <row r="38" spans="1:15">
      <c r="A38" s="436" t="s">
        <v>864</v>
      </c>
      <c r="B38" s="3075"/>
      <c r="C38" s="410"/>
      <c r="D38" s="410"/>
      <c r="E38" s="410"/>
      <c r="F38" s="410"/>
      <c r="G38" s="558">
        <f t="shared" si="1"/>
        <v>0</v>
      </c>
      <c r="H38" s="465"/>
      <c r="I38" s="465"/>
      <c r="J38" s="1382"/>
      <c r="K38" s="562"/>
      <c r="L38" s="10"/>
      <c r="M38" s="10"/>
      <c r="N38" s="10"/>
      <c r="O38" s="10"/>
    </row>
    <row r="39" spans="1:15">
      <c r="A39" s="436" t="s">
        <v>865</v>
      </c>
      <c r="B39" s="3075"/>
      <c r="C39" s="410"/>
      <c r="D39" s="410"/>
      <c r="E39" s="410"/>
      <c r="F39" s="410"/>
      <c r="G39" s="558">
        <f t="shared" si="1"/>
        <v>0</v>
      </c>
      <c r="H39" s="465"/>
      <c r="I39" s="465"/>
      <c r="J39" s="1382"/>
      <c r="K39" s="562"/>
      <c r="L39" s="10"/>
      <c r="M39" s="10"/>
      <c r="N39" s="10"/>
      <c r="O39" s="10"/>
    </row>
    <row r="40" spans="1:15">
      <c r="A40" s="436" t="s">
        <v>866</v>
      </c>
      <c r="B40" s="3075"/>
      <c r="C40" s="410"/>
      <c r="D40" s="410"/>
      <c r="E40" s="410"/>
      <c r="F40" s="410"/>
      <c r="G40" s="558">
        <f t="shared" si="1"/>
        <v>0</v>
      </c>
      <c r="H40" s="465"/>
      <c r="I40" s="465"/>
      <c r="J40" s="1382"/>
      <c r="K40" s="562"/>
      <c r="L40" s="10"/>
      <c r="M40" s="10"/>
      <c r="N40" s="10"/>
      <c r="O40" s="10"/>
    </row>
    <row r="41" spans="1:15">
      <c r="A41" s="436">
        <v>13</v>
      </c>
      <c r="B41" s="3075" t="s">
        <v>867</v>
      </c>
      <c r="C41" s="410"/>
      <c r="D41" s="410"/>
      <c r="E41" s="410"/>
      <c r="F41" s="410"/>
      <c r="G41" s="558">
        <f t="shared" si="1"/>
        <v>0</v>
      </c>
      <c r="H41" s="465"/>
      <c r="I41" s="465"/>
      <c r="J41" s="1382"/>
      <c r="K41" s="562"/>
      <c r="L41" s="10"/>
      <c r="M41" s="10"/>
      <c r="N41" s="10"/>
      <c r="O41" s="10"/>
    </row>
    <row r="42" spans="1:15">
      <c r="A42" s="436">
        <v>14</v>
      </c>
      <c r="B42" s="3075" t="s">
        <v>689</v>
      </c>
      <c r="C42" s="410"/>
      <c r="D42" s="410"/>
      <c r="E42" s="410"/>
      <c r="F42" s="410"/>
      <c r="G42" s="558">
        <f t="shared" si="1"/>
        <v>0</v>
      </c>
      <c r="H42" s="465"/>
      <c r="I42" s="465"/>
      <c r="J42" s="1382"/>
      <c r="K42" s="562"/>
      <c r="L42" s="10"/>
      <c r="M42" s="10"/>
      <c r="N42" s="10"/>
      <c r="O42" s="10"/>
    </row>
    <row r="43" spans="1:15">
      <c r="A43" s="436">
        <v>16</v>
      </c>
      <c r="B43" s="3075" t="s">
        <v>868</v>
      </c>
      <c r="C43" s="410"/>
      <c r="D43" s="410"/>
      <c r="E43" s="410"/>
      <c r="F43" s="410"/>
      <c r="G43" s="558">
        <f t="shared" si="1"/>
        <v>0</v>
      </c>
      <c r="H43" s="465"/>
      <c r="I43" s="465"/>
      <c r="J43" s="1382"/>
      <c r="K43" s="562"/>
      <c r="L43" s="10"/>
      <c r="M43" s="10"/>
      <c r="N43" s="10"/>
      <c r="O43" s="10"/>
    </row>
    <row r="44" spans="1:15">
      <c r="A44" s="436">
        <v>17</v>
      </c>
      <c r="B44" s="3076" t="s">
        <v>315</v>
      </c>
      <c r="C44" s="410"/>
      <c r="D44" s="410"/>
      <c r="E44" s="410"/>
      <c r="F44" s="410"/>
      <c r="G44" s="558">
        <f t="shared" si="1"/>
        <v>0</v>
      </c>
      <c r="H44" s="443"/>
      <c r="I44" s="443"/>
      <c r="J44" s="1382"/>
      <c r="K44" s="562"/>
      <c r="L44" s="10"/>
      <c r="M44" s="10"/>
      <c r="N44" s="10"/>
      <c r="O44" s="10"/>
    </row>
    <row r="45" spans="1:15">
      <c r="A45" s="436">
        <v>18</v>
      </c>
      <c r="B45" s="3075" t="s">
        <v>869</v>
      </c>
      <c r="C45" s="410"/>
      <c r="D45" s="410"/>
      <c r="E45" s="410"/>
      <c r="F45" s="410"/>
      <c r="G45" s="558">
        <f>SUM(C45:F45)</f>
        <v>0</v>
      </c>
      <c r="H45" s="465"/>
      <c r="I45" s="465"/>
      <c r="J45" s="1382"/>
      <c r="K45" s="562"/>
      <c r="L45" s="10"/>
      <c r="M45" s="10"/>
      <c r="N45" s="10"/>
      <c r="O45" s="10"/>
    </row>
    <row r="46" spans="1:15">
      <c r="A46" s="436">
        <v>19</v>
      </c>
      <c r="B46" s="3121" t="s">
        <v>846</v>
      </c>
      <c r="C46" s="410"/>
      <c r="D46" s="410"/>
      <c r="E46" s="410"/>
      <c r="F46" s="410"/>
      <c r="G46" s="558">
        <f t="shared" si="1"/>
        <v>0</v>
      </c>
      <c r="H46" s="605"/>
      <c r="I46" s="465"/>
      <c r="J46" s="1382"/>
      <c r="K46" s="562"/>
      <c r="L46" s="10"/>
      <c r="M46" s="10"/>
      <c r="N46" s="10"/>
      <c r="O46" s="10"/>
    </row>
    <row r="47" spans="1:15" s="313" customFormat="1" ht="15" customHeight="1">
      <c r="A47" s="1386"/>
      <c r="B47" s="1387"/>
      <c r="C47" s="1446" t="str">
        <f>IF(AND(G29&gt;MaxSSTax,K29=1),"Notify your employer that they withheld "&amp;TEXT(SUM(G29,-MaxSSTax),"$0.00")&amp;" too much Social Security Tax.","")</f>
        <v/>
      </c>
      <c r="D47" s="1387"/>
      <c r="E47" s="1387"/>
      <c r="F47" s="1387"/>
      <c r="G47" s="1387"/>
      <c r="H47" s="1387"/>
      <c r="I47" s="604"/>
      <c r="J47" s="1378"/>
      <c r="K47" s="556"/>
      <c r="L47" s="1388"/>
      <c r="M47" s="1388"/>
      <c r="N47" s="1388"/>
      <c r="O47" s="1388"/>
    </row>
    <row r="48" spans="1:15" ht="33" customHeight="1">
      <c r="A48" s="472"/>
      <c r="B48" s="1389" t="s">
        <v>796</v>
      </c>
      <c r="C48" s="1385" t="s">
        <v>796</v>
      </c>
      <c r="D48" s="1385"/>
      <c r="E48" s="1385"/>
      <c r="F48" s="1385"/>
      <c r="G48" s="1385"/>
      <c r="H48" s="1385"/>
      <c r="I48" s="604"/>
      <c r="J48" s="1378"/>
      <c r="K48" s="562"/>
      <c r="L48" s="1376"/>
      <c r="M48" s="1376"/>
      <c r="N48" s="1376"/>
      <c r="O48" s="1376"/>
    </row>
    <row r="49" spans="1:15" ht="18" customHeight="1">
      <c r="A49" s="1336" t="s">
        <v>251</v>
      </c>
      <c r="B49" s="557" t="s">
        <v>285</v>
      </c>
      <c r="C49" s="558">
        <f t="shared" ref="C49:C54" si="2">SUM(G3,G26)</f>
        <v>0</v>
      </c>
      <c r="D49" s="558"/>
      <c r="E49" s="558"/>
      <c r="F49" s="558"/>
      <c r="G49" s="558"/>
      <c r="H49" s="466"/>
      <c r="I49" s="466"/>
      <c r="J49" s="1383"/>
      <c r="K49" s="562"/>
      <c r="L49" s="1377"/>
      <c r="M49" s="1377"/>
      <c r="N49" s="1377"/>
      <c r="O49" s="1377"/>
    </row>
    <row r="50" spans="1:15">
      <c r="A50" s="436">
        <v>2</v>
      </c>
      <c r="B50" s="557" t="s">
        <v>286</v>
      </c>
      <c r="C50" s="558">
        <f t="shared" si="2"/>
        <v>0</v>
      </c>
      <c r="D50" s="558"/>
      <c r="E50" s="558"/>
      <c r="F50" s="558"/>
      <c r="G50" s="558"/>
      <c r="H50" s="466"/>
      <c r="I50" s="466"/>
      <c r="J50" s="1383"/>
      <c r="K50" s="559"/>
      <c r="L50" s="1377"/>
      <c r="M50" s="1377"/>
      <c r="N50" s="1377"/>
      <c r="O50" s="1377"/>
    </row>
    <row r="51" spans="1:15">
      <c r="A51" s="436">
        <v>3</v>
      </c>
      <c r="B51" s="3075" t="s">
        <v>525</v>
      </c>
      <c r="C51" s="558">
        <f t="shared" si="2"/>
        <v>0</v>
      </c>
      <c r="D51" s="558"/>
      <c r="E51" s="561"/>
      <c r="F51" s="558"/>
      <c r="G51" s="558"/>
      <c r="H51" s="465"/>
      <c r="I51" s="465"/>
      <c r="J51" s="1381"/>
      <c r="K51" s="562"/>
      <c r="L51" s="10"/>
      <c r="M51" s="10"/>
      <c r="N51" s="10"/>
      <c r="O51" s="10"/>
    </row>
    <row r="52" spans="1:15">
      <c r="A52" s="436">
        <v>4</v>
      </c>
      <c r="B52" s="3076" t="s">
        <v>526</v>
      </c>
      <c r="C52" s="558">
        <f t="shared" si="2"/>
        <v>0</v>
      </c>
      <c r="D52" s="558"/>
      <c r="E52" s="558"/>
      <c r="F52" s="558"/>
      <c r="G52" s="558"/>
      <c r="H52" s="465">
        <f>SUM(H6,H29)</f>
        <v>0</v>
      </c>
      <c r="I52" s="465"/>
      <c r="J52" s="1381"/>
      <c r="K52" s="562"/>
      <c r="L52" s="10"/>
      <c r="M52" s="10"/>
      <c r="N52" s="10"/>
      <c r="O52" s="10"/>
    </row>
    <row r="53" spans="1:15">
      <c r="A53" s="436">
        <v>5</v>
      </c>
      <c r="B53" s="3076" t="s">
        <v>527</v>
      </c>
      <c r="C53" s="558">
        <f t="shared" si="2"/>
        <v>0</v>
      </c>
      <c r="D53" s="558"/>
      <c r="E53" s="558"/>
      <c r="F53" s="558"/>
      <c r="G53" s="558"/>
      <c r="H53" s="465"/>
      <c r="I53" s="465"/>
      <c r="J53" s="1381"/>
      <c r="K53" s="562"/>
      <c r="L53" s="10"/>
      <c r="M53" s="10"/>
      <c r="N53" s="10"/>
      <c r="O53" s="10"/>
    </row>
    <row r="54" spans="1:15">
      <c r="A54" s="436">
        <v>6</v>
      </c>
      <c r="B54" s="3076" t="s">
        <v>528</v>
      </c>
      <c r="C54" s="558">
        <f t="shared" si="2"/>
        <v>0</v>
      </c>
      <c r="D54" s="558"/>
      <c r="E54" s="558"/>
      <c r="F54" s="558"/>
      <c r="G54" s="558"/>
      <c r="H54" s="465"/>
      <c r="I54" s="465"/>
      <c r="J54" s="3077" t="s">
        <v>1478</v>
      </c>
      <c r="K54" s="562"/>
      <c r="L54" s="10"/>
      <c r="M54" s="10"/>
      <c r="N54" s="10"/>
      <c r="O54" s="10"/>
    </row>
    <row r="55" spans="1:15">
      <c r="A55" s="436">
        <v>7</v>
      </c>
      <c r="B55" s="3075" t="s">
        <v>857</v>
      </c>
      <c r="C55" s="558">
        <f t="shared" ref="C55:C66" si="3">SUM(G9,G32)</f>
        <v>0</v>
      </c>
      <c r="D55" s="558"/>
      <c r="E55" s="558"/>
      <c r="F55" s="558"/>
      <c r="G55" s="558"/>
      <c r="H55" s="465"/>
      <c r="I55" s="465"/>
      <c r="J55" s="1382"/>
      <c r="K55" s="562"/>
      <c r="L55" s="10"/>
      <c r="M55" s="10"/>
      <c r="N55" s="10"/>
      <c r="O55" s="10"/>
    </row>
    <row r="56" spans="1:15">
      <c r="A56" s="436">
        <v>8</v>
      </c>
      <c r="B56" s="3075" t="s">
        <v>858</v>
      </c>
      <c r="C56" s="558">
        <f t="shared" si="3"/>
        <v>0</v>
      </c>
      <c r="D56" s="558"/>
      <c r="E56" s="558"/>
      <c r="F56" s="558"/>
      <c r="G56" s="558"/>
      <c r="H56" s="465"/>
      <c r="I56" s="465"/>
      <c r="J56" s="1382"/>
      <c r="K56" s="562"/>
      <c r="L56" s="10"/>
      <c r="M56" s="10"/>
      <c r="N56" s="10"/>
      <c r="O56" s="10"/>
    </row>
    <row r="57" spans="1:15">
      <c r="A57" s="436">
        <v>9</v>
      </c>
      <c r="B57" s="3075" t="s">
        <v>859</v>
      </c>
      <c r="C57" s="558">
        <f t="shared" si="3"/>
        <v>0</v>
      </c>
      <c r="D57" s="558"/>
      <c r="E57" s="558"/>
      <c r="F57" s="558"/>
      <c r="G57" s="558"/>
      <c r="H57" s="465"/>
      <c r="I57" s="465"/>
      <c r="J57" s="1382"/>
      <c r="K57" s="562"/>
      <c r="L57" s="10"/>
      <c r="M57" s="10"/>
      <c r="N57" s="10"/>
      <c r="O57" s="10"/>
    </row>
    <row r="58" spans="1:15">
      <c r="A58" s="436">
        <v>10</v>
      </c>
      <c r="B58" s="3075" t="s">
        <v>860</v>
      </c>
      <c r="C58" s="558">
        <f t="shared" si="3"/>
        <v>0</v>
      </c>
      <c r="D58" s="558"/>
      <c r="E58" s="558"/>
      <c r="F58" s="558"/>
      <c r="G58" s="558"/>
      <c r="H58" s="465"/>
      <c r="I58" s="465"/>
      <c r="J58" s="1382"/>
      <c r="K58" s="562"/>
      <c r="L58" s="10"/>
      <c r="M58" s="10"/>
      <c r="N58" s="10"/>
      <c r="O58" s="10"/>
    </row>
    <row r="59" spans="1:15">
      <c r="A59" s="436">
        <v>11</v>
      </c>
      <c r="B59" s="3075" t="s">
        <v>861</v>
      </c>
      <c r="C59" s="558">
        <f t="shared" si="3"/>
        <v>0</v>
      </c>
      <c r="D59" s="558"/>
      <c r="E59" s="558"/>
      <c r="F59" s="558"/>
      <c r="G59" s="558"/>
      <c r="H59" s="465"/>
      <c r="I59" s="465"/>
      <c r="J59" s="1382"/>
      <c r="K59" s="562"/>
      <c r="L59" s="10"/>
      <c r="M59" s="10"/>
      <c r="N59" s="10"/>
      <c r="O59" s="10"/>
    </row>
    <row r="60" spans="1:15">
      <c r="A60" s="436" t="s">
        <v>863</v>
      </c>
      <c r="B60" s="3075" t="s">
        <v>862</v>
      </c>
      <c r="C60" s="558">
        <f t="shared" si="3"/>
        <v>0</v>
      </c>
      <c r="D60" s="558"/>
      <c r="E60" s="558"/>
      <c r="F60" s="558"/>
      <c r="G60" s="558"/>
      <c r="H60" s="465"/>
      <c r="I60" s="465"/>
      <c r="J60" s="1382"/>
      <c r="K60" s="562"/>
      <c r="L60" s="10"/>
      <c r="M60" s="10"/>
      <c r="N60" s="10"/>
      <c r="O60" s="10"/>
    </row>
    <row r="61" spans="1:15">
      <c r="A61" s="436" t="s">
        <v>864</v>
      </c>
      <c r="B61" s="3075"/>
      <c r="C61" s="558">
        <f t="shared" si="3"/>
        <v>0</v>
      </c>
      <c r="D61" s="558"/>
      <c r="E61" s="558"/>
      <c r="F61" s="558"/>
      <c r="G61" s="558"/>
      <c r="H61" s="465"/>
      <c r="I61" s="465"/>
      <c r="J61" s="1382"/>
      <c r="K61" s="562"/>
      <c r="L61" s="10"/>
      <c r="M61" s="10"/>
      <c r="N61" s="10"/>
      <c r="O61" s="10"/>
    </row>
    <row r="62" spans="1:15">
      <c r="A62" s="436" t="s">
        <v>865</v>
      </c>
      <c r="B62" s="3075"/>
      <c r="C62" s="558">
        <f t="shared" si="3"/>
        <v>0</v>
      </c>
      <c r="D62" s="558"/>
      <c r="E62" s="558"/>
      <c r="F62" s="558"/>
      <c r="G62" s="558"/>
      <c r="H62" s="465"/>
      <c r="I62" s="465"/>
      <c r="J62" s="1382"/>
      <c r="K62" s="562"/>
      <c r="L62" s="10"/>
      <c r="M62" s="10"/>
      <c r="N62" s="10"/>
      <c r="O62" s="10"/>
    </row>
    <row r="63" spans="1:15">
      <c r="A63" s="436" t="s">
        <v>866</v>
      </c>
      <c r="B63" s="3075"/>
      <c r="C63" s="558">
        <f t="shared" si="3"/>
        <v>0</v>
      </c>
      <c r="D63" s="558"/>
      <c r="E63" s="558"/>
      <c r="F63" s="558"/>
      <c r="G63" s="558"/>
      <c r="H63" s="465"/>
      <c r="I63" s="465"/>
      <c r="J63" s="1382"/>
      <c r="K63" s="562"/>
      <c r="L63" s="10"/>
      <c r="M63" s="10"/>
      <c r="N63" s="10"/>
      <c r="O63" s="10"/>
    </row>
    <row r="64" spans="1:15">
      <c r="A64" s="436">
        <v>13</v>
      </c>
      <c r="B64" s="3075" t="s">
        <v>867</v>
      </c>
      <c r="C64" s="558">
        <f t="shared" si="3"/>
        <v>0</v>
      </c>
      <c r="D64" s="558"/>
      <c r="E64" s="558"/>
      <c r="F64" s="558"/>
      <c r="G64" s="558"/>
      <c r="H64" s="465"/>
      <c r="I64" s="465"/>
      <c r="J64" s="1382"/>
      <c r="K64" s="562"/>
      <c r="L64" s="10"/>
      <c r="M64" s="10"/>
      <c r="N64" s="10"/>
      <c r="O64" s="10"/>
    </row>
    <row r="65" spans="1:15">
      <c r="A65" s="436">
        <v>14</v>
      </c>
      <c r="B65" s="3075" t="s">
        <v>689</v>
      </c>
      <c r="C65" s="558">
        <f t="shared" si="3"/>
        <v>0</v>
      </c>
      <c r="D65" s="558"/>
      <c r="E65" s="558"/>
      <c r="F65" s="558"/>
      <c r="G65" s="558"/>
      <c r="H65" s="465"/>
      <c r="I65" s="465"/>
      <c r="J65" s="1382"/>
      <c r="K65" s="562"/>
      <c r="L65" s="10"/>
      <c r="M65" s="10"/>
      <c r="N65" s="10"/>
      <c r="O65" s="10"/>
    </row>
    <row r="66" spans="1:15">
      <c r="A66" s="436">
        <v>16</v>
      </c>
      <c r="B66" s="3075" t="s">
        <v>868</v>
      </c>
      <c r="C66" s="558">
        <f t="shared" si="3"/>
        <v>0</v>
      </c>
      <c r="D66" s="558"/>
      <c r="E66" s="558"/>
      <c r="F66" s="558"/>
      <c r="G66" s="558"/>
      <c r="H66" s="465"/>
      <c r="I66" s="465"/>
      <c r="J66" s="1382"/>
      <c r="K66" s="562"/>
      <c r="L66" s="10"/>
      <c r="M66" s="10"/>
      <c r="N66" s="10"/>
      <c r="O66" s="10"/>
    </row>
    <row r="67" spans="1:15">
      <c r="A67" s="436">
        <v>17</v>
      </c>
      <c r="B67" s="3076" t="s">
        <v>315</v>
      </c>
      <c r="C67" s="558">
        <f>SUM(G21,G44)</f>
        <v>0</v>
      </c>
      <c r="D67" s="558"/>
      <c r="E67" s="558"/>
      <c r="F67" s="558"/>
      <c r="G67" s="558"/>
      <c r="H67" s="465"/>
      <c r="I67" s="465"/>
      <c r="J67" s="1381"/>
      <c r="K67" s="562"/>
      <c r="L67" s="10"/>
      <c r="M67" s="10"/>
      <c r="N67" s="10"/>
      <c r="O67" s="10"/>
    </row>
    <row r="68" spans="1:15">
      <c r="A68" s="436">
        <v>18</v>
      </c>
      <c r="B68" s="3075" t="s">
        <v>869</v>
      </c>
      <c r="C68" s="558">
        <f>SUM(G22,G45)</f>
        <v>0</v>
      </c>
      <c r="D68" s="558"/>
      <c r="E68" s="558"/>
      <c r="F68" s="558"/>
      <c r="G68" s="558"/>
      <c r="H68" s="465"/>
      <c r="I68" s="465"/>
      <c r="J68" s="1381"/>
      <c r="K68" s="562"/>
      <c r="L68" s="10"/>
      <c r="M68" s="10"/>
      <c r="N68" s="10"/>
      <c r="O68" s="10"/>
    </row>
    <row r="69" spans="1:15">
      <c r="A69" s="436">
        <v>19</v>
      </c>
      <c r="B69" s="3121" t="s">
        <v>846</v>
      </c>
      <c r="C69" s="1539">
        <f>SUM(G23,G46)</f>
        <v>0</v>
      </c>
      <c r="D69" s="605"/>
      <c r="E69" s="605"/>
      <c r="F69" s="605"/>
      <c r="G69" s="605"/>
      <c r="H69" s="564"/>
      <c r="I69" s="443"/>
      <c r="J69" s="1382"/>
      <c r="K69" s="562"/>
      <c r="L69" s="10"/>
      <c r="M69" s="10"/>
      <c r="N69" s="10"/>
      <c r="O69" s="10"/>
    </row>
    <row r="70" spans="1:15" ht="26.25" customHeight="1">
      <c r="A70" s="472"/>
      <c r="B70" s="401"/>
      <c r="C70" s="401"/>
      <c r="D70" s="401"/>
      <c r="E70" s="401"/>
      <c r="F70" s="401"/>
      <c r="G70" s="401"/>
      <c r="H70" s="401"/>
    </row>
  </sheetData>
  <sheetProtection password="F07E" sheet="1" objects="1" scenarios="1"/>
  <phoneticPr fontId="12" type="noConversion"/>
  <conditionalFormatting sqref="C6:F6">
    <cfRule type="expression" dxfId="1078" priority="1" stopIfTrue="1">
      <formula>IF(AND($K$6=1,C6&gt;$J$6),1,0)</formula>
    </cfRule>
  </conditionalFormatting>
  <conditionalFormatting sqref="C29:F29">
    <cfRule type="expression" dxfId="1077" priority="2" stopIfTrue="1">
      <formula>IF(AND($K$29=1,C29&gt;$J$6),1,0)</formula>
    </cfRule>
  </conditionalFormatting>
  <printOptions gridLines="1" gridLinesSet="0"/>
  <pageMargins left="0.75" right="0.75" top="1" bottom="1" header="0.5" footer="0.5"/>
  <pageSetup scale="89" fitToHeight="0" orientation="landscape" horizontalDpi="360" verticalDpi="360" r:id="rId1"/>
  <headerFooter alignWithMargins="0">
    <oddHeader>&amp;A</oddHeader>
    <oddFooter>Page &amp;P</oddFooter>
  </headerFooter>
  <rowBreaks count="2" manualBreakCount="2">
    <brk id="23" min="1" max="7" man="1"/>
    <brk id="46" min="1" max="7"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83"/>
  <sheetViews>
    <sheetView zoomScaleNormal="100" workbookViewId="0">
      <selection activeCell="K14" sqref="K14"/>
    </sheetView>
  </sheetViews>
  <sheetFormatPr defaultRowHeight="12.75"/>
  <cols>
    <col min="1" max="1" width="2.42578125" style="68" customWidth="1"/>
    <col min="2" max="2" width="7.85546875" customWidth="1"/>
    <col min="3" max="3" width="3.140625" customWidth="1"/>
    <col min="4" max="4" width="9.7109375" customWidth="1"/>
    <col min="5" max="5" width="9.42578125" customWidth="1"/>
    <col min="6" max="6" width="20.85546875" customWidth="1"/>
    <col min="7" max="7" width="9.28515625" customWidth="1"/>
    <col min="8" max="9" width="4" customWidth="1"/>
    <col min="10" max="10" width="6.140625" customWidth="1"/>
    <col min="11" max="11" width="14.140625" customWidth="1"/>
    <col min="12" max="12" width="3.7109375" customWidth="1"/>
    <col min="13" max="13" width="14.140625" customWidth="1"/>
    <col min="14" max="14" width="2.5703125" customWidth="1"/>
    <col min="15" max="15" width="3.85546875" customWidth="1"/>
    <col min="16" max="16" width="14.5703125" customWidth="1"/>
    <col min="17" max="17" width="2.28515625" customWidth="1"/>
    <col min="18" max="18" width="10.28515625" style="978" customWidth="1"/>
    <col min="19" max="19" width="9.140625" style="1595" hidden="1" customWidth="1"/>
    <col min="20" max="20" width="2.5703125" hidden="1" customWidth="1"/>
    <col min="21" max="22" width="9.140625" hidden="1" customWidth="1"/>
  </cols>
  <sheetData>
    <row r="1" spans="1:22" ht="17.25" customHeight="1">
      <c r="A1" s="1542"/>
      <c r="B1" s="1540"/>
      <c r="C1" s="1540"/>
      <c r="D1" s="1540"/>
      <c r="E1" s="1540"/>
      <c r="F1" s="1540"/>
      <c r="G1" s="1540"/>
      <c r="H1" s="1540"/>
      <c r="I1" s="1540"/>
      <c r="J1" s="1540"/>
      <c r="K1" s="1540"/>
      <c r="L1" s="1541"/>
      <c r="M1" s="942"/>
      <c r="N1" s="942"/>
    </row>
    <row r="2" spans="1:22" ht="6" customHeight="1">
      <c r="A2" s="1543"/>
      <c r="B2" s="1465"/>
      <c r="C2" s="942"/>
      <c r="D2" s="942"/>
      <c r="E2" s="942"/>
      <c r="F2" s="942"/>
      <c r="G2" s="1404"/>
      <c r="H2" s="942"/>
      <c r="I2" s="942"/>
      <c r="J2" s="942"/>
      <c r="K2" s="1023"/>
      <c r="L2" s="1023"/>
      <c r="M2" s="1023"/>
      <c r="N2" s="1023"/>
      <c r="O2" s="401"/>
    </row>
    <row r="3" spans="1:22">
      <c r="A3" s="117"/>
      <c r="B3" s="37"/>
      <c r="C3" s="37"/>
      <c r="D3" s="140"/>
      <c r="E3" s="46"/>
      <c r="F3" s="37"/>
      <c r="G3" s="37"/>
      <c r="H3" s="37"/>
      <c r="I3" s="37"/>
      <c r="J3" s="37"/>
      <c r="K3" s="37"/>
      <c r="L3" s="4293" t="s">
        <v>146</v>
      </c>
      <c r="M3" s="4887"/>
      <c r="N3" s="1023"/>
      <c r="O3" s="1504"/>
    </row>
    <row r="4" spans="1:22" ht="20.25" customHeight="1">
      <c r="A4" s="117"/>
      <c r="B4" s="4840" t="s">
        <v>499</v>
      </c>
      <c r="C4" s="4875">
        <v>8959</v>
      </c>
      <c r="D4" s="4876"/>
      <c r="E4" s="4906" t="s">
        <v>1874</v>
      </c>
      <c r="F4" s="4907"/>
      <c r="G4" s="4907"/>
      <c r="H4" s="4907"/>
      <c r="I4" s="4907"/>
      <c r="J4" s="4907"/>
      <c r="K4" s="4908"/>
      <c r="L4" s="4182">
        <f>TaxYear</f>
        <v>2014</v>
      </c>
      <c r="M4" s="4888"/>
      <c r="N4" s="1059"/>
      <c r="O4" s="338"/>
      <c r="P4" s="38" t="s">
        <v>152</v>
      </c>
      <c r="Q4" s="423"/>
      <c r="R4" s="1402"/>
    </row>
    <row r="5" spans="1:22" ht="14.25" customHeight="1">
      <c r="A5" s="117"/>
      <c r="B5" s="4273"/>
      <c r="C5" s="4877"/>
      <c r="D5" s="4878"/>
      <c r="E5" s="5045" t="s">
        <v>1875</v>
      </c>
      <c r="F5" s="5046"/>
      <c r="G5" s="5046"/>
      <c r="H5" s="5046"/>
      <c r="I5" s="5046"/>
      <c r="J5" s="5046"/>
      <c r="K5" s="5047"/>
      <c r="L5" s="4889"/>
      <c r="M5" s="4890"/>
      <c r="N5" s="1060"/>
      <c r="O5" s="339"/>
      <c r="P5" s="38" t="s">
        <v>706</v>
      </c>
      <c r="Q5" s="371"/>
      <c r="R5" s="346"/>
    </row>
    <row r="6" spans="1:22" ht="12.75" customHeight="1">
      <c r="A6" s="117"/>
      <c r="B6" s="4913" t="s">
        <v>303</v>
      </c>
      <c r="C6" s="4914"/>
      <c r="D6" s="4915"/>
      <c r="E6" s="4897" t="s">
        <v>1876</v>
      </c>
      <c r="F6" s="4898"/>
      <c r="G6" s="4898"/>
      <c r="H6" s="4898"/>
      <c r="I6" s="4898"/>
      <c r="J6" s="4898"/>
      <c r="K6" s="4899"/>
      <c r="L6" s="4893" t="s">
        <v>517</v>
      </c>
      <c r="M6" s="4387"/>
      <c r="N6" s="1059"/>
      <c r="O6" s="338"/>
      <c r="P6" s="1080"/>
      <c r="Q6" s="371"/>
      <c r="R6" s="1305"/>
    </row>
    <row r="7" spans="1:22" ht="12.75" customHeight="1" thickBot="1">
      <c r="A7" s="117"/>
      <c r="B7" s="4916" t="s">
        <v>378</v>
      </c>
      <c r="C7" s="4917"/>
      <c r="D7" s="4918"/>
      <c r="E7" s="4894" t="s">
        <v>2338</v>
      </c>
      <c r="F7" s="4895"/>
      <c r="G7" s="4895"/>
      <c r="H7" s="4895"/>
      <c r="I7" s="4895"/>
      <c r="J7" s="4895"/>
      <c r="K7" s="4896"/>
      <c r="L7" s="4885" t="s">
        <v>1877</v>
      </c>
      <c r="M7" s="4886"/>
      <c r="N7" s="1060"/>
      <c r="O7" s="339"/>
      <c r="P7" s="1080"/>
      <c r="Q7" s="423"/>
      <c r="R7" s="1305"/>
    </row>
    <row r="8" spans="1:22" ht="11.25" customHeight="1">
      <c r="A8" s="117"/>
      <c r="B8" s="34" t="s">
        <v>100</v>
      </c>
      <c r="C8" s="231"/>
      <c r="D8" s="231"/>
      <c r="E8" s="196"/>
      <c r="F8" s="198"/>
      <c r="G8" s="212"/>
      <c r="H8" s="198"/>
      <c r="I8" s="198"/>
      <c r="J8" s="198"/>
      <c r="K8" s="4912" t="s">
        <v>151</v>
      </c>
      <c r="L8" s="4413"/>
      <c r="M8" s="4413"/>
      <c r="N8" s="1059"/>
      <c r="O8" s="338"/>
      <c r="P8" s="1080"/>
      <c r="Q8" s="423"/>
      <c r="R8" s="345"/>
    </row>
    <row r="9" spans="1:22" ht="14.25" customHeight="1">
      <c r="A9" s="117"/>
      <c r="B9" s="4879" t="str">
        <f>Names</f>
        <v/>
      </c>
      <c r="C9" s="4880"/>
      <c r="D9" s="4880"/>
      <c r="E9" s="4880"/>
      <c r="F9" s="4880"/>
      <c r="G9" s="4880"/>
      <c r="H9" s="4880"/>
      <c r="I9" s="4880"/>
      <c r="J9" s="4881"/>
      <c r="K9" s="4290">
        <f>SS_Yours</f>
        <v>0</v>
      </c>
      <c r="L9" s="4909"/>
      <c r="M9" s="4909"/>
      <c r="N9" s="1060"/>
      <c r="O9" s="339"/>
      <c r="P9" s="1080"/>
      <c r="Q9" s="423"/>
      <c r="R9" s="345"/>
    </row>
    <row r="10" spans="1:22" ht="15.75">
      <c r="A10" s="117"/>
      <c r="B10" s="1095" t="s">
        <v>558</v>
      </c>
      <c r="C10" s="5044" t="s">
        <v>1878</v>
      </c>
      <c r="D10" s="4891"/>
      <c r="E10" s="4892"/>
      <c r="F10" s="4892"/>
      <c r="G10" s="4892"/>
      <c r="H10" s="4892"/>
      <c r="I10" s="4892"/>
      <c r="J10" s="4892"/>
      <c r="K10" s="4892"/>
      <c r="L10" s="4892"/>
      <c r="M10" s="4892"/>
      <c r="N10" s="1061"/>
      <c r="O10" s="912"/>
      <c r="P10" s="1080"/>
      <c r="Q10" s="423"/>
      <c r="R10" s="11"/>
    </row>
    <row r="11" spans="1:22" s="1595" customFormat="1" ht="12" customHeight="1">
      <c r="A11" s="117"/>
      <c r="B11" s="246">
        <v>1</v>
      </c>
      <c r="C11" s="535" t="s">
        <v>1879</v>
      </c>
      <c r="D11" s="535"/>
      <c r="E11" s="3066"/>
      <c r="F11" s="3066"/>
      <c r="G11" s="308"/>
      <c r="H11" s="308"/>
      <c r="I11" s="308"/>
      <c r="J11" s="3072"/>
      <c r="K11" s="311"/>
      <c r="L11" s="301"/>
      <c r="M11" s="817"/>
      <c r="N11" s="1062"/>
      <c r="O11" s="2951"/>
      <c r="P11" s="931"/>
      <c r="Q11" s="651"/>
      <c r="R11" s="349"/>
      <c r="T11"/>
      <c r="U11"/>
      <c r="V11"/>
    </row>
    <row r="12" spans="1:22" s="1595" customFormat="1" ht="12" customHeight="1">
      <c r="A12" s="117"/>
      <c r="B12" s="246"/>
      <c r="C12" s="535" t="s">
        <v>1880</v>
      </c>
      <c r="D12" s="535"/>
      <c r="E12" s="3066"/>
      <c r="F12" s="3066"/>
      <c r="G12" s="308"/>
      <c r="H12" s="308"/>
      <c r="I12" s="308"/>
      <c r="J12" s="1079"/>
      <c r="K12" s="311"/>
      <c r="L12" s="301"/>
      <c r="M12" s="899"/>
      <c r="N12" s="1062"/>
      <c r="O12" s="2951"/>
      <c r="P12" s="931"/>
      <c r="Q12" s="651"/>
      <c r="R12" s="349"/>
      <c r="T12"/>
      <c r="U12"/>
      <c r="V12"/>
    </row>
    <row r="13" spans="1:22" ht="12" customHeight="1">
      <c r="A13" s="117"/>
      <c r="B13" s="311"/>
      <c r="C13" s="535" t="s">
        <v>985</v>
      </c>
      <c r="D13" s="3065"/>
      <c r="E13" s="3066"/>
      <c r="F13" s="3066"/>
      <c r="G13" s="308"/>
      <c r="H13" s="311"/>
      <c r="I13" s="246" t="s">
        <v>1061</v>
      </c>
      <c r="J13" s="905">
        <f>B11</f>
        <v>1</v>
      </c>
      <c r="K13" s="3018">
        <f>IF(P13&lt;&gt;"",P13,MedCare_wages)</f>
        <v>0</v>
      </c>
      <c r="L13" s="1084"/>
      <c r="M13" s="818"/>
      <c r="N13" s="1063"/>
      <c r="O13" s="343"/>
      <c r="P13" s="676"/>
      <c r="Q13" s="60"/>
      <c r="R13" s="314"/>
    </row>
    <row r="14" spans="1:22" ht="12" customHeight="1">
      <c r="A14" s="117"/>
      <c r="B14" s="311">
        <v>2</v>
      </c>
      <c r="C14" s="535" t="s">
        <v>1881</v>
      </c>
      <c r="D14" s="3065"/>
      <c r="E14" s="3066"/>
      <c r="F14" s="3066"/>
      <c r="G14" s="308"/>
      <c r="H14" s="311"/>
      <c r="I14" s="246" t="s">
        <v>269</v>
      </c>
      <c r="J14" s="905">
        <f>B14</f>
        <v>2</v>
      </c>
      <c r="K14" s="3019"/>
      <c r="L14" s="1084"/>
      <c r="M14" s="818"/>
      <c r="N14" s="1063"/>
      <c r="O14" s="343"/>
      <c r="P14" s="931"/>
      <c r="Q14" s="60"/>
      <c r="R14" s="314"/>
    </row>
    <row r="15" spans="1:22" ht="12" customHeight="1">
      <c r="A15" s="117"/>
      <c r="B15" s="311">
        <v>3</v>
      </c>
      <c r="C15" s="535" t="s">
        <v>1883</v>
      </c>
      <c r="D15" s="3065"/>
      <c r="E15" s="3066"/>
      <c r="F15" s="3066"/>
      <c r="G15" s="308"/>
      <c r="H15" s="311"/>
      <c r="I15" s="246" t="s">
        <v>1882</v>
      </c>
      <c r="J15" s="905">
        <f>B15</f>
        <v>3</v>
      </c>
      <c r="K15" s="3019"/>
      <c r="L15" s="1084"/>
      <c r="M15" s="818"/>
      <c r="N15" s="1063"/>
      <c r="O15" s="343"/>
      <c r="P15" s="898"/>
      <c r="Q15" s="60"/>
      <c r="R15" s="314"/>
    </row>
    <row r="16" spans="1:22" ht="12" customHeight="1">
      <c r="A16" s="117"/>
      <c r="B16" s="311">
        <v>4</v>
      </c>
      <c r="C16" s="535" t="s">
        <v>1884</v>
      </c>
      <c r="D16" s="3065"/>
      <c r="E16" s="3066"/>
      <c r="F16" s="3066"/>
      <c r="G16" s="308"/>
      <c r="H16" s="311"/>
      <c r="I16" s="246" t="s">
        <v>775</v>
      </c>
      <c r="J16" s="905">
        <f>B16</f>
        <v>4</v>
      </c>
      <c r="K16" s="3018">
        <f>SUM(K13:K15)</f>
        <v>0</v>
      </c>
      <c r="L16" s="1084"/>
      <c r="M16" s="818"/>
      <c r="N16" s="1063"/>
      <c r="O16" s="343"/>
      <c r="P16" s="898"/>
      <c r="Q16" s="60"/>
      <c r="R16" s="314"/>
    </row>
    <row r="17" spans="1:22" s="1595" customFormat="1" ht="12" customHeight="1">
      <c r="A17" s="117"/>
      <c r="B17" s="246">
        <v>5</v>
      </c>
      <c r="C17" s="535" t="s">
        <v>1885</v>
      </c>
      <c r="D17" s="535"/>
      <c r="E17" s="3066"/>
      <c r="F17" s="3066"/>
      <c r="G17" s="308"/>
      <c r="H17" s="308"/>
      <c r="I17" s="308"/>
      <c r="J17" s="3072"/>
      <c r="K17" s="311"/>
      <c r="L17" s="301"/>
      <c r="M17" s="818"/>
      <c r="N17" s="1062"/>
      <c r="O17" s="2951"/>
      <c r="P17" s="898"/>
      <c r="Q17" s="651"/>
      <c r="R17" s="349"/>
      <c r="T17"/>
      <c r="U17"/>
      <c r="V17"/>
    </row>
    <row r="18" spans="1:22" s="1595" customFormat="1" ht="12" customHeight="1">
      <c r="A18" s="117"/>
      <c r="B18" s="246"/>
      <c r="C18" s="535" t="s">
        <v>794</v>
      </c>
      <c r="D18" s="535"/>
      <c r="E18" s="3066"/>
      <c r="F18" s="246" t="s">
        <v>1063</v>
      </c>
      <c r="G18" s="3070">
        <v>250000</v>
      </c>
      <c r="H18" s="308"/>
      <c r="I18" s="308"/>
      <c r="J18" s="1079"/>
      <c r="K18" s="311"/>
      <c r="L18" s="301"/>
      <c r="M18" s="818"/>
      <c r="N18" s="1062"/>
      <c r="O18" s="2951"/>
      <c r="P18" s="898"/>
      <c r="Q18" s="651"/>
      <c r="R18" s="349"/>
      <c r="T18"/>
      <c r="U18"/>
      <c r="V18"/>
    </row>
    <row r="19" spans="1:22" s="1595" customFormat="1" ht="12" customHeight="1">
      <c r="A19" s="117"/>
      <c r="B19" s="246"/>
      <c r="C19" s="535" t="s">
        <v>462</v>
      </c>
      <c r="D19" s="535"/>
      <c r="E19" s="3066"/>
      <c r="F19" s="246" t="s">
        <v>1042</v>
      </c>
      <c r="G19" s="3070">
        <v>125000</v>
      </c>
      <c r="H19" s="308"/>
      <c r="I19" s="308"/>
      <c r="J19" s="1079"/>
      <c r="K19" s="311"/>
      <c r="L19" s="301"/>
      <c r="M19" s="899"/>
      <c r="N19" s="1062"/>
      <c r="O19" s="2951"/>
      <c r="P19" s="898"/>
      <c r="Q19" s="651"/>
      <c r="R19" s="349"/>
      <c r="T19"/>
      <c r="U19"/>
      <c r="V19"/>
    </row>
    <row r="20" spans="1:22" ht="12" customHeight="1">
      <c r="A20" s="117"/>
      <c r="B20" s="311"/>
      <c r="C20" s="535" t="s">
        <v>1886</v>
      </c>
      <c r="D20" s="3065"/>
      <c r="E20" s="3066"/>
      <c r="F20" s="3066"/>
      <c r="G20" s="3070">
        <v>200000</v>
      </c>
      <c r="H20" s="311"/>
      <c r="I20" s="246"/>
      <c r="J20" s="905">
        <f>B17</f>
        <v>5</v>
      </c>
      <c r="K20" s="3018" t="str">
        <f>IF(M20="---","Filing Status?",M20)</f>
        <v>Filing Status?</v>
      </c>
      <c r="L20" s="1084"/>
      <c r="M20" s="3120" t="str">
        <f>IF(File_Marr_Joint&lt;&gt;"",G18,IF(File_Marr_Sep&lt;&gt;"",G19,IF(OR(File_Single&lt;&gt;"",File_Head&lt;&gt;"",File_Qual_Widow&lt;&gt;""),G20,"---")))</f>
        <v>---</v>
      </c>
      <c r="N20" s="1063"/>
      <c r="O20" s="343"/>
      <c r="P20" s="898"/>
      <c r="Q20" s="60"/>
      <c r="R20" s="314"/>
    </row>
    <row r="21" spans="1:22" ht="12.75" customHeight="1">
      <c r="A21" s="117"/>
      <c r="B21" s="246">
        <v>6</v>
      </c>
      <c r="C21" s="535" t="s">
        <v>1887</v>
      </c>
      <c r="D21" s="535"/>
      <c r="E21" s="3066"/>
      <c r="F21" s="3066"/>
      <c r="G21" s="308"/>
      <c r="H21" s="308"/>
      <c r="I21" s="308"/>
      <c r="J21" s="308"/>
      <c r="K21" s="880"/>
      <c r="L21" s="333">
        <f>B21</f>
        <v>6</v>
      </c>
      <c r="M21" s="3018" t="str">
        <f>IF(M20="---","",IF(K20&gt;=K16,0,SUM(K16,-K20)))</f>
        <v/>
      </c>
      <c r="N21" s="1063"/>
      <c r="O21" s="343"/>
      <c r="P21" s="898"/>
      <c r="Q21" s="651"/>
      <c r="R21" s="349"/>
    </row>
    <row r="22" spans="1:22" s="1595" customFormat="1" ht="12" customHeight="1">
      <c r="A22" s="117"/>
      <c r="B22" s="246">
        <v>7</v>
      </c>
      <c r="C22" s="535" t="str">
        <f>"Additional Medicare Tax on Medicare wages. Multiply line 6 by "&amp;TEXT(M22,"0.0%")&amp;" ("&amp;TEXT(M22,".000")&amp;"). Enter here and"</f>
        <v>Additional Medicare Tax on Medicare wages. Multiply line 6 by 0.9% (.009). Enter here and</v>
      </c>
      <c r="D22" s="535"/>
      <c r="E22" s="3066"/>
      <c r="F22" s="3066"/>
      <c r="G22" s="308"/>
      <c r="H22" s="308"/>
      <c r="I22" s="308"/>
      <c r="J22" s="308"/>
      <c r="K22" s="311"/>
      <c r="L22" s="301"/>
      <c r="M22" s="3071">
        <v>8.9999999999999993E-3</v>
      </c>
      <c r="N22" s="1062"/>
      <c r="O22" s="2951"/>
      <c r="P22" s="898"/>
      <c r="Q22" s="651"/>
      <c r="R22" s="349"/>
      <c r="T22"/>
      <c r="U22"/>
      <c r="V22"/>
    </row>
    <row r="23" spans="1:22" ht="11.25" customHeight="1">
      <c r="A23" s="117"/>
      <c r="B23" s="246"/>
      <c r="C23" s="535" t="s">
        <v>1888</v>
      </c>
      <c r="D23" s="3065"/>
      <c r="E23" s="3066"/>
      <c r="F23" s="3066"/>
      <c r="G23" s="308"/>
      <c r="H23" s="308"/>
      <c r="I23" s="308"/>
      <c r="J23" s="308"/>
      <c r="K23" s="880" t="s">
        <v>1223</v>
      </c>
      <c r="L23" s="301">
        <f>B22</f>
        <v>7</v>
      </c>
      <c r="M23" s="3018" t="str">
        <f>IF(M20="---","",ROUND(M21*M22,0))</f>
        <v/>
      </c>
      <c r="N23" s="1063"/>
      <c r="O23" s="344"/>
      <c r="P23" s="676"/>
      <c r="Q23" s="651"/>
      <c r="R23" s="941"/>
    </row>
    <row r="24" spans="1:22" s="1595" customFormat="1" ht="15.75" customHeight="1">
      <c r="A24" s="117"/>
      <c r="B24" s="914" t="s">
        <v>197</v>
      </c>
      <c r="C24" s="5043" t="s">
        <v>1889</v>
      </c>
      <c r="D24" s="4910"/>
      <c r="E24" s="4911"/>
      <c r="F24" s="4911"/>
      <c r="G24" s="4911"/>
      <c r="H24" s="4911"/>
      <c r="I24" s="4911"/>
      <c r="J24" s="4911"/>
      <c r="K24" s="4911"/>
      <c r="L24" s="4911"/>
      <c r="M24" s="4911"/>
      <c r="N24" s="1064"/>
      <c r="O24" s="915"/>
      <c r="P24" s="898"/>
      <c r="Q24" s="609"/>
      <c r="R24" s="928"/>
      <c r="T24"/>
      <c r="U24"/>
      <c r="V24"/>
    </row>
    <row r="25" spans="1:22" s="1595" customFormat="1" ht="12" customHeight="1">
      <c r="A25" s="117"/>
      <c r="B25" s="246">
        <v>8</v>
      </c>
      <c r="C25" s="535" t="s">
        <v>1890</v>
      </c>
      <c r="D25" s="535"/>
      <c r="E25" s="3066"/>
      <c r="F25" s="3066"/>
      <c r="G25" s="308"/>
      <c r="H25" s="308"/>
      <c r="I25" s="308"/>
      <c r="J25" s="3072"/>
      <c r="K25" s="311"/>
      <c r="L25" s="301"/>
      <c r="M25" s="817"/>
      <c r="N25" s="1062"/>
      <c r="O25" s="2951"/>
      <c r="P25" s="898"/>
      <c r="Q25" s="651"/>
      <c r="R25" s="349"/>
      <c r="T25"/>
      <c r="U25"/>
      <c r="V25"/>
    </row>
    <row r="26" spans="1:22" s="1595" customFormat="1" ht="12" customHeight="1">
      <c r="A26" s="117"/>
      <c r="B26" s="246"/>
      <c r="C26" s="535" t="s">
        <v>1891</v>
      </c>
      <c r="D26" s="535"/>
      <c r="E26" s="3066"/>
      <c r="F26" s="3066"/>
      <c r="G26" s="308"/>
      <c r="H26" s="308"/>
      <c r="I26" s="308"/>
      <c r="J26" s="1079"/>
      <c r="K26" s="311"/>
      <c r="L26" s="301"/>
      <c r="M26" s="899"/>
      <c r="N26" s="1062"/>
      <c r="O26" s="2951"/>
      <c r="P26" s="898"/>
      <c r="Q26" s="651"/>
      <c r="R26" s="349"/>
      <c r="T26"/>
      <c r="U26"/>
      <c r="V26"/>
    </row>
    <row r="27" spans="1:22" ht="12" customHeight="1">
      <c r="A27" s="117"/>
      <c r="B27" s="311"/>
      <c r="C27" s="3073" t="s">
        <v>1892</v>
      </c>
      <c r="D27" s="3065"/>
      <c r="E27" s="3066"/>
      <c r="F27" s="3066"/>
      <c r="G27" s="308"/>
      <c r="H27" s="311"/>
      <c r="I27" s="246" t="s">
        <v>1893</v>
      </c>
      <c r="J27" s="905">
        <f>B25</f>
        <v>8</v>
      </c>
      <c r="K27" s="3018" t="str">
        <f>IF(P27&lt;&gt;"",P27,IF('Sch. SE'!C43&lt;&gt;"",'Sch. SE'!V59,IF('Sch. SE'!P43&lt;&gt;"",'Sch. SE'!V98,"")))</f>
        <v/>
      </c>
      <c r="L27" s="1084"/>
      <c r="M27" s="818"/>
      <c r="N27" s="1063"/>
      <c r="O27" s="343"/>
      <c r="P27" s="676"/>
      <c r="Q27" s="60"/>
      <c r="R27" s="314"/>
    </row>
    <row r="28" spans="1:22" s="1595" customFormat="1" ht="12" customHeight="1">
      <c r="A28" s="117"/>
      <c r="B28" s="246">
        <v>9</v>
      </c>
      <c r="C28" s="535" t="s">
        <v>1885</v>
      </c>
      <c r="D28" s="535"/>
      <c r="E28" s="3066"/>
      <c r="F28" s="3066"/>
      <c r="G28" s="308"/>
      <c r="H28" s="308"/>
      <c r="I28" s="308"/>
      <c r="J28" s="3072"/>
      <c r="K28" s="311"/>
      <c r="L28" s="301"/>
      <c r="M28" s="818"/>
      <c r="N28" s="1062"/>
      <c r="O28" s="2951"/>
      <c r="P28" s="898"/>
      <c r="Q28" s="651"/>
      <c r="R28" s="349"/>
      <c r="T28"/>
      <c r="U28"/>
      <c r="V28"/>
    </row>
    <row r="29" spans="1:22" s="1595" customFormat="1" ht="12" customHeight="1">
      <c r="A29" s="117"/>
      <c r="B29" s="246"/>
      <c r="C29" s="535" t="s">
        <v>794</v>
      </c>
      <c r="D29" s="535"/>
      <c r="E29" s="3066"/>
      <c r="F29" s="246" t="s">
        <v>1063</v>
      </c>
      <c r="G29" s="3070">
        <v>250000</v>
      </c>
      <c r="H29" s="308"/>
      <c r="I29" s="308"/>
      <c r="J29" s="1079"/>
      <c r="K29" s="311"/>
      <c r="L29" s="301"/>
      <c r="M29" s="818"/>
      <c r="N29" s="1062"/>
      <c r="O29" s="2951"/>
      <c r="P29" s="898"/>
      <c r="Q29" s="651"/>
      <c r="R29" s="349"/>
      <c r="T29"/>
      <c r="U29"/>
      <c r="V29"/>
    </row>
    <row r="30" spans="1:22" s="1595" customFormat="1" ht="12" customHeight="1">
      <c r="A30" s="117"/>
      <c r="B30" s="246"/>
      <c r="C30" s="535" t="s">
        <v>462</v>
      </c>
      <c r="D30" s="535"/>
      <c r="E30" s="3066"/>
      <c r="F30" s="246" t="s">
        <v>1042</v>
      </c>
      <c r="G30" s="3070">
        <v>125000</v>
      </c>
      <c r="H30" s="308"/>
      <c r="I30" s="308"/>
      <c r="J30" s="1079"/>
      <c r="K30" s="311"/>
      <c r="L30" s="301"/>
      <c r="M30" s="899"/>
      <c r="N30" s="1062"/>
      <c r="O30" s="2951"/>
      <c r="P30" s="898"/>
      <c r="Q30" s="651"/>
      <c r="R30" s="349"/>
      <c r="T30"/>
      <c r="U30"/>
      <c r="V30"/>
    </row>
    <row r="31" spans="1:22" ht="12" customHeight="1">
      <c r="A31" s="117"/>
      <c r="B31" s="311"/>
      <c r="C31" s="535" t="s">
        <v>1886</v>
      </c>
      <c r="D31" s="3065"/>
      <c r="E31" s="3066"/>
      <c r="F31" s="3066"/>
      <c r="G31" s="3070">
        <v>200000</v>
      </c>
      <c r="H31" s="311"/>
      <c r="I31" s="246"/>
      <c r="J31" s="905">
        <f>B28</f>
        <v>9</v>
      </c>
      <c r="K31" s="3018" t="str">
        <f>IF(M31="---","Filing Status?",M31)</f>
        <v>Filing Status?</v>
      </c>
      <c r="L31" s="1084"/>
      <c r="M31" s="3120" t="str">
        <f>IF(File_Marr_Joint&lt;&gt;"",G29,IF(File_Marr_Sep&lt;&gt;"",G30,IF(OR(File_Single&lt;&gt;"",File_Head&lt;&gt;"",File_Qual_Widow&lt;&gt;""),G31,"---")))</f>
        <v>---</v>
      </c>
      <c r="N31" s="1063"/>
      <c r="O31" s="343"/>
      <c r="P31" s="898"/>
      <c r="Q31" s="60"/>
      <c r="R31" s="314"/>
    </row>
    <row r="32" spans="1:22" ht="12" customHeight="1">
      <c r="A32" s="117"/>
      <c r="B32" s="311">
        <v>10</v>
      </c>
      <c r="C32" s="535" t="s">
        <v>1894</v>
      </c>
      <c r="D32" s="3065"/>
      <c r="E32" s="3066"/>
      <c r="F32" s="3066"/>
      <c r="G32" s="308"/>
      <c r="H32" s="311"/>
      <c r="I32" s="246" t="s">
        <v>1774</v>
      </c>
      <c r="J32" s="905">
        <f>B32</f>
        <v>10</v>
      </c>
      <c r="K32" s="3018" t="str">
        <f>IF(M31="---","",K16)</f>
        <v/>
      </c>
      <c r="L32" s="1084"/>
      <c r="M32" s="818"/>
      <c r="N32" s="1063"/>
      <c r="O32" s="343"/>
      <c r="P32" s="898"/>
      <c r="Q32" s="60"/>
      <c r="R32" s="314"/>
    </row>
    <row r="33" spans="1:22" ht="12" customHeight="1">
      <c r="A33" s="117"/>
      <c r="B33" s="311">
        <v>11</v>
      </c>
      <c r="C33" s="535" t="s">
        <v>1895</v>
      </c>
      <c r="D33" s="3065"/>
      <c r="E33" s="3066"/>
      <c r="F33" s="3066"/>
      <c r="G33" s="308"/>
      <c r="H33" s="311"/>
      <c r="I33" s="246" t="s">
        <v>1203</v>
      </c>
      <c r="J33" s="905">
        <f>B33</f>
        <v>11</v>
      </c>
      <c r="K33" s="3018" t="str">
        <f>IF(K27="","",IF(K32&gt;=K31,0,SUM(K31,-K32)))</f>
        <v/>
      </c>
      <c r="L33" s="1084"/>
      <c r="M33" s="818"/>
      <c r="N33" s="1063"/>
      <c r="O33" s="343"/>
      <c r="P33" s="898"/>
      <c r="Q33" s="60"/>
      <c r="R33" s="314"/>
    </row>
    <row r="34" spans="1:22" ht="12.75" customHeight="1">
      <c r="A34" s="117"/>
      <c r="B34" s="246">
        <v>12</v>
      </c>
      <c r="C34" s="535" t="s">
        <v>1896</v>
      </c>
      <c r="D34" s="535"/>
      <c r="E34" s="3066"/>
      <c r="F34" s="3066"/>
      <c r="G34" s="308"/>
      <c r="H34" s="308"/>
      <c r="I34" s="308"/>
      <c r="J34" s="308"/>
      <c r="K34" s="880"/>
      <c r="L34" s="333">
        <f>B34</f>
        <v>12</v>
      </c>
      <c r="M34" s="3018" t="str">
        <f>IF(M31="---","",IF(OR(K27="",K33&gt;=K27),0,SUM(K27,-K33)))</f>
        <v/>
      </c>
      <c r="N34" s="1063"/>
      <c r="O34" s="343"/>
      <c r="P34" s="898"/>
      <c r="Q34" s="651"/>
      <c r="R34" s="349"/>
    </row>
    <row r="35" spans="1:22" s="1595" customFormat="1" ht="12" customHeight="1">
      <c r="A35" s="117"/>
      <c r="B35" s="246">
        <v>13</v>
      </c>
      <c r="C35" s="535" t="str">
        <f>"Additional Medicare Tax on self-employment income. Multiply line 12 by "&amp;TEXT(M35,"0.0%")&amp;" ("&amp;TEXT(M35,".000")&amp;"). Enter here and"</f>
        <v>Additional Medicare Tax on self-employment income. Multiply line 12 by 0.9% (.009). Enter here and</v>
      </c>
      <c r="D35" s="535"/>
      <c r="E35" s="3066"/>
      <c r="F35" s="3066"/>
      <c r="G35" s="308"/>
      <c r="H35" s="308"/>
      <c r="I35" s="308"/>
      <c r="J35" s="308"/>
      <c r="K35" s="311"/>
      <c r="L35" s="301"/>
      <c r="M35" s="3071">
        <v>8.9999999999999993E-3</v>
      </c>
      <c r="N35" s="1062"/>
      <c r="O35" s="2951"/>
      <c r="P35" s="898"/>
      <c r="Q35" s="651"/>
      <c r="R35" s="349"/>
      <c r="T35"/>
      <c r="U35"/>
      <c r="V35"/>
    </row>
    <row r="36" spans="1:22" ht="12.75" customHeight="1">
      <c r="A36" s="117"/>
      <c r="B36" s="246"/>
      <c r="C36" s="535" t="s">
        <v>1897</v>
      </c>
      <c r="D36" s="3065"/>
      <c r="E36" s="3066"/>
      <c r="F36" s="3066"/>
      <c r="G36" s="308"/>
      <c r="H36" s="308"/>
      <c r="I36" s="308"/>
      <c r="J36" s="308"/>
      <c r="K36" s="2659" t="s">
        <v>514</v>
      </c>
      <c r="L36" s="301">
        <f>B35</f>
        <v>13</v>
      </c>
      <c r="M36" s="3018" t="str">
        <f>IF(M31="---","",IF(P36&lt;&gt;"",P36,ROUND(M34*M35,0)))</f>
        <v/>
      </c>
      <c r="N36" s="1063"/>
      <c r="O36" s="344"/>
      <c r="P36" s="676"/>
      <c r="Q36" s="651"/>
      <c r="R36" s="941"/>
    </row>
    <row r="37" spans="1:22" s="1595" customFormat="1" ht="15.75" customHeight="1">
      <c r="A37" s="117"/>
      <c r="B37" s="914" t="s">
        <v>546</v>
      </c>
      <c r="C37" s="5043" t="s">
        <v>1898</v>
      </c>
      <c r="D37" s="4910"/>
      <c r="E37" s="4911"/>
      <c r="F37" s="4911"/>
      <c r="G37" s="4911"/>
      <c r="H37" s="4911"/>
      <c r="I37" s="4911"/>
      <c r="J37" s="4911"/>
      <c r="K37" s="4911"/>
      <c r="L37" s="4911"/>
      <c r="M37" s="4911"/>
      <c r="N37" s="1064"/>
      <c r="O37" s="915"/>
      <c r="P37" s="898"/>
      <c r="Q37" s="609"/>
      <c r="R37" s="928"/>
      <c r="T37"/>
      <c r="U37"/>
      <c r="V37"/>
    </row>
    <row r="38" spans="1:22" s="1595" customFormat="1" ht="12" customHeight="1">
      <c r="A38" s="117"/>
      <c r="B38" s="246">
        <v>14</v>
      </c>
      <c r="C38" s="535" t="s">
        <v>1899</v>
      </c>
      <c r="D38" s="535"/>
      <c r="E38" s="3066"/>
      <c r="F38" s="3066"/>
      <c r="G38" s="308"/>
      <c r="H38" s="308"/>
      <c r="I38" s="308"/>
      <c r="J38" s="3072"/>
      <c r="K38" s="311"/>
      <c r="L38" s="301"/>
      <c r="M38" s="817"/>
      <c r="N38" s="1062"/>
      <c r="O38" s="2951"/>
      <c r="P38" s="898"/>
      <c r="Q38" s="651"/>
      <c r="R38" s="349"/>
      <c r="T38"/>
      <c r="U38"/>
      <c r="V38"/>
    </row>
    <row r="39" spans="1:22" ht="12" customHeight="1">
      <c r="A39" s="117"/>
      <c r="B39" s="311"/>
      <c r="C39" s="3073" t="s">
        <v>1900</v>
      </c>
      <c r="D39" s="3065"/>
      <c r="E39" s="3066"/>
      <c r="F39" s="3066"/>
      <c r="G39" s="308"/>
      <c r="H39" s="311"/>
      <c r="I39" s="246" t="s">
        <v>1893</v>
      </c>
      <c r="J39" s="905">
        <f>B38</f>
        <v>14</v>
      </c>
      <c r="K39" s="3019"/>
      <c r="L39" s="1084"/>
      <c r="M39" s="818"/>
      <c r="N39" s="1063"/>
      <c r="O39" s="343"/>
      <c r="P39" s="898"/>
      <c r="Q39" s="60"/>
      <c r="R39" s="314"/>
    </row>
    <row r="40" spans="1:22" s="1595" customFormat="1" ht="12" customHeight="1">
      <c r="A40" s="117"/>
      <c r="B40" s="246">
        <v>15</v>
      </c>
      <c r="C40" s="535" t="s">
        <v>1885</v>
      </c>
      <c r="D40" s="535"/>
      <c r="E40" s="3066"/>
      <c r="F40" s="3066"/>
      <c r="G40" s="308"/>
      <c r="H40" s="308"/>
      <c r="I40" s="308"/>
      <c r="J40" s="3072"/>
      <c r="K40" s="311"/>
      <c r="L40" s="301"/>
      <c r="M40" s="818"/>
      <c r="N40" s="1062"/>
      <c r="O40" s="2951"/>
      <c r="P40" s="898"/>
      <c r="Q40" s="651"/>
      <c r="R40" s="349"/>
      <c r="T40"/>
      <c r="U40"/>
      <c r="V40"/>
    </row>
    <row r="41" spans="1:22" s="1595" customFormat="1" ht="12" customHeight="1">
      <c r="A41" s="117"/>
      <c r="B41" s="246"/>
      <c r="C41" s="535" t="s">
        <v>794</v>
      </c>
      <c r="D41" s="535"/>
      <c r="E41" s="3066"/>
      <c r="F41" s="246" t="s">
        <v>1063</v>
      </c>
      <c r="G41" s="3070">
        <v>250000</v>
      </c>
      <c r="H41" s="308"/>
      <c r="I41" s="308"/>
      <c r="J41" s="1079"/>
      <c r="K41" s="311"/>
      <c r="L41" s="301"/>
      <c r="M41" s="818"/>
      <c r="N41" s="1062"/>
      <c r="O41" s="2951"/>
      <c r="P41" s="898"/>
      <c r="Q41" s="651"/>
      <c r="R41" s="349"/>
      <c r="T41"/>
      <c r="U41"/>
      <c r="V41"/>
    </row>
    <row r="42" spans="1:22" s="1595" customFormat="1" ht="12" customHeight="1">
      <c r="A42" s="117"/>
      <c r="B42" s="246"/>
      <c r="C42" s="535" t="s">
        <v>462</v>
      </c>
      <c r="D42" s="535"/>
      <c r="E42" s="3066"/>
      <c r="F42" s="246" t="s">
        <v>1042</v>
      </c>
      <c r="G42" s="3070">
        <v>125000</v>
      </c>
      <c r="H42" s="308"/>
      <c r="I42" s="308"/>
      <c r="J42" s="1079"/>
      <c r="K42" s="311"/>
      <c r="L42" s="301"/>
      <c r="M42" s="899"/>
      <c r="N42" s="1062"/>
      <c r="O42" s="2951"/>
      <c r="P42" s="898"/>
      <c r="Q42" s="651"/>
      <c r="R42" s="349"/>
      <c r="T42"/>
      <c r="U42"/>
      <c r="V42"/>
    </row>
    <row r="43" spans="1:22" ht="12" customHeight="1">
      <c r="A43" s="117"/>
      <c r="B43" s="311"/>
      <c r="C43" s="535" t="s">
        <v>1886</v>
      </c>
      <c r="D43" s="3065"/>
      <c r="E43" s="3066"/>
      <c r="F43" s="3066"/>
      <c r="G43" s="3070">
        <v>200000</v>
      </c>
      <c r="H43" s="311"/>
      <c r="I43" s="246"/>
      <c r="J43" s="905">
        <f>B40</f>
        <v>15</v>
      </c>
      <c r="K43" s="3018" t="str">
        <f>IF(M43="---","Filing Status?",M43)</f>
        <v>Filing Status?</v>
      </c>
      <c r="L43" s="1084"/>
      <c r="M43" s="3120" t="str">
        <f>IF(File_Marr_Joint&lt;&gt;"",G41,IF(File_Marr_Sep&lt;&gt;"",G42,IF(OR(File_Single&lt;&gt;"",File_Head&lt;&gt;"",File_Qual_Widow&lt;&gt;""),G43,"---")))</f>
        <v>---</v>
      </c>
      <c r="N43" s="1063"/>
      <c r="O43" s="343"/>
      <c r="P43" s="898"/>
      <c r="Q43" s="60"/>
      <c r="R43" s="314"/>
    </row>
    <row r="44" spans="1:22" ht="12.75" customHeight="1">
      <c r="A44" s="117"/>
      <c r="B44" s="246">
        <v>16</v>
      </c>
      <c r="C44" s="535" t="s">
        <v>1901</v>
      </c>
      <c r="D44" s="535"/>
      <c r="E44" s="3066"/>
      <c r="F44" s="3066"/>
      <c r="G44" s="308"/>
      <c r="H44" s="308"/>
      <c r="I44" s="308"/>
      <c r="J44" s="308"/>
      <c r="K44" s="880"/>
      <c r="L44" s="333">
        <f>B44</f>
        <v>16</v>
      </c>
      <c r="M44" s="3018" t="str">
        <f>IF(M43="---","",IF(OR(K39="",K43&gt;=K39),0,SUM(K39,-K43)))</f>
        <v/>
      </c>
      <c r="N44" s="1063"/>
      <c r="O44" s="343"/>
      <c r="P44" s="898"/>
      <c r="Q44" s="651"/>
      <c r="R44" s="349"/>
    </row>
    <row r="45" spans="1:22" s="1595" customFormat="1" ht="12" customHeight="1">
      <c r="A45" s="117"/>
      <c r="B45" s="246">
        <v>17</v>
      </c>
      <c r="C45" s="535" t="s">
        <v>1902</v>
      </c>
      <c r="D45" s="535"/>
      <c r="E45" s="3066"/>
      <c r="F45" s="3066"/>
      <c r="G45" s="308"/>
      <c r="H45" s="308"/>
      <c r="I45" s="308"/>
      <c r="J45" s="308"/>
      <c r="K45" s="311"/>
      <c r="L45" s="301"/>
      <c r="M45" s="3071">
        <v>8.9999999999999993E-3</v>
      </c>
      <c r="N45" s="1062"/>
      <c r="O45" s="2951"/>
      <c r="P45" s="898"/>
      <c r="Q45" s="651"/>
      <c r="R45" s="349"/>
      <c r="T45"/>
      <c r="U45"/>
      <c r="V45"/>
    </row>
    <row r="46" spans="1:22" ht="12.75" customHeight="1">
      <c r="A46" s="117"/>
      <c r="B46" s="246"/>
      <c r="C46" s="535" t="str">
        <f>TEXT(M45,"0.0%")&amp;" ("&amp;TEXT(M45,".000")&amp;"). Enter here and go to Part IV"</f>
        <v>0.9% (.009). Enter here and go to Part IV</v>
      </c>
      <c r="D46" s="3065"/>
      <c r="E46" s="3066"/>
      <c r="F46" s="3066"/>
      <c r="G46" s="308"/>
      <c r="H46" s="308"/>
      <c r="I46" s="308"/>
      <c r="J46" s="308"/>
      <c r="K46" s="880" t="s">
        <v>1057</v>
      </c>
      <c r="L46" s="301">
        <f>B45</f>
        <v>17</v>
      </c>
      <c r="M46" s="3018" t="str">
        <f>IF(M43="---","",IF(P46&lt;&gt;"",P46,ROUND(M44*M45,0)))</f>
        <v/>
      </c>
      <c r="N46" s="1063"/>
      <c r="O46" s="344"/>
      <c r="P46" s="676"/>
      <c r="Q46" s="651"/>
      <c r="R46" s="941"/>
    </row>
    <row r="47" spans="1:22" s="1595" customFormat="1" ht="15.75" customHeight="1">
      <c r="A47" s="117"/>
      <c r="B47" s="914" t="s">
        <v>802</v>
      </c>
      <c r="C47" s="5043" t="s">
        <v>1903</v>
      </c>
      <c r="D47" s="4910"/>
      <c r="E47" s="4911"/>
      <c r="F47" s="4911"/>
      <c r="G47" s="4911"/>
      <c r="H47" s="4911"/>
      <c r="I47" s="4911"/>
      <c r="J47" s="4911"/>
      <c r="K47" s="4911"/>
      <c r="L47" s="4911"/>
      <c r="M47" s="4911"/>
      <c r="N47" s="1064"/>
      <c r="O47" s="915"/>
      <c r="P47" s="898"/>
      <c r="Q47" s="609"/>
      <c r="R47" s="928"/>
      <c r="T47"/>
      <c r="U47"/>
      <c r="V47"/>
    </row>
    <row r="48" spans="1:22" s="1595" customFormat="1" ht="12" customHeight="1">
      <c r="A48" s="117"/>
      <c r="B48" s="246">
        <v>18</v>
      </c>
      <c r="C48" s="535" t="s">
        <v>2339</v>
      </c>
      <c r="D48" s="535"/>
      <c r="E48" s="3066"/>
      <c r="F48" s="3066"/>
      <c r="G48" s="308"/>
      <c r="H48" s="308"/>
      <c r="I48" s="308"/>
      <c r="J48" s="308"/>
      <c r="K48" s="311"/>
      <c r="L48" s="301"/>
      <c r="M48" s="3071">
        <v>8.9999999999999993E-3</v>
      </c>
      <c r="N48" s="1062"/>
      <c r="O48" s="2951"/>
      <c r="P48" s="898"/>
      <c r="Q48" s="651"/>
      <c r="R48" s="349"/>
      <c r="T48"/>
      <c r="U48"/>
      <c r="V48"/>
    </row>
    <row r="49" spans="1:22" ht="12.75" customHeight="1">
      <c r="A49" s="117"/>
      <c r="B49" s="246"/>
      <c r="C49" s="535" t="s">
        <v>1904</v>
      </c>
      <c r="D49" s="3065"/>
      <c r="E49" s="3066"/>
      <c r="F49" s="3066"/>
      <c r="G49" s="308"/>
      <c r="H49" s="308"/>
      <c r="I49" s="308"/>
      <c r="J49" s="308"/>
      <c r="K49" s="2659" t="s">
        <v>1062</v>
      </c>
      <c r="L49" s="301">
        <f>B48</f>
        <v>18</v>
      </c>
      <c r="M49" s="3018">
        <f>IF(P49&lt;&gt;"",P49,SUM(M23,M36,M46))</f>
        <v>0</v>
      </c>
      <c r="N49" s="1063"/>
      <c r="O49" s="344"/>
      <c r="P49" s="676"/>
      <c r="Q49" s="651"/>
      <c r="R49" s="941"/>
    </row>
    <row r="50" spans="1:22" s="1595" customFormat="1" ht="15.75" customHeight="1">
      <c r="A50" s="117"/>
      <c r="B50" s="914" t="s">
        <v>205</v>
      </c>
      <c r="C50" s="5043" t="s">
        <v>1905</v>
      </c>
      <c r="D50" s="4910"/>
      <c r="E50" s="4911"/>
      <c r="F50" s="4911"/>
      <c r="G50" s="4911"/>
      <c r="H50" s="4911"/>
      <c r="I50" s="4911"/>
      <c r="J50" s="4911"/>
      <c r="K50" s="4911"/>
      <c r="L50" s="4911"/>
      <c r="M50" s="4911"/>
      <c r="N50" s="1064"/>
      <c r="O50" s="915"/>
      <c r="P50" s="898"/>
      <c r="Q50" s="609"/>
      <c r="R50" s="928"/>
      <c r="T50"/>
      <c r="U50"/>
      <c r="V50"/>
    </row>
    <row r="51" spans="1:22" s="1595" customFormat="1" ht="12" customHeight="1">
      <c r="A51" s="117"/>
      <c r="B51" s="246">
        <v>19</v>
      </c>
      <c r="C51" s="535" t="s">
        <v>1906</v>
      </c>
      <c r="D51" s="535"/>
      <c r="E51" s="3066"/>
      <c r="F51" s="3066"/>
      <c r="G51" s="308"/>
      <c r="H51" s="308"/>
      <c r="I51" s="308"/>
      <c r="J51" s="3072"/>
      <c r="K51" s="311"/>
      <c r="L51" s="301"/>
      <c r="M51" s="817"/>
      <c r="N51" s="1062"/>
      <c r="O51" s="2951"/>
      <c r="P51" s="898"/>
      <c r="Q51" s="651"/>
      <c r="R51" s="349"/>
      <c r="T51"/>
      <c r="U51"/>
      <c r="V51"/>
    </row>
    <row r="52" spans="1:22" s="1595" customFormat="1" ht="12" customHeight="1">
      <c r="A52" s="117"/>
      <c r="B52" s="246"/>
      <c r="C52" s="535" t="s">
        <v>1880</v>
      </c>
      <c r="D52" s="535"/>
      <c r="E52" s="3066"/>
      <c r="F52" s="3066"/>
      <c r="G52" s="308"/>
      <c r="H52" s="308"/>
      <c r="I52" s="308"/>
      <c r="J52" s="1079"/>
      <c r="K52" s="311"/>
      <c r="L52" s="301"/>
      <c r="M52" s="899"/>
      <c r="N52" s="1062"/>
      <c r="O52" s="2951"/>
      <c r="P52" s="898"/>
      <c r="Q52" s="651"/>
      <c r="R52" s="349"/>
      <c r="T52"/>
      <c r="U52"/>
      <c r="V52"/>
    </row>
    <row r="53" spans="1:22" ht="12" customHeight="1">
      <c r="A53" s="117"/>
      <c r="B53" s="311"/>
      <c r="C53" s="3073" t="s">
        <v>1907</v>
      </c>
      <c r="D53" s="3065"/>
      <c r="E53" s="3066"/>
      <c r="F53" s="3066"/>
      <c r="G53" s="308"/>
      <c r="H53" s="311"/>
      <c r="I53" s="246" t="s">
        <v>1893</v>
      </c>
      <c r="J53" s="905">
        <f>B51</f>
        <v>19</v>
      </c>
      <c r="K53" s="3018" t="str">
        <f>IF(P53&lt;&gt;"",P53,IF(F8959_Tax=0,"",MedCare_Tax_Withheld))</f>
        <v/>
      </c>
      <c r="L53" s="1084"/>
      <c r="M53" s="818"/>
      <c r="N53" s="1063"/>
      <c r="O53" s="343"/>
      <c r="P53" s="676"/>
      <c r="Q53" s="60"/>
      <c r="R53" s="314"/>
    </row>
    <row r="54" spans="1:22" ht="12" customHeight="1">
      <c r="A54" s="117"/>
      <c r="B54" s="311">
        <v>20</v>
      </c>
      <c r="C54" s="535" t="s">
        <v>1908</v>
      </c>
      <c r="D54" s="3065"/>
      <c r="E54" s="3066"/>
      <c r="F54" s="3066"/>
      <c r="G54" s="308"/>
      <c r="H54" s="311"/>
      <c r="I54" s="246" t="s">
        <v>1774</v>
      </c>
      <c r="J54" s="905">
        <f>B54</f>
        <v>20</v>
      </c>
      <c r="K54" s="3018" t="str">
        <f>IF(F8959_Tax=0,"",K13)</f>
        <v/>
      </c>
      <c r="L54" s="1084"/>
      <c r="M54" s="818"/>
      <c r="N54" s="1063"/>
      <c r="O54" s="343"/>
      <c r="P54" s="898"/>
      <c r="Q54" s="60"/>
      <c r="R54" s="314"/>
    </row>
    <row r="55" spans="1:22" s="1595" customFormat="1" ht="12" customHeight="1">
      <c r="A55" s="117"/>
      <c r="B55" s="246">
        <v>21</v>
      </c>
      <c r="C55" s="535" t="str">
        <f>"Multiply line 20 by "&amp;TEXT(K55,"0.00%")&amp;" ("&amp;TEXT(K55,".0000")&amp;"). This is your regular"</f>
        <v>Multiply line 20 by 1.45% (.0145). This is your regular</v>
      </c>
      <c r="D55" s="535"/>
      <c r="E55" s="3066"/>
      <c r="F55" s="3066"/>
      <c r="G55" s="308"/>
      <c r="H55" s="308"/>
      <c r="I55" s="308"/>
      <c r="J55" s="3072"/>
      <c r="K55" s="3074">
        <v>1.4500000000000001E-2</v>
      </c>
      <c r="L55" s="301"/>
      <c r="M55" s="899"/>
      <c r="N55" s="1062"/>
      <c r="O55" s="2951"/>
      <c r="P55" s="898"/>
      <c r="Q55" s="651"/>
      <c r="R55" s="349"/>
      <c r="T55"/>
      <c r="U55"/>
      <c r="V55"/>
    </row>
    <row r="56" spans="1:22" ht="12" customHeight="1">
      <c r="A56" s="117"/>
      <c r="B56" s="311"/>
      <c r="C56" s="3073" t="s">
        <v>1909</v>
      </c>
      <c r="D56" s="3065"/>
      <c r="E56" s="3066"/>
      <c r="F56" s="3066"/>
      <c r="G56" s="308"/>
      <c r="H56" s="311"/>
      <c r="I56" s="246" t="s">
        <v>1893</v>
      </c>
      <c r="J56" s="905">
        <f>B55</f>
        <v>21</v>
      </c>
      <c r="K56" s="3018" t="str">
        <f>IF(F8959_Tax=0,"",ROUND(K54*K55,0))</f>
        <v/>
      </c>
      <c r="L56" s="1084"/>
      <c r="M56" s="818"/>
      <c r="N56" s="1063"/>
      <c r="O56" s="343"/>
      <c r="P56" s="898"/>
      <c r="Q56" s="60"/>
      <c r="R56" s="314"/>
    </row>
    <row r="57" spans="1:22" s="1595" customFormat="1" ht="12" customHeight="1">
      <c r="A57" s="117"/>
      <c r="B57" s="246">
        <v>22</v>
      </c>
      <c r="C57" s="535" t="s">
        <v>1910</v>
      </c>
      <c r="D57" s="535"/>
      <c r="E57" s="3066"/>
      <c r="F57" s="3066"/>
      <c r="G57" s="308"/>
      <c r="H57" s="308"/>
      <c r="I57" s="308"/>
      <c r="J57" s="308"/>
      <c r="K57" s="311"/>
      <c r="L57" s="301"/>
      <c r="M57" s="3071">
        <v>8.9999999999999993E-3</v>
      </c>
      <c r="N57" s="1062"/>
      <c r="O57" s="2951"/>
      <c r="P57" s="898"/>
      <c r="Q57" s="651"/>
      <c r="R57" s="349"/>
      <c r="T57"/>
      <c r="U57"/>
      <c r="V57"/>
    </row>
    <row r="58" spans="1:22" ht="12.75" customHeight="1">
      <c r="A58" s="117"/>
      <c r="B58" s="246"/>
      <c r="C58" s="535" t="s">
        <v>1911</v>
      </c>
      <c r="D58" s="3065"/>
      <c r="E58" s="3066"/>
      <c r="F58" s="3066"/>
      <c r="G58" s="308"/>
      <c r="H58" s="308"/>
      <c r="I58" s="308"/>
      <c r="J58" s="308"/>
      <c r="K58" s="2659" t="s">
        <v>1062</v>
      </c>
      <c r="L58" s="301">
        <f>B57</f>
        <v>22</v>
      </c>
      <c r="M58" s="3018" t="str">
        <f>IF(F8959_Tax=0,"",IF(K56&gt;=K53,0,SUM(K53,-K56)))</f>
        <v/>
      </c>
      <c r="N58" s="1063"/>
      <c r="O58" s="344"/>
      <c r="P58" s="898"/>
      <c r="Q58" s="651"/>
      <c r="R58" s="941"/>
    </row>
    <row r="59" spans="1:22" s="1595" customFormat="1" ht="12" customHeight="1">
      <c r="A59" s="117"/>
      <c r="B59" s="246">
        <v>23</v>
      </c>
      <c r="C59" s="535" t="s">
        <v>1912</v>
      </c>
      <c r="D59" s="535"/>
      <c r="E59" s="3066"/>
      <c r="F59" s="3066"/>
      <c r="G59" s="308"/>
      <c r="H59" s="308"/>
      <c r="I59" s="308"/>
      <c r="J59" s="308"/>
      <c r="K59" s="311"/>
      <c r="L59" s="301"/>
      <c r="M59" s="3071">
        <v>8.9999999999999993E-3</v>
      </c>
      <c r="N59" s="1062"/>
      <c r="O59" s="2951"/>
      <c r="P59" s="898"/>
      <c r="Q59" s="651"/>
      <c r="R59" s="349"/>
      <c r="T59"/>
      <c r="U59"/>
      <c r="V59"/>
    </row>
    <row r="60" spans="1:22" ht="12.75" customHeight="1">
      <c r="A60" s="117"/>
      <c r="B60" s="246"/>
      <c r="C60" s="535" t="s">
        <v>1913</v>
      </c>
      <c r="D60" s="3065"/>
      <c r="E60" s="3066"/>
      <c r="F60" s="3066"/>
      <c r="G60" s="308"/>
      <c r="H60" s="308"/>
      <c r="I60" s="308"/>
      <c r="J60" s="308"/>
      <c r="K60" s="2659" t="s">
        <v>1062</v>
      </c>
      <c r="L60" s="301">
        <f>B59</f>
        <v>23</v>
      </c>
      <c r="M60" s="3019"/>
      <c r="N60" s="1063"/>
      <c r="O60" s="344"/>
      <c r="P60" s="898"/>
      <c r="Q60" s="651"/>
      <c r="R60" s="941"/>
    </row>
    <row r="61" spans="1:22" s="1595" customFormat="1" ht="12" customHeight="1">
      <c r="A61" s="117"/>
      <c r="B61" s="246">
        <v>24</v>
      </c>
      <c r="C61" s="535" t="s">
        <v>1914</v>
      </c>
      <c r="D61" s="535"/>
      <c r="E61" s="3066"/>
      <c r="F61" s="3066"/>
      <c r="G61" s="308"/>
      <c r="H61" s="308"/>
      <c r="I61" s="308"/>
      <c r="J61" s="308"/>
      <c r="K61" s="311"/>
      <c r="L61" s="301"/>
      <c r="M61" s="3071">
        <v>8.9999999999999993E-3</v>
      </c>
      <c r="N61" s="1062"/>
      <c r="O61" s="2951"/>
      <c r="P61" s="898"/>
      <c r="Q61" s="651"/>
      <c r="R61" s="349"/>
      <c r="T61"/>
      <c r="U61"/>
      <c r="V61"/>
    </row>
    <row r="62" spans="1:22" s="1595" customFormat="1" ht="12" customHeight="1">
      <c r="A62" s="117"/>
      <c r="B62" s="246"/>
      <c r="C62" s="535" t="s">
        <v>2340</v>
      </c>
      <c r="D62" s="535"/>
      <c r="E62" s="3066"/>
      <c r="F62" s="3066"/>
      <c r="G62" s="308"/>
      <c r="H62" s="308"/>
      <c r="I62" s="308"/>
      <c r="J62" s="308"/>
      <c r="K62" s="311"/>
      <c r="L62" s="301"/>
      <c r="M62" s="3071"/>
      <c r="N62" s="1062"/>
      <c r="O62" s="2951"/>
      <c r="P62" s="898"/>
      <c r="Q62" s="651"/>
      <c r="R62" s="349"/>
      <c r="T62"/>
      <c r="U62"/>
      <c r="V62"/>
    </row>
    <row r="63" spans="1:22" ht="12.75" customHeight="1" thickBot="1">
      <c r="A63" s="117"/>
      <c r="B63" s="246"/>
      <c r="C63" s="535" t="s">
        <v>1915</v>
      </c>
      <c r="D63" s="3065"/>
      <c r="E63" s="3066"/>
      <c r="F63" s="3066"/>
      <c r="G63" s="308"/>
      <c r="H63" s="308"/>
      <c r="I63" s="308"/>
      <c r="J63" s="308"/>
      <c r="K63" s="2659" t="s">
        <v>1062</v>
      </c>
      <c r="L63" s="301">
        <f>B61</f>
        <v>24</v>
      </c>
      <c r="M63" s="3018">
        <f>IF(P63&lt;&gt;"",P63,SUM(M58,M60))</f>
        <v>0</v>
      </c>
      <c r="N63" s="1063"/>
      <c r="O63" s="2951"/>
      <c r="P63" s="676"/>
      <c r="Q63" s="651"/>
      <c r="R63" s="941"/>
    </row>
    <row r="64" spans="1:22" s="978" customFormat="1" ht="15" customHeight="1">
      <c r="A64" s="117"/>
      <c r="B64" s="229" t="s">
        <v>825</v>
      </c>
      <c r="C64" s="352"/>
      <c r="D64" s="352"/>
      <c r="E64" s="352"/>
      <c r="F64" s="352"/>
      <c r="G64" s="900"/>
      <c r="H64" s="901"/>
      <c r="I64" s="900"/>
      <c r="J64" s="1092" t="s">
        <v>1917</v>
      </c>
      <c r="K64" s="900"/>
      <c r="L64" s="902" t="s">
        <v>1916</v>
      </c>
      <c r="M64" s="1659" t="str">
        <f>"  ("&amp;TaxYear&amp;")"</f>
        <v xml:space="preserve">  (2014)</v>
      </c>
      <c r="N64" s="1069"/>
      <c r="O64" s="2951"/>
      <c r="P64" s="898"/>
      <c r="Q64" s="60"/>
      <c r="R64" s="314"/>
      <c r="S64" s="1595"/>
      <c r="T64"/>
      <c r="U64"/>
      <c r="V64"/>
    </row>
    <row r="65" spans="1:22" s="978" customFormat="1" ht="15" customHeight="1">
      <c r="A65" s="117"/>
      <c r="B65" s="1072"/>
      <c r="C65" s="909"/>
      <c r="D65" s="909"/>
      <c r="E65" s="117"/>
      <c r="F65" s="117"/>
      <c r="G65" s="117"/>
      <c r="H65" s="117"/>
      <c r="I65" s="117"/>
      <c r="J65" s="1073"/>
      <c r="K65" s="1073"/>
      <c r="L65" s="1073"/>
      <c r="M65" s="1073"/>
      <c r="N65" s="1070"/>
      <c r="O65" s="2951"/>
      <c r="P65" s="898"/>
      <c r="Q65" s="455"/>
      <c r="R65" s="455"/>
      <c r="S65" s="1595"/>
      <c r="T65"/>
      <c r="U65"/>
      <c r="V65"/>
    </row>
    <row r="66" spans="1:22" s="978" customFormat="1" ht="23.25" customHeight="1">
      <c r="A66" s="68"/>
      <c r="B66" s="906"/>
      <c r="C66" s="454"/>
      <c r="D66" s="454"/>
      <c r="E66" s="456"/>
      <c r="F66" s="456"/>
      <c r="G66" s="456"/>
      <c r="H66" s="456"/>
      <c r="I66" s="456"/>
      <c r="J66" s="467"/>
      <c r="K66" s="467"/>
      <c r="L66" s="467"/>
      <c r="M66" s="467"/>
      <c r="N66" s="907"/>
      <c r="O66"/>
      <c r="P66" s="908"/>
      <c r="Q66" s="455"/>
      <c r="R66" s="455"/>
      <c r="S66" s="1595"/>
      <c r="T66"/>
      <c r="U66"/>
      <c r="V66"/>
    </row>
    <row r="67" spans="1:22" s="978" customFormat="1" ht="24" customHeight="1" thickBot="1">
      <c r="A67" s="68"/>
      <c r="B67" s="906"/>
      <c r="C67" s="454"/>
      <c r="D67" s="454"/>
      <c r="E67" s="456"/>
      <c r="F67" s="456"/>
      <c r="G67" s="456"/>
      <c r="H67" s="456"/>
      <c r="I67" s="456"/>
      <c r="J67" s="467"/>
      <c r="K67" s="467"/>
      <c r="L67" s="467"/>
      <c r="M67" s="467"/>
      <c r="N67" s="907"/>
      <c r="O67"/>
      <c r="P67" s="908"/>
      <c r="Q67" s="11"/>
      <c r="R67" s="11"/>
      <c r="S67" s="1595"/>
      <c r="T67"/>
      <c r="U67"/>
      <c r="V67"/>
    </row>
    <row r="68" spans="1:22" s="978" customFormat="1" ht="15" customHeight="1" thickTop="1" thickBot="1">
      <c r="A68" s="68"/>
      <c r="B68" s="217"/>
      <c r="C68" s="4882" t="s">
        <v>1918</v>
      </c>
      <c r="D68" s="4883"/>
      <c r="E68" s="4883"/>
      <c r="F68" s="4883"/>
      <c r="G68" s="4884"/>
      <c r="H68" s="353"/>
      <c r="I68" s="353"/>
      <c r="J68"/>
      <c r="K68"/>
      <c r="L68" s="353"/>
      <c r="M68" s="353"/>
      <c r="N68" s="353"/>
      <c r="O68"/>
      <c r="P68" s="11"/>
      <c r="Q68" s="11"/>
      <c r="R68" s="11"/>
      <c r="S68" s="1595"/>
      <c r="T68"/>
      <c r="U68"/>
      <c r="V68"/>
    </row>
    <row r="69" spans="1:22" s="978" customFormat="1" ht="8.25" customHeight="1" thickTop="1" thickBot="1">
      <c r="A69" s="68"/>
      <c r="B69" s="217"/>
      <c r="C69" s="346"/>
      <c r="D69" s="346"/>
      <c r="E69" s="68"/>
      <c r="F69" s="68"/>
      <c r="G69" s="353"/>
      <c r="H69" s="353"/>
      <c r="I69" s="353"/>
      <c r="J69"/>
      <c r="K69"/>
      <c r="L69" s="353"/>
      <c r="M69" s="353"/>
      <c r="N69" s="353"/>
      <c r="O69"/>
      <c r="P69" s="11"/>
      <c r="Q69" s="11"/>
      <c r="R69" s="11"/>
      <c r="S69" s="1595"/>
      <c r="T69"/>
      <c r="U69"/>
      <c r="V69"/>
    </row>
    <row r="70" spans="1:22" s="978" customFormat="1" ht="17.25" customHeight="1" thickTop="1" thickBot="1">
      <c r="A70" s="68"/>
      <c r="B70" s="217"/>
      <c r="C70" s="4882" t="s">
        <v>1919</v>
      </c>
      <c r="D70" s="4883"/>
      <c r="E70" s="4883"/>
      <c r="F70" s="4883"/>
      <c r="G70" s="4884"/>
      <c r="H70" s="353"/>
      <c r="I70" s="353"/>
      <c r="J70"/>
      <c r="K70"/>
      <c r="L70" s="353"/>
      <c r="M70" s="353"/>
      <c r="N70" s="353"/>
      <c r="O70"/>
      <c r="P70" s="11"/>
      <c r="Q70"/>
      <c r="S70" s="1595"/>
      <c r="T70"/>
      <c r="U70"/>
      <c r="V70"/>
    </row>
    <row r="71" spans="1:22" s="978" customFormat="1" ht="12.75" customHeight="1" thickTop="1">
      <c r="A71" s="68"/>
      <c r="B71"/>
      <c r="C71"/>
      <c r="D71"/>
      <c r="E71"/>
      <c r="F71"/>
      <c r="G71"/>
      <c r="H71"/>
      <c r="I71"/>
      <c r="J71"/>
      <c r="K71"/>
      <c r="L71"/>
      <c r="M71"/>
      <c r="N71"/>
      <c r="O71"/>
      <c r="P71"/>
      <c r="Q71"/>
      <c r="S71" s="1595"/>
      <c r="T71"/>
      <c r="U71"/>
      <c r="V71"/>
    </row>
    <row r="72" spans="1:22" s="978" customFormat="1" ht="21.75" customHeight="1">
      <c r="A72" s="68"/>
      <c r="B72"/>
      <c r="C72"/>
      <c r="D72"/>
      <c r="E72"/>
      <c r="F72"/>
      <c r="G72"/>
      <c r="H72"/>
      <c r="I72"/>
      <c r="J72"/>
      <c r="K72"/>
      <c r="L72"/>
      <c r="M72"/>
      <c r="N72"/>
      <c r="O72"/>
      <c r="P72"/>
      <c r="Q72"/>
      <c r="S72" s="1595"/>
      <c r="T72"/>
      <c r="U72"/>
      <c r="V72"/>
    </row>
    <row r="73" spans="1:22" s="978" customFormat="1" ht="22.5" customHeight="1">
      <c r="A73" s="68"/>
      <c r="B73"/>
      <c r="C73"/>
      <c r="D73"/>
      <c r="E73"/>
      <c r="F73"/>
      <c r="G73"/>
      <c r="H73"/>
      <c r="I73"/>
      <c r="J73"/>
      <c r="K73"/>
      <c r="L73"/>
      <c r="M73"/>
      <c r="N73"/>
      <c r="O73"/>
      <c r="P73"/>
      <c r="Q73"/>
      <c r="S73" s="1595"/>
      <c r="T73"/>
      <c r="U73"/>
      <c r="V73"/>
    </row>
    <row r="74" spans="1:22" s="978" customFormat="1" ht="12.75" customHeight="1">
      <c r="A74" s="68"/>
      <c r="B74"/>
      <c r="C74"/>
      <c r="D74"/>
      <c r="E74"/>
      <c r="F74"/>
      <c r="G74"/>
      <c r="H74"/>
      <c r="I74"/>
      <c r="J74"/>
      <c r="K74"/>
      <c r="L74"/>
      <c r="M74"/>
      <c r="N74"/>
      <c r="O74"/>
      <c r="P74"/>
      <c r="Q74"/>
      <c r="S74" s="1595"/>
      <c r="T74"/>
      <c r="U74"/>
      <c r="V74"/>
    </row>
    <row r="75" spans="1:22" s="978" customFormat="1" ht="12.75" customHeight="1">
      <c r="A75" s="68"/>
      <c r="B75"/>
      <c r="C75"/>
      <c r="D75"/>
      <c r="E75"/>
      <c r="F75"/>
      <c r="G75"/>
      <c r="H75"/>
      <c r="I75"/>
      <c r="J75"/>
      <c r="K75"/>
      <c r="L75"/>
      <c r="M75"/>
      <c r="N75"/>
      <c r="O75"/>
      <c r="P75"/>
      <c r="Q75"/>
      <c r="S75" s="1595"/>
      <c r="T75"/>
      <c r="U75"/>
      <c r="V75"/>
    </row>
    <row r="76" spans="1:22" s="978" customFormat="1" ht="17.25" customHeight="1">
      <c r="A76" s="68"/>
      <c r="B76"/>
      <c r="C76"/>
      <c r="D76"/>
      <c r="E76"/>
      <c r="F76"/>
      <c r="G76"/>
      <c r="H76"/>
      <c r="I76"/>
      <c r="J76"/>
      <c r="K76"/>
      <c r="L76"/>
      <c r="M76"/>
      <c r="N76"/>
      <c r="O76"/>
      <c r="P76"/>
      <c r="Q76"/>
      <c r="S76" s="1595"/>
      <c r="T76"/>
      <c r="U76"/>
      <c r="V76"/>
    </row>
    <row r="77" spans="1:22" s="978" customFormat="1" ht="14.25" customHeight="1">
      <c r="A77" s="68"/>
      <c r="B77"/>
      <c r="C77"/>
      <c r="D77"/>
      <c r="E77"/>
      <c r="F77"/>
      <c r="G77"/>
      <c r="H77"/>
      <c r="I77"/>
      <c r="J77"/>
      <c r="K77"/>
      <c r="L77"/>
      <c r="M77"/>
      <c r="N77"/>
      <c r="O77"/>
      <c r="P77"/>
      <c r="Q77"/>
      <c r="S77" s="1595"/>
      <c r="T77"/>
      <c r="U77"/>
      <c r="V77"/>
    </row>
    <row r="78" spans="1:22" s="978" customFormat="1">
      <c r="A78" s="68"/>
      <c r="B78"/>
      <c r="C78"/>
      <c r="D78"/>
      <c r="E78"/>
      <c r="F78"/>
      <c r="G78"/>
      <c r="H78"/>
      <c r="I78"/>
      <c r="J78"/>
      <c r="K78"/>
      <c r="L78"/>
      <c r="M78"/>
      <c r="N78"/>
      <c r="O78"/>
      <c r="P78"/>
      <c r="Q78"/>
      <c r="S78" s="1595"/>
      <c r="T78"/>
      <c r="U78"/>
      <c r="V78"/>
    </row>
    <row r="79" spans="1:22" s="978" customFormat="1">
      <c r="A79" s="68"/>
      <c r="B79"/>
      <c r="C79"/>
      <c r="D79"/>
      <c r="E79"/>
      <c r="F79"/>
      <c r="G79"/>
      <c r="H79"/>
      <c r="I79"/>
      <c r="J79"/>
      <c r="K79"/>
      <c r="L79"/>
      <c r="M79"/>
      <c r="N79"/>
      <c r="O79"/>
      <c r="P79"/>
      <c r="Q79"/>
      <c r="S79" s="1595"/>
      <c r="T79"/>
      <c r="U79"/>
      <c r="V79"/>
    </row>
    <row r="80" spans="1:22" s="978" customFormat="1">
      <c r="A80" s="68"/>
      <c r="B80"/>
      <c r="C80"/>
      <c r="D80"/>
      <c r="E80"/>
      <c r="F80"/>
      <c r="G80"/>
      <c r="H80"/>
      <c r="I80"/>
      <c r="J80"/>
      <c r="K80"/>
      <c r="L80"/>
      <c r="M80"/>
      <c r="N80"/>
      <c r="O80"/>
      <c r="P80"/>
      <c r="Q80"/>
      <c r="S80" s="1595"/>
      <c r="T80"/>
      <c r="U80"/>
      <c r="V80"/>
    </row>
    <row r="81" spans="1:22" s="978" customFormat="1">
      <c r="A81" s="68"/>
      <c r="B81"/>
      <c r="C81"/>
      <c r="D81"/>
      <c r="E81"/>
      <c r="F81"/>
      <c r="G81"/>
      <c r="H81"/>
      <c r="I81"/>
      <c r="J81"/>
      <c r="K81"/>
      <c r="L81"/>
      <c r="M81"/>
      <c r="N81"/>
      <c r="O81"/>
      <c r="P81"/>
      <c r="Q81"/>
      <c r="S81" s="1595"/>
      <c r="T81"/>
      <c r="U81"/>
      <c r="V81"/>
    </row>
    <row r="82" spans="1:22" s="978" customFormat="1">
      <c r="A82" s="68"/>
      <c r="B82"/>
      <c r="C82"/>
      <c r="D82"/>
      <c r="E82"/>
      <c r="F82"/>
      <c r="G82"/>
      <c r="H82"/>
      <c r="I82"/>
      <c r="J82"/>
      <c r="K82"/>
      <c r="L82"/>
      <c r="M82"/>
      <c r="N82"/>
      <c r="O82"/>
      <c r="P82"/>
      <c r="Q82"/>
      <c r="S82" s="1595"/>
      <c r="T82"/>
      <c r="U82"/>
      <c r="V82"/>
    </row>
    <row r="83" spans="1:22" s="978" customFormat="1">
      <c r="A83" s="68"/>
      <c r="B83"/>
      <c r="C83"/>
      <c r="D83"/>
      <c r="E83"/>
      <c r="F83"/>
      <c r="G83"/>
      <c r="H83"/>
      <c r="I83"/>
      <c r="J83"/>
      <c r="K83"/>
      <c r="L83"/>
      <c r="M83"/>
      <c r="N83"/>
      <c r="O83"/>
      <c r="P83"/>
      <c r="Q83"/>
      <c r="S83" s="1595"/>
      <c r="T83"/>
      <c r="U83"/>
      <c r="V83"/>
    </row>
  </sheetData>
  <sheetProtection password="F07E" sheet="1" objects="1" scenarios="1"/>
  <mergeCells count="22">
    <mergeCell ref="L3:M3"/>
    <mergeCell ref="B4:B5"/>
    <mergeCell ref="C4:D5"/>
    <mergeCell ref="E4:K4"/>
    <mergeCell ref="L4:M5"/>
    <mergeCell ref="E5:K5"/>
    <mergeCell ref="K8:M8"/>
    <mergeCell ref="B9:J9"/>
    <mergeCell ref="K9:M9"/>
    <mergeCell ref="C10:M10"/>
    <mergeCell ref="B6:D6"/>
    <mergeCell ref="E6:K6"/>
    <mergeCell ref="L6:M6"/>
    <mergeCell ref="B7:D7"/>
    <mergeCell ref="E7:K7"/>
    <mergeCell ref="L7:M7"/>
    <mergeCell ref="C68:G68"/>
    <mergeCell ref="C70:G70"/>
    <mergeCell ref="C24:M24"/>
    <mergeCell ref="C37:M37"/>
    <mergeCell ref="C47:M47"/>
    <mergeCell ref="C50:M50"/>
  </mergeCells>
  <conditionalFormatting sqref="B9:M9">
    <cfRule type="expression" dxfId="338" priority="95">
      <formula>IF(NoColor,1,0)</formula>
    </cfRule>
  </conditionalFormatting>
  <conditionalFormatting sqref="K13">
    <cfRule type="expression" dxfId="337" priority="49">
      <formula>IF(NoColor,1,0)</formula>
    </cfRule>
  </conditionalFormatting>
  <conditionalFormatting sqref="K16">
    <cfRule type="expression" dxfId="336" priority="43">
      <formula>IF(NoColor,1,0)</formula>
    </cfRule>
  </conditionalFormatting>
  <conditionalFormatting sqref="M23">
    <cfRule type="expression" dxfId="335" priority="39">
      <formula>IF(NoColor,1,0)</formula>
    </cfRule>
  </conditionalFormatting>
  <conditionalFormatting sqref="K27">
    <cfRule type="expression" dxfId="334" priority="37">
      <formula>IF(NoColor,1,0)</formula>
    </cfRule>
  </conditionalFormatting>
  <conditionalFormatting sqref="K32">
    <cfRule type="expression" dxfId="333" priority="33">
      <formula>IF(NoColor,1,0)</formula>
    </cfRule>
  </conditionalFormatting>
  <conditionalFormatting sqref="K33">
    <cfRule type="expression" dxfId="332" priority="31">
      <formula>IF(NoColor,1,0)</formula>
    </cfRule>
  </conditionalFormatting>
  <conditionalFormatting sqref="M49">
    <cfRule type="expression" dxfId="331" priority="22">
      <formula>IF(NoColor,1,0)</formula>
    </cfRule>
  </conditionalFormatting>
  <conditionalFormatting sqref="K53">
    <cfRule type="expression" dxfId="330" priority="20">
      <formula>IF(NoColor,1,0)</formula>
    </cfRule>
  </conditionalFormatting>
  <conditionalFormatting sqref="K54">
    <cfRule type="expression" dxfId="329" priority="18">
      <formula>IF(NoColor,1,0)</formula>
    </cfRule>
  </conditionalFormatting>
  <conditionalFormatting sqref="K56">
    <cfRule type="expression" dxfId="328" priority="16">
      <formula>IF(NoColor,1,0)</formula>
    </cfRule>
  </conditionalFormatting>
  <conditionalFormatting sqref="M58">
    <cfRule type="expression" dxfId="327" priority="15">
      <formula>IF(NoColor,1,0)</formula>
    </cfRule>
  </conditionalFormatting>
  <conditionalFormatting sqref="M60">
    <cfRule type="expression" dxfId="326" priority="14">
      <formula>IF(NoColor,1,0)</formula>
    </cfRule>
  </conditionalFormatting>
  <conditionalFormatting sqref="M63">
    <cfRule type="expression" dxfId="325" priority="13">
      <formula>IF(NoColor,1,0)</formula>
    </cfRule>
  </conditionalFormatting>
  <conditionalFormatting sqref="K14">
    <cfRule type="expression" dxfId="324" priority="12">
      <formula>IF(NoColor,1,0)</formula>
    </cfRule>
  </conditionalFormatting>
  <conditionalFormatting sqref="K15">
    <cfRule type="expression" dxfId="323" priority="11">
      <formula>IF(NoColor,1,0)</formula>
    </cfRule>
  </conditionalFormatting>
  <conditionalFormatting sqref="K31">
    <cfRule type="expression" dxfId="322" priority="10">
      <formula>IF(NoColor,1,0)</formula>
    </cfRule>
  </conditionalFormatting>
  <conditionalFormatting sqref="M21">
    <cfRule type="expression" dxfId="321" priority="8">
      <formula>IF(NoColor,1,0)</formula>
    </cfRule>
  </conditionalFormatting>
  <conditionalFormatting sqref="M36">
    <cfRule type="expression" dxfId="320" priority="7">
      <formula>IF(NoColor,1,0)</formula>
    </cfRule>
  </conditionalFormatting>
  <conditionalFormatting sqref="M34">
    <cfRule type="expression" dxfId="319" priority="6">
      <formula>IF(NoColor,1,0)</formula>
    </cfRule>
  </conditionalFormatting>
  <conditionalFormatting sqref="K39">
    <cfRule type="expression" dxfId="318" priority="5">
      <formula>IF(NoColor,1,0)</formula>
    </cfRule>
  </conditionalFormatting>
  <conditionalFormatting sqref="M46">
    <cfRule type="expression" dxfId="317" priority="4">
      <formula>IF(NoColor,1,0)</formula>
    </cfRule>
  </conditionalFormatting>
  <conditionalFormatting sqref="M44">
    <cfRule type="expression" dxfId="316" priority="3">
      <formula>IF(NoColor,1,0)</formula>
    </cfRule>
  </conditionalFormatting>
  <conditionalFormatting sqref="K20">
    <cfRule type="expression" dxfId="315" priority="2">
      <formula>IF(NoColor,1,0)</formula>
    </cfRule>
  </conditionalFormatting>
  <conditionalFormatting sqref="K43">
    <cfRule type="expression" dxfId="314" priority="1">
      <formula>IF(NoColor,1,0)</formula>
    </cfRule>
  </conditionalFormatting>
  <hyperlinks>
    <hyperlink ref="C68:G68" r:id="rId1" display="Download Form 8959"/>
    <hyperlink ref="C70:G70" r:id="rId2" display="Download Form 8959 Instructions"/>
  </hyperlinks>
  <printOptions horizontalCentered="1"/>
  <pageMargins left="0.44" right="0.25" top="0.22" bottom="0.25" header="0.27" footer="0.25"/>
  <pageSetup scale="95" fitToHeight="0" orientation="portrait" horizontalDpi="4294967293" verticalDpi="4294967293" r:id="rId3"/>
  <headerFooter alignWithMargins="0"/>
  <rowBreaks count="1" manualBreakCount="1">
    <brk id="64" min="1" max="12"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
  <sheetViews>
    <sheetView zoomScaleNormal="100" workbookViewId="0">
      <selection activeCell="F10" sqref="F10"/>
    </sheetView>
  </sheetViews>
  <sheetFormatPr defaultRowHeight="12.75"/>
  <cols>
    <col min="1" max="1" width="2.42578125" style="68" customWidth="1"/>
    <col min="2" max="2" width="7.85546875" customWidth="1"/>
    <col min="3" max="3" width="3.140625" customWidth="1"/>
    <col min="4" max="4" width="9.7109375" customWidth="1"/>
    <col min="5" max="5" width="10.42578125" customWidth="1"/>
    <col min="6" max="6" width="2.7109375" customWidth="1"/>
    <col min="7" max="7" width="18.85546875" customWidth="1"/>
    <col min="8" max="8" width="9.28515625" customWidth="1"/>
    <col min="9" max="10" width="4" customWidth="1"/>
    <col min="11" max="11" width="8.7109375" customWidth="1"/>
    <col min="12" max="12" width="14.140625" customWidth="1"/>
    <col min="13" max="13" width="3.7109375" customWidth="1"/>
    <col min="14" max="14" width="14.140625" customWidth="1"/>
    <col min="15" max="15" width="2.5703125" customWidth="1"/>
    <col min="16" max="16" width="3.85546875" customWidth="1"/>
    <col min="17" max="17" width="16.28515625" customWidth="1"/>
    <col min="18" max="18" width="2.28515625" customWidth="1"/>
    <col min="19" max="19" width="4.140625" style="978" customWidth="1"/>
    <col min="20" max="20" width="3.28515625" customWidth="1"/>
    <col min="21" max="21" width="5" customWidth="1"/>
    <col min="22" max="22" width="4.28515625" customWidth="1"/>
    <col min="23" max="23" width="23.28515625" customWidth="1"/>
    <col min="24" max="24" width="20.28515625" customWidth="1"/>
    <col min="25" max="25" width="13.7109375" customWidth="1"/>
    <col min="26" max="26" width="11.85546875" customWidth="1"/>
    <col min="27" max="27" width="15.28515625" customWidth="1"/>
    <col min="28" max="28" width="3.85546875" customWidth="1"/>
  </cols>
  <sheetData>
    <row r="1" spans="1:20" ht="17.25" customHeight="1">
      <c r="A1" s="1542"/>
      <c r="B1" s="1540"/>
      <c r="C1" s="1540"/>
      <c r="D1" s="1540"/>
      <c r="E1" s="1540"/>
      <c r="F1" s="1540"/>
      <c r="G1" s="1540"/>
      <c r="H1" s="1540"/>
      <c r="I1" s="1540"/>
      <c r="J1" s="1540"/>
      <c r="K1" s="1540"/>
      <c r="L1" s="1540"/>
      <c r="M1" s="1541"/>
      <c r="N1" s="942"/>
      <c r="O1" s="942"/>
    </row>
    <row r="2" spans="1:20" ht="6" customHeight="1">
      <c r="A2" s="1543"/>
      <c r="B2" s="1465"/>
      <c r="C2" s="942"/>
      <c r="D2" s="942"/>
      <c r="E2" s="942"/>
      <c r="F2" s="942"/>
      <c r="G2" s="942"/>
      <c r="H2" s="1404"/>
      <c r="I2" s="942"/>
      <c r="J2" s="942"/>
      <c r="K2" s="942"/>
      <c r="L2" s="1023"/>
      <c r="M2" s="1023"/>
      <c r="N2" s="1023"/>
      <c r="O2" s="1023"/>
      <c r="P2" s="401"/>
    </row>
    <row r="3" spans="1:20">
      <c r="A3" s="117"/>
      <c r="B3" s="37"/>
      <c r="C3" s="37"/>
      <c r="D3" s="140"/>
      <c r="E3" s="46"/>
      <c r="F3" s="46"/>
      <c r="G3" s="37"/>
      <c r="H3" s="37"/>
      <c r="I3" s="37"/>
      <c r="J3" s="37"/>
      <c r="K3" s="37"/>
      <c r="L3" s="37"/>
      <c r="M3" s="4293" t="s">
        <v>146</v>
      </c>
      <c r="N3" s="4887"/>
      <c r="O3" s="1023"/>
      <c r="P3" s="1504"/>
    </row>
    <row r="4" spans="1:20" ht="20.25" customHeight="1">
      <c r="A4" s="117"/>
      <c r="B4" s="4840" t="s">
        <v>499</v>
      </c>
      <c r="C4" s="4875">
        <v>8960</v>
      </c>
      <c r="D4" s="4876"/>
      <c r="E4" s="4906" t="s">
        <v>1920</v>
      </c>
      <c r="F4" s="4906"/>
      <c r="G4" s="4907"/>
      <c r="H4" s="4907"/>
      <c r="I4" s="4907"/>
      <c r="J4" s="4907"/>
      <c r="K4" s="4907"/>
      <c r="L4" s="4908"/>
      <c r="M4" s="4182">
        <f>TaxYear</f>
        <v>2014</v>
      </c>
      <c r="N4" s="4888"/>
      <c r="O4" s="1059"/>
      <c r="P4" s="338"/>
      <c r="Q4" s="38" t="s">
        <v>152</v>
      </c>
      <c r="R4" s="423"/>
      <c r="S4" s="1402"/>
    </row>
    <row r="5" spans="1:20" ht="14.25" customHeight="1">
      <c r="A5" s="117"/>
      <c r="B5" s="4273"/>
      <c r="C5" s="4877"/>
      <c r="D5" s="4878"/>
      <c r="E5" s="4906" t="s">
        <v>1921</v>
      </c>
      <c r="F5" s="4906"/>
      <c r="G5" s="4907"/>
      <c r="H5" s="4907"/>
      <c r="I5" s="4907"/>
      <c r="J5" s="4907"/>
      <c r="K5" s="4907"/>
      <c r="L5" s="4908"/>
      <c r="M5" s="4889"/>
      <c r="N5" s="4890"/>
      <c r="O5" s="1060"/>
      <c r="P5" s="339"/>
      <c r="Q5" s="38" t="s">
        <v>706</v>
      </c>
      <c r="R5" s="371"/>
      <c r="S5" s="346"/>
    </row>
    <row r="6" spans="1:20" ht="12.75" customHeight="1">
      <c r="A6" s="117"/>
      <c r="B6" s="4913" t="s">
        <v>303</v>
      </c>
      <c r="C6" s="4914"/>
      <c r="D6" s="4915"/>
      <c r="E6" s="4897" t="s">
        <v>1922</v>
      </c>
      <c r="F6" s="5048"/>
      <c r="G6" s="4898"/>
      <c r="H6" s="4898"/>
      <c r="I6" s="4898"/>
      <c r="J6" s="4898"/>
      <c r="K6" s="4898"/>
      <c r="L6" s="4899"/>
      <c r="M6" s="4893" t="s">
        <v>517</v>
      </c>
      <c r="N6" s="4387"/>
      <c r="O6" s="1059"/>
      <c r="P6" s="338"/>
      <c r="Q6" s="1080"/>
      <c r="R6" s="371"/>
      <c r="S6" s="1305"/>
    </row>
    <row r="7" spans="1:20" ht="12.75" customHeight="1" thickBot="1">
      <c r="A7" s="117"/>
      <c r="B7" s="4916" t="s">
        <v>378</v>
      </c>
      <c r="C7" s="4917"/>
      <c r="D7" s="4918"/>
      <c r="E7" s="5049" t="s">
        <v>1923</v>
      </c>
      <c r="F7" s="5050"/>
      <c r="G7" s="5051"/>
      <c r="H7" s="5051"/>
      <c r="I7" s="5051"/>
      <c r="J7" s="5051"/>
      <c r="K7" s="5051"/>
      <c r="L7" s="5052"/>
      <c r="M7" s="4885" t="s">
        <v>1924</v>
      </c>
      <c r="N7" s="4886"/>
      <c r="O7" s="1060"/>
      <c r="P7" s="339"/>
      <c r="Q7" s="1080"/>
      <c r="R7" s="423"/>
      <c r="S7" s="1305"/>
    </row>
    <row r="8" spans="1:20" ht="11.25" customHeight="1">
      <c r="A8" s="117"/>
      <c r="B8" s="34" t="s">
        <v>2342</v>
      </c>
      <c r="C8" s="231"/>
      <c r="D8" s="231"/>
      <c r="E8" s="196"/>
      <c r="F8" s="196"/>
      <c r="G8" s="198"/>
      <c r="H8" s="212"/>
      <c r="I8" s="198"/>
      <c r="J8" s="198"/>
      <c r="K8" s="198"/>
      <c r="L8" s="4912" t="s">
        <v>151</v>
      </c>
      <c r="M8" s="4413"/>
      <c r="N8" s="4413"/>
      <c r="O8" s="1059"/>
      <c r="P8" s="338"/>
      <c r="Q8" s="1080"/>
      <c r="R8" s="423"/>
      <c r="S8" s="345"/>
    </row>
    <row r="9" spans="1:20" ht="14.25" customHeight="1">
      <c r="A9" s="117"/>
      <c r="B9" s="4879" t="str">
        <f>Names</f>
        <v/>
      </c>
      <c r="C9" s="4880"/>
      <c r="D9" s="4880"/>
      <c r="E9" s="4880"/>
      <c r="F9" s="4880"/>
      <c r="G9" s="4880"/>
      <c r="H9" s="4880"/>
      <c r="I9" s="4880"/>
      <c r="J9" s="4880"/>
      <c r="K9" s="4881"/>
      <c r="L9" s="4290">
        <f>SS_Yours</f>
        <v>0</v>
      </c>
      <c r="M9" s="4909"/>
      <c r="N9" s="4909"/>
      <c r="O9" s="1060"/>
      <c r="P9" s="339"/>
      <c r="Q9" s="1080"/>
      <c r="R9" s="423"/>
      <c r="S9" s="345"/>
    </row>
    <row r="10" spans="1:20" ht="12" customHeight="1">
      <c r="A10" s="117"/>
      <c r="B10" s="3086" t="s">
        <v>558</v>
      </c>
      <c r="C10" s="5053" t="s">
        <v>1925</v>
      </c>
      <c r="D10" s="5054"/>
      <c r="E10" s="5055"/>
      <c r="F10" s="3085"/>
      <c r="G10" s="3083" t="s">
        <v>1926</v>
      </c>
      <c r="H10" s="3079"/>
      <c r="I10" s="3079"/>
      <c r="J10" s="3079"/>
      <c r="K10" s="3079"/>
      <c r="L10" s="3079"/>
      <c r="M10" s="3079"/>
      <c r="N10" s="3080"/>
      <c r="O10" s="1061"/>
      <c r="P10" s="912"/>
      <c r="Q10" s="1080"/>
      <c r="R10" s="423"/>
      <c r="S10" s="11"/>
    </row>
    <row r="11" spans="1:20" ht="12" customHeight="1">
      <c r="A11" s="117"/>
      <c r="B11" s="3254"/>
      <c r="C11" s="5056"/>
      <c r="D11" s="5056"/>
      <c r="E11" s="5057"/>
      <c r="F11" s="3085"/>
      <c r="G11" s="3253" t="s">
        <v>2341</v>
      </c>
      <c r="H11" s="3346"/>
      <c r="I11" s="3346"/>
      <c r="J11" s="3346"/>
      <c r="K11" s="3346"/>
      <c r="L11" s="3346"/>
      <c r="M11" s="3346"/>
      <c r="N11" s="3349"/>
      <c r="O11" s="1061"/>
      <c r="P11" s="912"/>
      <c r="Q11" s="1080"/>
      <c r="R11" s="423"/>
      <c r="S11" s="11"/>
    </row>
    <row r="12" spans="1:20" ht="12" customHeight="1">
      <c r="A12" s="117"/>
      <c r="B12" s="3186"/>
      <c r="C12" s="3347"/>
      <c r="D12" s="3347"/>
      <c r="E12" s="3348"/>
      <c r="F12" s="3085"/>
      <c r="G12" s="3084" t="s">
        <v>1927</v>
      </c>
      <c r="H12" s="3081"/>
      <c r="I12" s="3081"/>
      <c r="J12" s="3081"/>
      <c r="K12" s="3081"/>
      <c r="L12" s="3081"/>
      <c r="M12" s="3081"/>
      <c r="N12" s="3082"/>
      <c r="O12" s="1061"/>
      <c r="P12" s="912"/>
      <c r="Q12" s="1080"/>
      <c r="R12" s="423"/>
      <c r="S12" s="11"/>
    </row>
    <row r="13" spans="1:20" ht="13.5" customHeight="1">
      <c r="A13" s="117"/>
      <c r="B13" s="246">
        <v>1</v>
      </c>
      <c r="C13" s="535" t="s">
        <v>2343</v>
      </c>
      <c r="D13" s="535"/>
      <c r="E13" s="3069"/>
      <c r="F13" s="3069"/>
      <c r="G13" s="3069"/>
      <c r="H13" s="308"/>
      <c r="I13" s="308"/>
      <c r="J13" s="308"/>
      <c r="K13" s="308"/>
      <c r="L13" s="2659" t="s">
        <v>2221</v>
      </c>
      <c r="M13" s="333">
        <f>B13</f>
        <v>1</v>
      </c>
      <c r="N13" s="3018">
        <f>IF(Q13&lt;&gt;"",Q13,TaxableInterest)</f>
        <v>0</v>
      </c>
      <c r="O13" s="1063"/>
      <c r="P13" s="343"/>
      <c r="Q13" s="676"/>
      <c r="R13" s="651"/>
      <c r="S13" s="349"/>
    </row>
    <row r="14" spans="1:20" ht="13.5" customHeight="1">
      <c r="A14" s="117"/>
      <c r="B14" s="246">
        <v>2</v>
      </c>
      <c r="C14" s="535" t="s">
        <v>2344</v>
      </c>
      <c r="D14" s="535"/>
      <c r="E14" s="3069"/>
      <c r="F14" s="3069"/>
      <c r="G14" s="3069"/>
      <c r="H14" s="308"/>
      <c r="I14" s="308"/>
      <c r="J14" s="308"/>
      <c r="K14" s="308"/>
      <c r="L14" s="2659" t="s">
        <v>2221</v>
      </c>
      <c r="M14" s="333">
        <f>B14</f>
        <v>2</v>
      </c>
      <c r="N14" s="3018">
        <f>IF(Q14&lt;&gt;"",Q14,'1040'!AB41)</f>
        <v>0</v>
      </c>
      <c r="O14" s="1063"/>
      <c r="P14" s="343"/>
      <c r="Q14" s="676"/>
      <c r="R14" s="651"/>
      <c r="S14" s="349"/>
    </row>
    <row r="15" spans="1:20" ht="13.5" customHeight="1">
      <c r="A15" s="117"/>
      <c r="B15" s="246">
        <v>3</v>
      </c>
      <c r="C15" s="535" t="s">
        <v>2345</v>
      </c>
      <c r="D15" s="535"/>
      <c r="E15" s="3069"/>
      <c r="F15" s="3069"/>
      <c r="G15" s="3069"/>
      <c r="H15" s="308"/>
      <c r="I15" s="308"/>
      <c r="J15" s="308"/>
      <c r="K15" s="308"/>
      <c r="L15" s="2659" t="s">
        <v>2346</v>
      </c>
      <c r="M15" s="333">
        <f>B15</f>
        <v>3</v>
      </c>
      <c r="N15" s="3019"/>
      <c r="O15" s="1063"/>
      <c r="P15" s="343"/>
      <c r="Q15" s="898"/>
      <c r="R15" s="651"/>
      <c r="S15" s="349"/>
    </row>
    <row r="16" spans="1:20" s="1595" customFormat="1" ht="13.5" customHeight="1">
      <c r="A16" s="117"/>
      <c r="B16" s="246" t="s">
        <v>193</v>
      </c>
      <c r="C16" s="535" t="s">
        <v>1928</v>
      </c>
      <c r="D16" s="535"/>
      <c r="E16" s="3069"/>
      <c r="F16" s="3069"/>
      <c r="G16" s="3069"/>
      <c r="H16" s="308"/>
      <c r="I16" s="308"/>
      <c r="J16" s="308"/>
      <c r="K16" s="1079"/>
      <c r="L16" s="2659"/>
      <c r="M16" s="1084"/>
      <c r="N16" s="899"/>
      <c r="O16" s="1062"/>
      <c r="P16" s="2951"/>
      <c r="Q16" s="931"/>
      <c r="R16" s="651"/>
      <c r="S16" s="349"/>
      <c r="T16"/>
    </row>
    <row r="17" spans="1:20" ht="13.5" customHeight="1">
      <c r="A17" s="117"/>
      <c r="B17" s="311"/>
      <c r="C17" s="535" t="s">
        <v>2347</v>
      </c>
      <c r="D17" s="3068"/>
      <c r="E17" s="3069"/>
      <c r="F17" s="3069"/>
      <c r="G17" s="3069"/>
      <c r="H17" s="308"/>
      <c r="I17" s="311"/>
      <c r="J17" s="246" t="s">
        <v>1463</v>
      </c>
      <c r="K17" s="905" t="str">
        <f>B16</f>
        <v>4a</v>
      </c>
      <c r="L17" s="3018">
        <f>'1040'!AB50</f>
        <v>0</v>
      </c>
      <c r="M17" s="1084"/>
      <c r="N17" s="818"/>
      <c r="O17" s="1063"/>
      <c r="P17" s="343"/>
      <c r="Q17" s="676"/>
      <c r="R17" s="60"/>
      <c r="S17" s="314"/>
    </row>
    <row r="18" spans="1:20" s="1595" customFormat="1" ht="13.5" customHeight="1">
      <c r="A18" s="117"/>
      <c r="B18" s="246" t="s">
        <v>85</v>
      </c>
      <c r="C18" s="535" t="s">
        <v>1929</v>
      </c>
      <c r="D18" s="535"/>
      <c r="E18" s="3069"/>
      <c r="F18" s="3069"/>
      <c r="G18" s="3069"/>
      <c r="H18" s="308"/>
      <c r="I18" s="308"/>
      <c r="J18" s="308"/>
      <c r="K18" s="1079"/>
      <c r="L18" s="311"/>
      <c r="M18" s="1084"/>
      <c r="N18" s="899"/>
      <c r="O18" s="1062"/>
      <c r="P18" s="2951"/>
      <c r="Q18" s="931"/>
      <c r="R18" s="651"/>
      <c r="S18" s="349"/>
      <c r="T18"/>
    </row>
    <row r="19" spans="1:20" ht="13.5" customHeight="1">
      <c r="A19" s="117"/>
      <c r="B19" s="311"/>
      <c r="C19" s="535" t="s">
        <v>1930</v>
      </c>
      <c r="D19" s="3068"/>
      <c r="E19" s="3069"/>
      <c r="F19" s="3069"/>
      <c r="G19" s="3069"/>
      <c r="H19" s="308"/>
      <c r="I19" s="311"/>
      <c r="J19" s="246" t="s">
        <v>959</v>
      </c>
      <c r="K19" s="905" t="str">
        <f>B18</f>
        <v>b</v>
      </c>
      <c r="L19" s="3019"/>
      <c r="M19" s="1084"/>
      <c r="N19" s="818"/>
      <c r="O19" s="1063"/>
      <c r="P19" s="343"/>
      <c r="Q19" s="931"/>
      <c r="R19" s="60"/>
      <c r="S19" s="314"/>
    </row>
    <row r="20" spans="1:20" ht="13.5" customHeight="1">
      <c r="A20" s="117"/>
      <c r="B20" s="246" t="s">
        <v>86</v>
      </c>
      <c r="C20" s="535" t="s">
        <v>1931</v>
      </c>
      <c r="D20" s="535"/>
      <c r="E20" s="3069"/>
      <c r="F20" s="3069"/>
      <c r="G20" s="3069"/>
      <c r="H20" s="308"/>
      <c r="I20" s="308"/>
      <c r="J20" s="308"/>
      <c r="K20" s="308"/>
      <c r="L20" s="2659" t="s">
        <v>514</v>
      </c>
      <c r="M20" s="333" t="s">
        <v>162</v>
      </c>
      <c r="N20" s="3018">
        <f>IF(Q20&lt;&gt;"",Q20,SUM(L17,L19))</f>
        <v>0</v>
      </c>
      <c r="O20" s="1063"/>
      <c r="P20" s="343"/>
      <c r="Q20" s="676"/>
      <c r="R20" s="651"/>
      <c r="S20" s="349"/>
    </row>
    <row r="21" spans="1:20" ht="13.5" customHeight="1">
      <c r="A21" s="117"/>
      <c r="B21" s="246" t="s">
        <v>627</v>
      </c>
      <c r="C21" s="535" t="s">
        <v>2348</v>
      </c>
      <c r="D21" s="3068"/>
      <c r="E21" s="3069"/>
      <c r="F21" s="3069"/>
      <c r="G21" s="3069"/>
      <c r="H21" s="308"/>
      <c r="I21" s="311"/>
      <c r="J21" s="246" t="s">
        <v>1462</v>
      </c>
      <c r="K21" s="905" t="str">
        <f>B21</f>
        <v>5a</v>
      </c>
      <c r="L21" s="3018">
        <f>IF(Q21&lt;&gt;"",Q21,SUM('1040'!AB46,'1040'!AB47))</f>
        <v>0</v>
      </c>
      <c r="M21" s="1084"/>
      <c r="N21" s="818"/>
      <c r="O21" s="1063"/>
      <c r="P21" s="343"/>
      <c r="Q21" s="676"/>
      <c r="R21" s="60"/>
      <c r="S21" s="314"/>
    </row>
    <row r="22" spans="1:20" s="1595" customFormat="1" ht="13.5" customHeight="1">
      <c r="A22" s="117"/>
      <c r="B22" s="246" t="s">
        <v>85</v>
      </c>
      <c r="C22" s="535" t="s">
        <v>1932</v>
      </c>
      <c r="D22" s="535"/>
      <c r="E22" s="3069"/>
      <c r="F22" s="3069"/>
      <c r="G22" s="3069"/>
      <c r="H22" s="308"/>
      <c r="I22" s="308"/>
      <c r="J22" s="308"/>
      <c r="K22" s="1079"/>
      <c r="L22" s="311"/>
      <c r="M22" s="1084"/>
      <c r="N22" s="899"/>
      <c r="O22" s="1062"/>
      <c r="P22" s="2951"/>
      <c r="Q22" s="898"/>
      <c r="R22" s="651"/>
      <c r="S22" s="349"/>
      <c r="T22"/>
    </row>
    <row r="23" spans="1:20" ht="13.5" customHeight="1">
      <c r="A23" s="117"/>
      <c r="B23" s="311"/>
      <c r="C23" s="535" t="s">
        <v>1933</v>
      </c>
      <c r="D23" s="3068"/>
      <c r="E23" s="3069"/>
      <c r="F23" s="3069"/>
      <c r="G23" s="3069"/>
      <c r="H23" s="308"/>
      <c r="I23" s="311"/>
      <c r="J23" s="246" t="s">
        <v>853</v>
      </c>
      <c r="K23" s="905" t="str">
        <f>B22</f>
        <v>b</v>
      </c>
      <c r="L23" s="3019"/>
      <c r="M23" s="1084"/>
      <c r="N23" s="818"/>
      <c r="O23" s="1063"/>
      <c r="P23" s="343"/>
      <c r="Q23" s="898"/>
      <c r="R23" s="60"/>
      <c r="S23" s="314"/>
    </row>
    <row r="24" spans="1:20" s="1595" customFormat="1" ht="13.5" customHeight="1">
      <c r="A24" s="117"/>
      <c r="B24" s="246" t="s">
        <v>86</v>
      </c>
      <c r="C24" s="535" t="s">
        <v>1934</v>
      </c>
      <c r="D24" s="535"/>
      <c r="E24" s="3069"/>
      <c r="F24" s="3069"/>
      <c r="G24" s="3069"/>
      <c r="H24" s="308"/>
      <c r="I24" s="308"/>
      <c r="J24" s="308"/>
      <c r="K24" s="1079"/>
      <c r="L24" s="311"/>
      <c r="M24" s="1084"/>
      <c r="N24" s="899"/>
      <c r="O24" s="1062"/>
      <c r="P24" s="2951"/>
      <c r="Q24" s="898"/>
      <c r="R24" s="651"/>
      <c r="S24" s="349"/>
      <c r="T24"/>
    </row>
    <row r="25" spans="1:20" ht="13.5" customHeight="1">
      <c r="A25" s="117"/>
      <c r="B25" s="311"/>
      <c r="C25" s="535" t="s">
        <v>2349</v>
      </c>
      <c r="D25" s="3068"/>
      <c r="E25" s="3069"/>
      <c r="F25" s="3069"/>
      <c r="G25" s="3069"/>
      <c r="H25" s="308"/>
      <c r="I25" s="311"/>
      <c r="J25" s="246" t="s">
        <v>1952</v>
      </c>
      <c r="K25" s="905" t="str">
        <f>B24</f>
        <v>c</v>
      </c>
      <c r="L25" s="3019"/>
      <c r="M25" s="1084"/>
      <c r="N25" s="818"/>
      <c r="O25" s="1063"/>
      <c r="P25" s="343"/>
      <c r="Q25" s="898"/>
      <c r="R25" s="60"/>
      <c r="S25" s="314"/>
    </row>
    <row r="26" spans="1:20" ht="13.5" customHeight="1">
      <c r="A26" s="117"/>
      <c r="B26" s="246" t="s">
        <v>154</v>
      </c>
      <c r="C26" s="535" t="s">
        <v>1935</v>
      </c>
      <c r="D26" s="535"/>
      <c r="E26" s="3069"/>
      <c r="F26" s="3069"/>
      <c r="G26" s="3069"/>
      <c r="H26" s="308"/>
      <c r="I26" s="308"/>
      <c r="J26" s="308"/>
      <c r="K26" s="308"/>
      <c r="L26" s="2659" t="s">
        <v>514</v>
      </c>
      <c r="M26" s="333" t="s">
        <v>1939</v>
      </c>
      <c r="N26" s="3018">
        <f>IF(Q26&lt;&gt;"",Q26,SUM(L21,L23,L25))</f>
        <v>0</v>
      </c>
      <c r="O26" s="1063"/>
      <c r="P26" s="343"/>
      <c r="Q26" s="676"/>
      <c r="R26" s="651"/>
      <c r="S26" s="349"/>
    </row>
    <row r="27" spans="1:20" ht="13.5" customHeight="1">
      <c r="A27" s="117"/>
      <c r="B27" s="246">
        <v>6</v>
      </c>
      <c r="C27" s="535" t="s">
        <v>1936</v>
      </c>
      <c r="D27" s="535"/>
      <c r="E27" s="3069"/>
      <c r="F27" s="3069"/>
      <c r="G27" s="3069"/>
      <c r="H27" s="308"/>
      <c r="I27" s="308"/>
      <c r="J27" s="308"/>
      <c r="K27" s="308"/>
      <c r="L27" s="2659" t="s">
        <v>1059</v>
      </c>
      <c r="M27" s="333">
        <f>B27</f>
        <v>6</v>
      </c>
      <c r="N27" s="3019"/>
      <c r="O27" s="1063"/>
      <c r="P27" s="343"/>
      <c r="Q27" s="898"/>
      <c r="R27" s="651"/>
      <c r="S27" s="349"/>
    </row>
    <row r="28" spans="1:20" ht="13.5" customHeight="1">
      <c r="A28" s="117"/>
      <c r="B28" s="246">
        <v>7</v>
      </c>
      <c r="C28" s="535" t="s">
        <v>1937</v>
      </c>
      <c r="D28" s="535"/>
      <c r="E28" s="3069"/>
      <c r="F28" s="3069"/>
      <c r="G28" s="3069"/>
      <c r="H28" s="308"/>
      <c r="I28" s="308"/>
      <c r="J28" s="308"/>
      <c r="K28" s="308"/>
      <c r="L28" s="2659" t="s">
        <v>1882</v>
      </c>
      <c r="M28" s="333">
        <f>B28</f>
        <v>7</v>
      </c>
      <c r="N28" s="3019"/>
      <c r="O28" s="1063"/>
      <c r="P28" s="343"/>
      <c r="Q28" s="898"/>
      <c r="R28" s="651"/>
      <c r="S28" s="349"/>
    </row>
    <row r="29" spans="1:20" ht="13.5" customHeight="1">
      <c r="A29" s="117"/>
      <c r="B29" s="246">
        <v>8</v>
      </c>
      <c r="C29" s="535" t="s">
        <v>1938</v>
      </c>
      <c r="D29" s="535"/>
      <c r="E29" s="3069"/>
      <c r="F29" s="3069"/>
      <c r="G29" s="3069"/>
      <c r="H29" s="308"/>
      <c r="I29" s="308"/>
      <c r="J29" s="308"/>
      <c r="K29" s="308"/>
      <c r="L29" s="2659" t="s">
        <v>466</v>
      </c>
      <c r="M29" s="333">
        <f>B29</f>
        <v>8</v>
      </c>
      <c r="N29" s="3018">
        <f>IF(Q29&lt;&gt;"",Q29,SUM(N13,N14,N15,N20,N26,N27,N28))</f>
        <v>0</v>
      </c>
      <c r="O29" s="1063"/>
      <c r="P29" s="343"/>
      <c r="Q29" s="676"/>
      <c r="R29" s="651"/>
      <c r="S29" s="349"/>
    </row>
    <row r="30" spans="1:20" s="1595" customFormat="1" ht="15.75" customHeight="1">
      <c r="A30" s="117"/>
      <c r="B30" s="914" t="s">
        <v>197</v>
      </c>
      <c r="C30" s="5043" t="s">
        <v>1940</v>
      </c>
      <c r="D30" s="4910"/>
      <c r="E30" s="4911"/>
      <c r="F30" s="4911"/>
      <c r="G30" s="4911"/>
      <c r="H30" s="4911"/>
      <c r="I30" s="4911"/>
      <c r="J30" s="4911"/>
      <c r="K30" s="4911"/>
      <c r="L30" s="4911"/>
      <c r="M30" s="4911"/>
      <c r="N30" s="4911"/>
      <c r="O30" s="1064"/>
      <c r="P30" s="915"/>
      <c r="Q30" s="898"/>
      <c r="R30" s="609"/>
      <c r="S30" s="928"/>
      <c r="T30"/>
    </row>
    <row r="31" spans="1:20" ht="13.5" customHeight="1">
      <c r="A31" s="117"/>
      <c r="B31" s="246" t="s">
        <v>486</v>
      </c>
      <c r="C31" s="535" t="s">
        <v>1941</v>
      </c>
      <c r="D31" s="3068"/>
      <c r="E31" s="3069"/>
      <c r="F31" s="3069"/>
      <c r="G31" s="3069"/>
      <c r="H31" s="308"/>
      <c r="I31" s="311"/>
      <c r="J31" s="246" t="s">
        <v>1463</v>
      </c>
      <c r="K31" s="905" t="str">
        <f>B31</f>
        <v>9a</v>
      </c>
      <c r="L31" s="3019"/>
      <c r="M31" s="1084"/>
      <c r="N31" s="3087"/>
      <c r="O31" s="1063"/>
      <c r="P31" s="343"/>
      <c r="Q31" s="898"/>
      <c r="R31" s="60"/>
      <c r="S31" s="314"/>
    </row>
    <row r="32" spans="1:20" ht="13.5" customHeight="1">
      <c r="A32" s="117"/>
      <c r="B32" s="246" t="s">
        <v>85</v>
      </c>
      <c r="C32" s="535" t="s">
        <v>1943</v>
      </c>
      <c r="D32" s="3068"/>
      <c r="E32" s="3069"/>
      <c r="F32" s="3069"/>
      <c r="G32" s="3069"/>
      <c r="H32" s="308"/>
      <c r="I32" s="311"/>
      <c r="J32" s="246" t="s">
        <v>1944</v>
      </c>
      <c r="K32" s="333" t="s">
        <v>487</v>
      </c>
      <c r="L32" s="3019"/>
      <c r="M32" s="1084"/>
      <c r="N32" s="818"/>
      <c r="O32" s="1063"/>
      <c r="P32" s="343"/>
      <c r="Q32" s="898"/>
      <c r="R32" s="60"/>
      <c r="S32" s="314"/>
    </row>
    <row r="33" spans="1:29" ht="13.5" customHeight="1">
      <c r="A33" s="117"/>
      <c r="B33" s="246" t="s">
        <v>86</v>
      </c>
      <c r="C33" s="535" t="s">
        <v>1945</v>
      </c>
      <c r="D33" s="3068"/>
      <c r="E33" s="3069"/>
      <c r="F33" s="3069"/>
      <c r="G33" s="3069"/>
      <c r="H33" s="308"/>
      <c r="I33" s="311"/>
      <c r="J33" s="246" t="s">
        <v>959</v>
      </c>
      <c r="K33" s="333" t="s">
        <v>1947</v>
      </c>
      <c r="L33" s="3019"/>
      <c r="M33" s="1084"/>
      <c r="N33" s="818"/>
      <c r="O33" s="1063"/>
      <c r="P33" s="343"/>
      <c r="Q33" s="898"/>
      <c r="R33" s="60"/>
      <c r="S33" s="314"/>
    </row>
    <row r="34" spans="1:29" ht="13.5" customHeight="1">
      <c r="A34" s="117"/>
      <c r="B34" s="246" t="s">
        <v>154</v>
      </c>
      <c r="C34" s="535" t="s">
        <v>1948</v>
      </c>
      <c r="D34" s="535"/>
      <c r="E34" s="3069"/>
      <c r="F34" s="3069"/>
      <c r="G34" s="3069"/>
      <c r="H34" s="308"/>
      <c r="I34" s="308"/>
      <c r="J34" s="308"/>
      <c r="K34" s="308"/>
      <c r="L34" s="2659" t="s">
        <v>1226</v>
      </c>
      <c r="M34" s="333" t="s">
        <v>1946</v>
      </c>
      <c r="N34" s="3018">
        <f>IF(Q34&lt;&gt;"",Q34,SUM(L31,L32,L33))</f>
        <v>0</v>
      </c>
      <c r="O34" s="1063"/>
      <c r="P34" s="343"/>
      <c r="Q34" s="676"/>
      <c r="R34" s="651"/>
      <c r="S34" s="349"/>
      <c r="U34" s="2977"/>
      <c r="V34" s="2977"/>
      <c r="W34" s="2977"/>
      <c r="X34" s="2977"/>
      <c r="Y34" s="2977"/>
      <c r="Z34" s="2977"/>
      <c r="AA34" s="2977"/>
      <c r="AB34" s="2977"/>
      <c r="AC34" s="2977"/>
    </row>
    <row r="35" spans="1:29" ht="13.5" customHeight="1" thickBot="1">
      <c r="A35" s="117"/>
      <c r="B35" s="246">
        <v>10</v>
      </c>
      <c r="C35" s="535" t="s">
        <v>1949</v>
      </c>
      <c r="D35" s="535"/>
      <c r="E35" s="3069"/>
      <c r="F35" s="3069"/>
      <c r="G35" s="3069"/>
      <c r="H35" s="308"/>
      <c r="I35" s="308"/>
      <c r="J35" s="308"/>
      <c r="K35" s="308"/>
      <c r="L35" s="2659" t="s">
        <v>1195</v>
      </c>
      <c r="M35" s="333">
        <f>B35</f>
        <v>10</v>
      </c>
      <c r="N35" s="3019"/>
      <c r="O35" s="1063"/>
      <c r="P35" s="343"/>
      <c r="Q35" s="898"/>
      <c r="R35" s="651"/>
      <c r="S35" s="349"/>
      <c r="U35" s="2977"/>
      <c r="V35" s="2977"/>
      <c r="W35" s="2977"/>
      <c r="X35" s="2977"/>
      <c r="Y35" s="2977"/>
      <c r="Z35" s="2977"/>
      <c r="AA35" s="2977"/>
      <c r="AB35" s="2977"/>
      <c r="AC35" s="2977"/>
    </row>
    <row r="36" spans="1:29" ht="13.5" customHeight="1">
      <c r="A36" s="117"/>
      <c r="B36" s="246">
        <v>11</v>
      </c>
      <c r="C36" s="535" t="s">
        <v>1950</v>
      </c>
      <c r="D36" s="535"/>
      <c r="E36" s="3069"/>
      <c r="F36" s="3069"/>
      <c r="G36" s="3069"/>
      <c r="H36" s="308"/>
      <c r="I36" s="308"/>
      <c r="J36" s="308"/>
      <c r="K36" s="308"/>
      <c r="L36" s="2659" t="s">
        <v>1058</v>
      </c>
      <c r="M36" s="333">
        <f>B36</f>
        <v>11</v>
      </c>
      <c r="N36" s="3018">
        <f>IF(Q36&lt;&gt;"",Q36,SUM(N34,N35))</f>
        <v>0</v>
      </c>
      <c r="O36" s="1063"/>
      <c r="P36" s="343"/>
      <c r="Q36" s="676"/>
      <c r="R36" s="651"/>
      <c r="S36" s="349"/>
      <c r="T36" s="3092"/>
      <c r="U36" s="3093"/>
      <c r="V36" s="3093"/>
      <c r="W36" s="3093"/>
      <c r="X36" s="3093"/>
      <c r="Y36" s="3093"/>
      <c r="Z36" s="3093"/>
      <c r="AA36" s="3093"/>
      <c r="AB36" s="3094"/>
      <c r="AC36" s="2977"/>
    </row>
    <row r="37" spans="1:29" s="1595" customFormat="1" ht="15.75" customHeight="1">
      <c r="A37" s="117"/>
      <c r="B37" s="914" t="s">
        <v>546</v>
      </c>
      <c r="C37" s="5043" t="s">
        <v>1951</v>
      </c>
      <c r="D37" s="4910"/>
      <c r="E37" s="4911"/>
      <c r="F37" s="4911"/>
      <c r="G37" s="4911"/>
      <c r="H37" s="4911"/>
      <c r="I37" s="4911"/>
      <c r="J37" s="4911"/>
      <c r="K37" s="4911"/>
      <c r="L37" s="4911"/>
      <c r="M37" s="4911"/>
      <c r="N37" s="4911"/>
      <c r="O37" s="1064"/>
      <c r="P37" s="915"/>
      <c r="Q37" s="898"/>
      <c r="R37" s="609"/>
      <c r="S37" s="928"/>
      <c r="T37" s="3095"/>
      <c r="U37" s="3096" t="s">
        <v>1979</v>
      </c>
      <c r="V37" s="3100"/>
      <c r="W37" s="3100"/>
      <c r="X37" s="3100"/>
      <c r="Y37" s="3100"/>
      <c r="Z37" s="3115" t="s">
        <v>300</v>
      </c>
      <c r="AA37" s="3100"/>
      <c r="AB37" s="3102"/>
      <c r="AC37" s="4"/>
    </row>
    <row r="38" spans="1:29" s="1595" customFormat="1" ht="13.5" customHeight="1">
      <c r="A38" s="117"/>
      <c r="B38" s="246">
        <v>12</v>
      </c>
      <c r="C38" s="535" t="s">
        <v>1977</v>
      </c>
      <c r="D38" s="535"/>
      <c r="E38" s="3069"/>
      <c r="F38" s="3069"/>
      <c r="G38" s="3069"/>
      <c r="H38" s="308"/>
      <c r="I38" s="308"/>
      <c r="J38" s="308"/>
      <c r="K38" s="308"/>
      <c r="L38" s="311"/>
      <c r="M38" s="301"/>
      <c r="N38" s="3071">
        <v>8.9999999999999993E-3</v>
      </c>
      <c r="O38" s="1062"/>
      <c r="P38" s="2951"/>
      <c r="Q38" s="898"/>
      <c r="R38" s="651"/>
      <c r="S38" s="349"/>
      <c r="T38" s="3095"/>
      <c r="U38" s="3096"/>
      <c r="V38" s="3097"/>
      <c r="W38" s="3097"/>
      <c r="X38" s="3097"/>
      <c r="Y38" s="3097"/>
      <c r="Z38" s="3107"/>
      <c r="AA38" s="3098"/>
      <c r="AB38" s="3099"/>
      <c r="AC38" s="4"/>
    </row>
    <row r="39" spans="1:29" ht="13.5" customHeight="1">
      <c r="A39" s="117"/>
      <c r="B39" s="246"/>
      <c r="C39" s="535" t="s">
        <v>1978</v>
      </c>
      <c r="D39" s="3068"/>
      <c r="E39" s="3069"/>
      <c r="F39" s="3069"/>
      <c r="G39" s="3069"/>
      <c r="H39" s="308"/>
      <c r="I39" s="308"/>
      <c r="J39" s="308"/>
      <c r="K39" s="308"/>
      <c r="L39" s="2659" t="s">
        <v>1061</v>
      </c>
      <c r="M39" s="301">
        <f>B38</f>
        <v>12</v>
      </c>
      <c r="N39" s="3018">
        <f>IF(Q39&lt;&gt;"",Q39,IF(N36&gt;=N29,0,SUM(N29,-N36)))</f>
        <v>0</v>
      </c>
      <c r="O39" s="1063"/>
      <c r="P39" s="344"/>
      <c r="Q39" s="676"/>
      <c r="R39" s="651"/>
      <c r="S39" s="941"/>
      <c r="T39" s="3112"/>
      <c r="U39" s="3113"/>
      <c r="V39" s="3113"/>
      <c r="W39" s="3113"/>
      <c r="X39" s="3113"/>
      <c r="Y39" s="3113"/>
      <c r="Z39" s="3113"/>
      <c r="AA39" s="3113"/>
      <c r="AB39" s="3114"/>
      <c r="AC39" s="2977"/>
    </row>
    <row r="40" spans="1:29" ht="13.5" customHeight="1">
      <c r="A40" s="117"/>
      <c r="B40" s="246"/>
      <c r="C40" s="3088" t="s">
        <v>1953</v>
      </c>
      <c r="D40" s="3068"/>
      <c r="E40" s="3069"/>
      <c r="F40" s="3069"/>
      <c r="G40" s="3069"/>
      <c r="H40" s="308"/>
      <c r="I40" s="308"/>
      <c r="J40" s="308"/>
      <c r="K40" s="308"/>
      <c r="L40" s="2952"/>
      <c r="M40" s="1084"/>
      <c r="N40" s="3118">
        <v>250000</v>
      </c>
      <c r="O40" s="1063"/>
      <c r="P40" s="344"/>
      <c r="Q40" s="898"/>
      <c r="R40" s="651"/>
      <c r="S40" s="941"/>
      <c r="T40" s="3095"/>
      <c r="U40" s="3106" t="s">
        <v>1980</v>
      </c>
      <c r="V40" s="3100"/>
      <c r="W40" s="3100"/>
      <c r="X40" s="3100"/>
      <c r="Y40" s="3101"/>
      <c r="Z40" s="3101" t="s">
        <v>506</v>
      </c>
      <c r="AA40" s="3111">
        <f>Adj_Gross_Inc</f>
        <v>0</v>
      </c>
      <c r="AB40" s="3102"/>
      <c r="AC40" s="2977"/>
    </row>
    <row r="41" spans="1:29" ht="13.5" customHeight="1">
      <c r="A41" s="117"/>
      <c r="B41" s="246">
        <v>13</v>
      </c>
      <c r="C41" s="535" t="s">
        <v>1954</v>
      </c>
      <c r="D41" s="3068"/>
      <c r="E41" s="3069"/>
      <c r="F41" s="3069"/>
      <c r="G41" s="3069"/>
      <c r="H41" s="308"/>
      <c r="I41" s="311"/>
      <c r="J41" s="246" t="s">
        <v>1042</v>
      </c>
      <c r="K41" s="905">
        <f>B41</f>
        <v>13</v>
      </c>
      <c r="L41" s="3018">
        <f>IF(Q41&lt;&gt;"",Q41,AA53)</f>
        <v>0</v>
      </c>
      <c r="M41" s="1084"/>
      <c r="N41" s="3119">
        <v>125000</v>
      </c>
      <c r="O41" s="1063"/>
      <c r="P41" s="343"/>
      <c r="Q41" s="676"/>
      <c r="R41" s="60"/>
      <c r="S41" s="314"/>
      <c r="T41" s="3095"/>
      <c r="U41" s="3100"/>
      <c r="V41" s="3100"/>
      <c r="W41" s="3100"/>
      <c r="X41" s="3100"/>
      <c r="Y41" s="3100"/>
      <c r="Z41" s="3100"/>
      <c r="AA41" s="3100"/>
      <c r="AB41" s="3102"/>
      <c r="AC41" s="2977"/>
    </row>
    <row r="42" spans="1:29" ht="13.5" customHeight="1">
      <c r="A42" s="117"/>
      <c r="B42" s="246">
        <v>14</v>
      </c>
      <c r="C42" s="535" t="s">
        <v>1955</v>
      </c>
      <c r="D42" s="3068"/>
      <c r="E42" s="3069"/>
      <c r="F42" s="3069"/>
      <c r="G42" s="3069"/>
      <c r="H42" s="308"/>
      <c r="I42" s="311"/>
      <c r="J42" s="246" t="s">
        <v>1042</v>
      </c>
      <c r="K42" s="905">
        <f>B42</f>
        <v>14</v>
      </c>
      <c r="L42" s="3018" t="str">
        <f>IF(N43="---","Filing status?",N43)</f>
        <v>Filing status?</v>
      </c>
      <c r="M42" s="1084"/>
      <c r="N42" s="3119">
        <v>200000</v>
      </c>
      <c r="O42" s="1063"/>
      <c r="P42" s="343"/>
      <c r="Q42" s="898"/>
      <c r="R42" s="60"/>
      <c r="S42" s="314"/>
      <c r="T42" s="3095"/>
      <c r="U42" s="3106" t="s">
        <v>1981</v>
      </c>
      <c r="V42" s="3100"/>
      <c r="W42" s="3100"/>
      <c r="X42" s="3100"/>
      <c r="Y42" s="3100"/>
      <c r="Z42" s="3100"/>
      <c r="AA42" s="3100"/>
      <c r="AB42" s="3102"/>
      <c r="AC42" s="2977"/>
    </row>
    <row r="43" spans="1:29" ht="13.5" customHeight="1">
      <c r="A43" s="117"/>
      <c r="B43" s="246">
        <v>15</v>
      </c>
      <c r="C43" s="535" t="s">
        <v>1956</v>
      </c>
      <c r="D43" s="3068"/>
      <c r="E43" s="3069"/>
      <c r="F43" s="3069"/>
      <c r="G43" s="3069"/>
      <c r="H43" s="308"/>
      <c r="I43" s="311"/>
      <c r="J43" s="246" t="s">
        <v>1203</v>
      </c>
      <c r="K43" s="905">
        <f>B43</f>
        <v>15</v>
      </c>
      <c r="L43" s="3018" t="str">
        <f>IF(N43="---","",IF(L42&gt;=L41,0,SUM(L41,-L42)))</f>
        <v/>
      </c>
      <c r="M43" s="1084"/>
      <c r="N43" s="3119" t="str">
        <f>IF(OR(File_Marr_Joint&lt;&gt;"",File_Qual_Widow&lt;&gt;""),N40,IF(File_Marr_Sep&lt;&gt;"",N41,IF(OR(File_Single&lt;&gt;"",File_Head&lt;&gt;""),N42,"---")))</f>
        <v>---</v>
      </c>
      <c r="O43" s="1063"/>
      <c r="P43" s="343"/>
      <c r="Q43" s="898"/>
      <c r="R43" s="60"/>
      <c r="S43" s="314"/>
      <c r="T43" s="3095"/>
      <c r="U43" s="3100"/>
      <c r="V43" s="3100" t="s">
        <v>1984</v>
      </c>
      <c r="W43" s="3100" t="s">
        <v>1985</v>
      </c>
      <c r="X43" s="3100"/>
      <c r="Y43" s="3100"/>
      <c r="Z43" s="3100"/>
      <c r="AA43" s="3100"/>
      <c r="AB43" s="3102"/>
      <c r="AC43" s="2977"/>
    </row>
    <row r="44" spans="1:29" ht="13.5" customHeight="1">
      <c r="A44" s="117"/>
      <c r="B44" s="246">
        <v>16</v>
      </c>
      <c r="C44" s="535" t="s">
        <v>1957</v>
      </c>
      <c r="D44" s="535"/>
      <c r="E44" s="3069"/>
      <c r="F44" s="3069"/>
      <c r="G44" s="3069"/>
      <c r="H44" s="308"/>
      <c r="I44" s="308"/>
      <c r="J44" s="308"/>
      <c r="K44" s="308"/>
      <c r="L44" s="880"/>
      <c r="M44" s="333">
        <f>B44</f>
        <v>16</v>
      </c>
      <c r="N44" s="3018" t="str">
        <f>IF(N43="---","",IF(Q44&lt;&gt;"",Q44,MIN(N39,L43)))</f>
        <v/>
      </c>
      <c r="O44" s="1063"/>
      <c r="P44" s="343"/>
      <c r="Q44" s="676"/>
      <c r="R44" s="651"/>
      <c r="S44" s="349"/>
      <c r="T44" s="3095"/>
      <c r="U44" s="3100"/>
      <c r="V44" s="3100"/>
      <c r="W44" s="3100" t="s">
        <v>1982</v>
      </c>
      <c r="X44" s="3100"/>
      <c r="Y44" s="3110"/>
      <c r="Z44" s="3100"/>
      <c r="AA44" s="3100"/>
      <c r="AB44" s="3102"/>
      <c r="AC44" s="2977"/>
    </row>
    <row r="45" spans="1:29" s="1595" customFormat="1" ht="13.5" customHeight="1">
      <c r="A45" s="117"/>
      <c r="B45" s="246">
        <v>17</v>
      </c>
      <c r="C45" s="535" t="str">
        <f>"Net investment income tax for individuals. Multiply line 16 by "&amp;TEXT(N45,"0.0%")&amp;" ("&amp;TEXT(N45,".000")&amp;")."</f>
        <v>Net investment income tax for individuals. Multiply line 16 by 3.8% (.038).</v>
      </c>
      <c r="D45" s="535"/>
      <c r="E45" s="3069"/>
      <c r="F45" s="3069"/>
      <c r="G45" s="3069"/>
      <c r="H45" s="308"/>
      <c r="I45" s="308"/>
      <c r="J45" s="308"/>
      <c r="K45" s="308"/>
      <c r="L45" s="311"/>
      <c r="M45" s="301"/>
      <c r="N45" s="3071">
        <v>3.7999999999999999E-2</v>
      </c>
      <c r="O45" s="1062"/>
      <c r="P45" s="2951"/>
      <c r="Q45" s="898"/>
      <c r="R45" s="651"/>
      <c r="S45" s="349"/>
      <c r="T45" s="3095"/>
      <c r="U45" s="3100"/>
      <c r="V45" s="3100" t="s">
        <v>1986</v>
      </c>
      <c r="W45" s="3100" t="s">
        <v>1987</v>
      </c>
      <c r="X45" s="3100"/>
      <c r="Y45" s="3100"/>
      <c r="Z45" s="3100"/>
      <c r="AA45" s="3100"/>
      <c r="AB45" s="3102"/>
      <c r="AC45" s="4"/>
    </row>
    <row r="46" spans="1:29" ht="13.5" customHeight="1">
      <c r="A46" s="117"/>
      <c r="B46" s="246"/>
      <c r="C46" s="535" t="s">
        <v>2350</v>
      </c>
      <c r="D46" s="3068"/>
      <c r="E46" s="3069"/>
      <c r="F46" s="3069"/>
      <c r="G46" s="3069"/>
      <c r="H46" s="308"/>
      <c r="I46" s="308"/>
      <c r="J46" s="308"/>
      <c r="K46" s="308"/>
      <c r="L46" s="2659" t="s">
        <v>1882</v>
      </c>
      <c r="M46" s="301">
        <f>B45</f>
        <v>17</v>
      </c>
      <c r="N46" s="3018" t="str">
        <f>IF(N43="---","",IF(Q46&lt;&gt;"",Q46,ROUND(N44*N45,0)))</f>
        <v/>
      </c>
      <c r="O46" s="1063"/>
      <c r="P46" s="344"/>
      <c r="Q46" s="676"/>
      <c r="R46" s="651"/>
      <c r="S46" s="941"/>
      <c r="T46" s="3095"/>
      <c r="U46" s="3097"/>
      <c r="V46" s="3097"/>
      <c r="W46" s="3100" t="s">
        <v>1983</v>
      </c>
      <c r="X46" s="3097"/>
      <c r="Y46" s="3097"/>
      <c r="Z46" s="3097"/>
      <c r="AA46" s="3097"/>
      <c r="AB46" s="3099"/>
      <c r="AC46" s="2977"/>
    </row>
    <row r="47" spans="1:29" ht="13.5" customHeight="1">
      <c r="A47" s="117"/>
      <c r="B47" s="246"/>
      <c r="C47" s="3088" t="s">
        <v>1958</v>
      </c>
      <c r="D47" s="3068"/>
      <c r="E47" s="3069"/>
      <c r="F47" s="3069"/>
      <c r="G47" s="3069"/>
      <c r="H47" s="308"/>
      <c r="I47" s="308"/>
      <c r="J47" s="308"/>
      <c r="K47" s="308"/>
      <c r="L47" s="2952"/>
      <c r="M47" s="1084"/>
      <c r="N47" s="3089"/>
      <c r="O47" s="1063"/>
      <c r="P47" s="344"/>
      <c r="Q47" s="898"/>
      <c r="R47" s="651"/>
      <c r="S47" s="941"/>
      <c r="T47" s="3095"/>
      <c r="U47" s="3100"/>
      <c r="V47" s="3100"/>
      <c r="W47" s="3100" t="s">
        <v>1988</v>
      </c>
      <c r="X47" s="3109" t="s">
        <v>1994</v>
      </c>
      <c r="Y47" s="3110"/>
      <c r="Z47" s="3108" t="s">
        <v>1995</v>
      </c>
      <c r="AA47" s="3100"/>
      <c r="AB47" s="3102"/>
      <c r="AC47" s="2977"/>
    </row>
    <row r="48" spans="1:29" ht="13.5" customHeight="1">
      <c r="A48" s="117"/>
      <c r="B48" s="246" t="s">
        <v>1959</v>
      </c>
      <c r="C48" s="535" t="s">
        <v>1960</v>
      </c>
      <c r="D48" s="3068"/>
      <c r="E48" s="3069"/>
      <c r="F48" s="3069"/>
      <c r="G48" s="3069"/>
      <c r="H48" s="308"/>
      <c r="I48" s="311"/>
      <c r="J48" s="246" t="s">
        <v>1228</v>
      </c>
      <c r="K48" s="905" t="str">
        <f>B48</f>
        <v>18a</v>
      </c>
      <c r="L48" s="3019"/>
      <c r="M48" s="1084"/>
      <c r="N48" s="3090"/>
      <c r="O48" s="1063"/>
      <c r="P48" s="343"/>
      <c r="Q48" s="898"/>
      <c r="R48" s="60"/>
      <c r="S48" s="314"/>
      <c r="T48" s="3095"/>
      <c r="U48" s="3100"/>
      <c r="V48" s="3100" t="s">
        <v>1989</v>
      </c>
      <c r="W48" s="3100" t="s">
        <v>1991</v>
      </c>
      <c r="X48" s="3100"/>
      <c r="Y48" s="3101"/>
      <c r="Z48" s="3101" t="s">
        <v>0</v>
      </c>
      <c r="AA48" s="3111">
        <f>SUM(Y44,-Y47)</f>
        <v>0</v>
      </c>
      <c r="AB48" s="3102"/>
      <c r="AC48" s="2977"/>
    </row>
    <row r="49" spans="1:29" s="1595" customFormat="1" ht="13.5" customHeight="1">
      <c r="A49" s="117"/>
      <c r="B49" s="246" t="s">
        <v>85</v>
      </c>
      <c r="C49" s="535" t="s">
        <v>1961</v>
      </c>
      <c r="D49" s="535"/>
      <c r="E49" s="3069"/>
      <c r="F49" s="3069"/>
      <c r="G49" s="3069"/>
      <c r="H49" s="308"/>
      <c r="I49" s="308"/>
      <c r="J49" s="308"/>
      <c r="K49" s="1079"/>
      <c r="L49" s="311"/>
      <c r="M49" s="1084"/>
      <c r="N49" s="899"/>
      <c r="O49" s="1062"/>
      <c r="P49" s="2951"/>
      <c r="Q49" s="898"/>
      <c r="R49" s="651"/>
      <c r="S49" s="349"/>
      <c r="T49" s="3095"/>
      <c r="U49" s="3100"/>
      <c r="V49" s="3100"/>
      <c r="W49" s="3100"/>
      <c r="X49" s="3100"/>
      <c r="Y49" s="3100"/>
      <c r="Z49" s="3100"/>
      <c r="AA49" s="3100"/>
      <c r="AB49" s="3102"/>
      <c r="AC49" s="4"/>
    </row>
    <row r="50" spans="1:29" ht="13.5" customHeight="1">
      <c r="A50" s="117"/>
      <c r="B50" s="311"/>
      <c r="C50" s="535" t="s">
        <v>1962</v>
      </c>
      <c r="D50" s="3068"/>
      <c r="E50" s="3069"/>
      <c r="F50" s="3069"/>
      <c r="G50" s="3069"/>
      <c r="H50" s="308"/>
      <c r="I50" s="311"/>
      <c r="J50" s="246" t="s">
        <v>1042</v>
      </c>
      <c r="K50" s="333" t="s">
        <v>1963</v>
      </c>
      <c r="L50" s="3019"/>
      <c r="M50" s="1084"/>
      <c r="N50" s="818"/>
      <c r="O50" s="1063"/>
      <c r="P50" s="343"/>
      <c r="Q50" s="898"/>
      <c r="R50" s="60"/>
      <c r="S50" s="314"/>
      <c r="T50" s="3095"/>
      <c r="U50" s="3106" t="s">
        <v>1990</v>
      </c>
      <c r="V50" s="3097"/>
      <c r="W50" s="3097"/>
      <c r="X50" s="3097"/>
      <c r="Y50" s="3097"/>
      <c r="Z50" s="3101" t="s">
        <v>1</v>
      </c>
      <c r="AA50" s="3110"/>
      <c r="AB50" s="3099"/>
      <c r="AC50" s="2977"/>
    </row>
    <row r="51" spans="1:29" s="1595" customFormat="1" ht="13.5" customHeight="1">
      <c r="A51" s="117"/>
      <c r="B51" s="246" t="s">
        <v>86</v>
      </c>
      <c r="C51" s="535" t="s">
        <v>1965</v>
      </c>
      <c r="D51" s="535"/>
      <c r="E51" s="3069"/>
      <c r="F51" s="3069"/>
      <c r="G51" s="3069"/>
      <c r="H51" s="308"/>
      <c r="I51" s="308"/>
      <c r="J51" s="308"/>
      <c r="K51" s="1079"/>
      <c r="L51" s="311"/>
      <c r="M51" s="1084"/>
      <c r="N51" s="899"/>
      <c r="O51" s="1062"/>
      <c r="P51" s="2951"/>
      <c r="Q51" s="898"/>
      <c r="R51" s="651"/>
      <c r="S51" s="349"/>
      <c r="T51" s="3095"/>
      <c r="U51" s="3100"/>
      <c r="V51" s="3100"/>
      <c r="W51" s="3100"/>
      <c r="X51" s="3100"/>
      <c r="Y51" s="3100"/>
      <c r="Z51" s="3100"/>
      <c r="AA51" s="3100"/>
      <c r="AB51" s="3102"/>
      <c r="AC51" s="4"/>
    </row>
    <row r="52" spans="1:29" ht="13.5" customHeight="1">
      <c r="A52" s="117"/>
      <c r="B52" s="311"/>
      <c r="C52" s="535" t="s">
        <v>1966</v>
      </c>
      <c r="D52" s="3068"/>
      <c r="E52" s="3069"/>
      <c r="F52" s="3069"/>
      <c r="G52" s="3069"/>
      <c r="H52" s="308"/>
      <c r="I52" s="311"/>
      <c r="J52" s="246" t="s">
        <v>1976</v>
      </c>
      <c r="K52" s="333" t="s">
        <v>1964</v>
      </c>
      <c r="L52" s="3019"/>
      <c r="M52" s="1084"/>
      <c r="N52" s="818"/>
      <c r="O52" s="1063"/>
      <c r="P52" s="343"/>
      <c r="Q52" s="898"/>
      <c r="R52" s="60"/>
      <c r="S52" s="314"/>
      <c r="T52" s="3095"/>
      <c r="U52" s="3106" t="s">
        <v>1992</v>
      </c>
      <c r="V52" s="3097"/>
      <c r="W52" s="3097"/>
      <c r="X52" s="3097"/>
      <c r="Y52" s="3097"/>
      <c r="Z52" s="3097"/>
      <c r="AA52" s="3097"/>
      <c r="AB52" s="3099"/>
      <c r="AC52" s="2977"/>
    </row>
    <row r="53" spans="1:29" ht="13.5" customHeight="1">
      <c r="A53" s="117"/>
      <c r="B53" s="246" t="s">
        <v>1967</v>
      </c>
      <c r="C53" s="535" t="s">
        <v>1970</v>
      </c>
      <c r="D53" s="3068"/>
      <c r="E53" s="3069"/>
      <c r="F53" s="3069"/>
      <c r="G53" s="3069"/>
      <c r="H53" s="308"/>
      <c r="I53" s="311"/>
      <c r="J53" s="246" t="s">
        <v>1942</v>
      </c>
      <c r="K53" s="905" t="str">
        <f>B53</f>
        <v>19a</v>
      </c>
      <c r="L53" s="3019"/>
      <c r="M53" s="1084"/>
      <c r="N53" s="3090"/>
      <c r="O53" s="1063"/>
      <c r="P53" s="343"/>
      <c r="Q53" s="898"/>
      <c r="R53" s="60"/>
      <c r="S53" s="314"/>
      <c r="T53" s="3095"/>
      <c r="U53" s="3106" t="s">
        <v>1993</v>
      </c>
      <c r="V53" s="3100"/>
      <c r="W53" s="3100"/>
      <c r="X53" s="3100"/>
      <c r="Y53" s="3100"/>
      <c r="Z53" s="3101" t="s">
        <v>686</v>
      </c>
      <c r="AA53" s="3111">
        <f>SUM(AA40,AA48,AA50)</f>
        <v>0</v>
      </c>
      <c r="AB53" s="3102"/>
      <c r="AC53" s="2977"/>
    </row>
    <row r="54" spans="1:29" s="1595" customFormat="1" ht="13.5" customHeight="1" thickBot="1">
      <c r="A54" s="117"/>
      <c r="B54" s="246" t="s">
        <v>85</v>
      </c>
      <c r="C54" s="535" t="s">
        <v>1971</v>
      </c>
      <c r="D54" s="535"/>
      <c r="E54" s="3069"/>
      <c r="F54" s="3069"/>
      <c r="G54" s="3069"/>
      <c r="H54" s="308"/>
      <c r="I54" s="308"/>
      <c r="J54" s="308"/>
      <c r="K54" s="1079"/>
      <c r="L54" s="311"/>
      <c r="M54" s="1084"/>
      <c r="N54" s="899"/>
      <c r="O54" s="1062"/>
      <c r="P54" s="2951"/>
      <c r="Q54" s="898"/>
      <c r="R54" s="651"/>
      <c r="S54" s="349"/>
      <c r="T54" s="3103"/>
      <c r="U54" s="3104"/>
      <c r="V54" s="3104"/>
      <c r="W54" s="3104"/>
      <c r="X54" s="3104"/>
      <c r="Y54" s="3104"/>
      <c r="Z54" s="3104"/>
      <c r="AA54" s="3104"/>
      <c r="AB54" s="3105"/>
      <c r="AC54" s="4"/>
    </row>
    <row r="55" spans="1:29" ht="13.5" customHeight="1">
      <c r="A55" s="117"/>
      <c r="B55" s="311"/>
      <c r="C55" s="535" t="s">
        <v>1966</v>
      </c>
      <c r="D55" s="3068"/>
      <c r="E55" s="3069"/>
      <c r="F55" s="3069"/>
      <c r="G55" s="3069"/>
      <c r="H55" s="308"/>
      <c r="I55" s="311"/>
      <c r="J55" s="246" t="s">
        <v>1976</v>
      </c>
      <c r="K55" s="333" t="s">
        <v>1968</v>
      </c>
      <c r="L55" s="3019"/>
      <c r="M55" s="1084"/>
      <c r="N55" s="818"/>
      <c r="O55" s="1063"/>
      <c r="P55" s="343"/>
      <c r="Q55" s="898"/>
      <c r="R55" s="60"/>
      <c r="S55" s="314"/>
      <c r="U55" s="2977"/>
      <c r="V55" s="2977"/>
      <c r="W55" s="2977"/>
      <c r="X55" s="2977"/>
      <c r="Y55" s="2977"/>
      <c r="Z55" s="2977"/>
      <c r="AA55" s="2977"/>
      <c r="AB55" s="2977"/>
      <c r="AC55" s="2977"/>
    </row>
    <row r="56" spans="1:29" ht="13.5" customHeight="1">
      <c r="A56" s="117"/>
      <c r="B56" s="246" t="s">
        <v>86</v>
      </c>
      <c r="C56" s="535" t="s">
        <v>1972</v>
      </c>
      <c r="D56" s="3068"/>
      <c r="E56" s="3069"/>
      <c r="F56" s="3069"/>
      <c r="G56" s="3069"/>
      <c r="H56" s="308"/>
      <c r="I56" s="311"/>
      <c r="J56" s="246" t="s">
        <v>959</v>
      </c>
      <c r="K56" s="333" t="s">
        <v>1969</v>
      </c>
      <c r="L56" s="3018" t="str">
        <f>IF(N43="---","",IF(L55&gt;=L53,0,SUM(L53,-L55)))</f>
        <v/>
      </c>
      <c r="M56" s="1084"/>
      <c r="N56" s="818"/>
      <c r="O56" s="1063"/>
      <c r="P56" s="343"/>
      <c r="Q56" s="898"/>
      <c r="R56" s="60"/>
      <c r="S56" s="314"/>
      <c r="U56" s="2977"/>
      <c r="V56" s="2977"/>
      <c r="W56" s="2977"/>
      <c r="X56" s="2977"/>
      <c r="Y56" s="2977"/>
      <c r="Z56" s="2977"/>
      <c r="AA56" s="2977"/>
      <c r="AB56" s="2977"/>
      <c r="AC56" s="2977"/>
    </row>
    <row r="57" spans="1:29" ht="13.5" customHeight="1">
      <c r="A57" s="117"/>
      <c r="B57" s="246">
        <v>20</v>
      </c>
      <c r="C57" s="535" t="s">
        <v>1973</v>
      </c>
      <c r="D57" s="535"/>
      <c r="E57" s="3069"/>
      <c r="F57" s="3069"/>
      <c r="G57" s="3069"/>
      <c r="H57" s="308"/>
      <c r="I57" s="308"/>
      <c r="J57" s="308"/>
      <c r="K57" s="308"/>
      <c r="L57" s="2659" t="s">
        <v>733</v>
      </c>
      <c r="M57" s="333">
        <f>B57</f>
        <v>20</v>
      </c>
      <c r="N57" s="3018" t="str">
        <f>IF(Q57&lt;&gt;"",Q57,IF(N43="---","",MIN(L52,L56)))</f>
        <v/>
      </c>
      <c r="O57" s="1063"/>
      <c r="P57" s="343"/>
      <c r="Q57" s="676"/>
      <c r="R57" s="651"/>
      <c r="S57" s="349"/>
      <c r="U57" s="2977"/>
      <c r="V57" s="2977"/>
      <c r="W57" s="2977"/>
      <c r="X57" s="2977"/>
      <c r="Y57" s="2977"/>
      <c r="Z57" s="2977"/>
      <c r="AA57" s="2977"/>
      <c r="AB57" s="2977"/>
      <c r="AC57" s="2977"/>
    </row>
    <row r="58" spans="1:29" s="1595" customFormat="1" ht="13.5" customHeight="1">
      <c r="A58" s="117"/>
      <c r="B58" s="246">
        <v>21</v>
      </c>
      <c r="C58" s="535" t="str">
        <f>"Net investment income tax for estates and trusts. Multiply line 20 by "&amp;TEXT(N58,"0.0%")&amp;" ("&amp;TEXT(N58,".038")&amp;")."</f>
        <v>Net investment income tax for estates and trusts. Multiply line 20 by 3.8% (.038).</v>
      </c>
      <c r="D58" s="535"/>
      <c r="E58" s="3069"/>
      <c r="F58" s="3069"/>
      <c r="G58" s="3069"/>
      <c r="H58" s="308"/>
      <c r="I58" s="308"/>
      <c r="J58" s="308"/>
      <c r="K58" s="308"/>
      <c r="L58" s="311"/>
      <c r="M58" s="301"/>
      <c r="N58" s="3071">
        <v>3.7999999999999999E-2</v>
      </c>
      <c r="O58" s="1062"/>
      <c r="P58" s="2951"/>
      <c r="Q58" s="898"/>
      <c r="R58" s="651"/>
      <c r="S58" s="349"/>
      <c r="T58"/>
      <c r="U58" s="4"/>
      <c r="V58" s="4"/>
      <c r="W58" s="4"/>
      <c r="X58" s="4"/>
      <c r="Y58" s="4"/>
      <c r="Z58" s="4"/>
      <c r="AA58" s="4"/>
      <c r="AB58" s="4"/>
      <c r="AC58" s="4"/>
    </row>
    <row r="59" spans="1:29" ht="13.5" customHeight="1" thickBot="1">
      <c r="A59" s="117"/>
      <c r="B59" s="246"/>
      <c r="C59" s="535" t="s">
        <v>2350</v>
      </c>
      <c r="D59" s="3068"/>
      <c r="E59" s="3069"/>
      <c r="F59" s="3069"/>
      <c r="G59" s="3069"/>
      <c r="H59" s="308"/>
      <c r="I59" s="308"/>
      <c r="J59" s="308"/>
      <c r="K59" s="308"/>
      <c r="L59" s="2659" t="s">
        <v>1774</v>
      </c>
      <c r="M59" s="301">
        <f>B58</f>
        <v>21</v>
      </c>
      <c r="N59" s="3018" t="str">
        <f>IF(Q59&lt;&gt;"",Q59,IF(N43="---","",ROUND(N57*N58,0)))</f>
        <v/>
      </c>
      <c r="O59" s="1063"/>
      <c r="P59" s="2951"/>
      <c r="Q59" s="676"/>
      <c r="R59" s="651"/>
      <c r="S59" s="941"/>
      <c r="U59" s="2977"/>
      <c r="V59" s="2977"/>
      <c r="W59" s="2977"/>
      <c r="X59" s="2977"/>
      <c r="Y59" s="2977"/>
      <c r="Z59" s="2977"/>
      <c r="AA59" s="2977"/>
      <c r="AB59" s="2977"/>
      <c r="AC59" s="2977"/>
    </row>
    <row r="60" spans="1:29" s="978" customFormat="1" ht="15" customHeight="1">
      <c r="A60" s="117"/>
      <c r="B60" s="229" t="s">
        <v>825</v>
      </c>
      <c r="C60" s="352"/>
      <c r="D60" s="352"/>
      <c r="E60" s="352"/>
      <c r="F60" s="352"/>
      <c r="G60" s="352"/>
      <c r="H60" s="900"/>
      <c r="I60" s="901"/>
      <c r="J60" s="900"/>
      <c r="K60" s="1092" t="s">
        <v>1975</v>
      </c>
      <c r="L60" s="900"/>
      <c r="M60" s="902" t="s">
        <v>1974</v>
      </c>
      <c r="N60" s="1659" t="str">
        <f>"  ("&amp;TaxYear&amp;")"</f>
        <v xml:space="preserve">  (2014)</v>
      </c>
      <c r="O60" s="1069"/>
      <c r="P60" s="2951"/>
      <c r="Q60" s="898"/>
      <c r="R60" s="60"/>
      <c r="S60" s="314"/>
      <c r="T60"/>
      <c r="U60" s="2977"/>
      <c r="V60" s="2977"/>
      <c r="W60" s="3116"/>
      <c r="X60" s="2977"/>
      <c r="Y60" s="2977"/>
      <c r="Z60" s="2977"/>
      <c r="AA60" s="2977"/>
      <c r="AB60" s="2977"/>
      <c r="AC60" s="2977"/>
    </row>
    <row r="61" spans="1:29" s="978" customFormat="1" ht="15" customHeight="1">
      <c r="A61" s="117"/>
      <c r="B61" s="1072"/>
      <c r="C61" s="909"/>
      <c r="D61" s="909"/>
      <c r="E61" s="117"/>
      <c r="F61" s="117"/>
      <c r="G61" s="117"/>
      <c r="H61" s="117"/>
      <c r="I61" s="117"/>
      <c r="J61" s="117"/>
      <c r="K61" s="1073"/>
      <c r="L61" s="1073"/>
      <c r="M61" s="1073"/>
      <c r="N61" s="1073"/>
      <c r="O61" s="1070"/>
      <c r="P61" s="2951"/>
      <c r="Q61" s="898"/>
      <c r="R61" s="455"/>
      <c r="S61" s="455"/>
      <c r="T61"/>
    </row>
    <row r="62" spans="1:29" s="978" customFormat="1" ht="23.25" customHeight="1">
      <c r="A62" s="68"/>
      <c r="B62" s="906"/>
      <c r="C62" s="454"/>
      <c r="D62" s="454"/>
      <c r="E62" s="456"/>
      <c r="F62" s="456"/>
      <c r="G62" s="456"/>
      <c r="H62" s="456"/>
      <c r="I62" s="456"/>
      <c r="J62" s="456"/>
      <c r="K62" s="467"/>
      <c r="L62" s="467"/>
      <c r="M62" s="467"/>
      <c r="N62" s="467"/>
      <c r="O62" s="907"/>
      <c r="P62"/>
      <c r="Q62" s="908"/>
      <c r="R62" s="455"/>
      <c r="S62" s="455"/>
      <c r="T62"/>
    </row>
    <row r="63" spans="1:29" s="978" customFormat="1" ht="24" customHeight="1" thickBot="1">
      <c r="A63" s="68"/>
      <c r="B63" s="906"/>
      <c r="C63" s="454"/>
      <c r="D63" s="454"/>
      <c r="E63" s="456"/>
      <c r="F63" s="456"/>
      <c r="G63" s="456"/>
      <c r="H63" s="456"/>
      <c r="I63" s="456"/>
      <c r="J63" s="456"/>
      <c r="K63" s="467"/>
      <c r="L63" s="467"/>
      <c r="M63" s="467"/>
      <c r="N63" s="467"/>
      <c r="O63" s="907"/>
      <c r="P63"/>
      <c r="Q63" s="908"/>
      <c r="R63" s="11"/>
      <c r="S63" s="11"/>
      <c r="T63"/>
      <c r="W63" s="3117"/>
    </row>
    <row r="64" spans="1:29" s="978" customFormat="1" ht="15" customHeight="1" thickTop="1" thickBot="1">
      <c r="A64" s="68"/>
      <c r="B64" s="217"/>
      <c r="C64" s="4882" t="s">
        <v>1996</v>
      </c>
      <c r="D64" s="4883"/>
      <c r="E64" s="4883"/>
      <c r="F64" s="4883"/>
      <c r="G64" s="4883"/>
      <c r="H64" s="4884"/>
      <c r="I64" s="353"/>
      <c r="J64" s="353"/>
      <c r="K64"/>
      <c r="L64"/>
      <c r="M64" s="353"/>
      <c r="N64" s="353"/>
      <c r="O64" s="353"/>
      <c r="P64"/>
      <c r="Q64" s="11"/>
      <c r="R64" s="11"/>
      <c r="S64" s="11"/>
      <c r="T64"/>
    </row>
    <row r="65" spans="1:23" s="978" customFormat="1" ht="8.25" customHeight="1" thickTop="1" thickBot="1">
      <c r="A65" s="68"/>
      <c r="B65" s="217"/>
      <c r="C65" s="346"/>
      <c r="D65" s="346"/>
      <c r="E65" s="68"/>
      <c r="F65" s="68"/>
      <c r="G65" s="68"/>
      <c r="H65" s="353"/>
      <c r="I65" s="353"/>
      <c r="J65" s="353"/>
      <c r="K65"/>
      <c r="L65"/>
      <c r="M65" s="353"/>
      <c r="N65" s="353"/>
      <c r="O65" s="353"/>
      <c r="P65"/>
      <c r="Q65" s="11"/>
      <c r="R65" s="11"/>
      <c r="S65" s="11"/>
      <c r="T65"/>
    </row>
    <row r="66" spans="1:23" s="978" customFormat="1" ht="17.25" customHeight="1" thickTop="1" thickBot="1">
      <c r="A66" s="68"/>
      <c r="B66" s="217"/>
      <c r="C66" s="4882" t="s">
        <v>1997</v>
      </c>
      <c r="D66" s="4883"/>
      <c r="E66" s="4883"/>
      <c r="F66" s="4883"/>
      <c r="G66" s="4883"/>
      <c r="H66" s="4884"/>
      <c r="I66" s="353"/>
      <c r="J66" s="353"/>
      <c r="K66"/>
      <c r="L66"/>
      <c r="M66" s="353"/>
      <c r="N66" s="353"/>
      <c r="O66" s="353"/>
      <c r="P66"/>
      <c r="Q66" s="11"/>
      <c r="R66"/>
      <c r="T66"/>
      <c r="W66" s="3117"/>
    </row>
    <row r="67" spans="1:23" s="978" customFormat="1" ht="12.75" customHeight="1" thickTop="1">
      <c r="A67" s="68"/>
      <c r="B67"/>
      <c r="C67"/>
      <c r="D67"/>
      <c r="E67"/>
      <c r="F67"/>
      <c r="G67"/>
      <c r="H67"/>
      <c r="I67"/>
      <c r="J67"/>
      <c r="K67"/>
      <c r="L67"/>
      <c r="M67"/>
      <c r="N67"/>
      <c r="O67"/>
      <c r="P67"/>
      <c r="Q67"/>
      <c r="R67"/>
      <c r="T67"/>
    </row>
    <row r="68" spans="1:23" s="978" customFormat="1" ht="21.75" customHeight="1">
      <c r="A68" s="68"/>
      <c r="B68"/>
      <c r="C68"/>
      <c r="D68"/>
      <c r="E68"/>
      <c r="F68"/>
      <c r="G68"/>
      <c r="H68"/>
      <c r="I68"/>
      <c r="J68"/>
      <c r="K68"/>
      <c r="L68"/>
      <c r="M68"/>
      <c r="N68"/>
      <c r="O68"/>
      <c r="P68"/>
      <c r="Q68"/>
      <c r="R68"/>
      <c r="T68"/>
    </row>
    <row r="69" spans="1:23" s="978" customFormat="1" ht="22.5" customHeight="1">
      <c r="A69" s="68"/>
      <c r="B69"/>
      <c r="C69"/>
      <c r="D69"/>
      <c r="E69"/>
      <c r="F69"/>
      <c r="G69"/>
      <c r="H69"/>
      <c r="I69"/>
      <c r="J69"/>
      <c r="K69"/>
      <c r="L69"/>
      <c r="M69"/>
      <c r="N69"/>
      <c r="O69"/>
      <c r="P69"/>
      <c r="Q69"/>
      <c r="R69"/>
      <c r="T69"/>
    </row>
    <row r="70" spans="1:23" s="978" customFormat="1" ht="12.75" customHeight="1">
      <c r="A70" s="68"/>
      <c r="B70"/>
      <c r="C70"/>
      <c r="D70"/>
      <c r="E70"/>
      <c r="F70"/>
      <c r="G70"/>
      <c r="H70"/>
      <c r="I70"/>
      <c r="J70"/>
      <c r="K70"/>
      <c r="L70"/>
      <c r="M70"/>
      <c r="N70"/>
      <c r="O70"/>
      <c r="P70"/>
      <c r="Q70"/>
      <c r="R70"/>
      <c r="T70"/>
    </row>
    <row r="71" spans="1:23" s="978" customFormat="1" ht="12.75" customHeight="1">
      <c r="A71" s="68"/>
      <c r="B71"/>
      <c r="C71"/>
      <c r="D71"/>
      <c r="E71"/>
      <c r="F71"/>
      <c r="G71"/>
      <c r="H71"/>
      <c r="I71"/>
      <c r="J71"/>
      <c r="K71"/>
      <c r="L71"/>
      <c r="M71"/>
      <c r="N71"/>
      <c r="O71"/>
      <c r="P71"/>
      <c r="Q71"/>
      <c r="R71"/>
      <c r="T71"/>
    </row>
    <row r="72" spans="1:23" s="978" customFormat="1" ht="17.25" customHeight="1">
      <c r="A72" s="68"/>
      <c r="B72"/>
      <c r="C72"/>
      <c r="D72"/>
      <c r="E72"/>
      <c r="F72"/>
      <c r="G72"/>
      <c r="H72"/>
      <c r="I72"/>
      <c r="J72"/>
      <c r="K72"/>
      <c r="L72"/>
      <c r="M72"/>
      <c r="N72"/>
      <c r="O72"/>
      <c r="P72"/>
      <c r="Q72"/>
      <c r="R72"/>
      <c r="T72"/>
    </row>
    <row r="73" spans="1:23" s="978" customFormat="1" ht="14.25" customHeight="1">
      <c r="A73" s="68"/>
      <c r="B73"/>
      <c r="C73"/>
      <c r="D73"/>
      <c r="E73"/>
      <c r="F73"/>
      <c r="G73"/>
      <c r="H73"/>
      <c r="I73"/>
      <c r="J73"/>
      <c r="K73"/>
      <c r="L73"/>
      <c r="M73"/>
      <c r="N73"/>
      <c r="O73"/>
      <c r="P73"/>
      <c r="Q73"/>
      <c r="R73"/>
      <c r="T73"/>
    </row>
    <row r="74" spans="1:23" s="978" customFormat="1">
      <c r="A74" s="68"/>
      <c r="B74"/>
      <c r="C74"/>
      <c r="D74"/>
      <c r="E74"/>
      <c r="F74"/>
      <c r="G74"/>
      <c r="H74"/>
      <c r="I74"/>
      <c r="J74"/>
      <c r="K74"/>
      <c r="L74"/>
      <c r="M74"/>
      <c r="N74"/>
      <c r="O74"/>
      <c r="P74"/>
      <c r="Q74"/>
      <c r="R74"/>
      <c r="T74"/>
    </row>
    <row r="75" spans="1:23" s="978" customFormat="1">
      <c r="A75" s="68"/>
      <c r="B75"/>
      <c r="C75"/>
      <c r="D75"/>
      <c r="E75"/>
      <c r="F75"/>
      <c r="G75"/>
      <c r="H75"/>
      <c r="I75"/>
      <c r="J75"/>
      <c r="K75"/>
      <c r="L75"/>
      <c r="M75"/>
      <c r="N75"/>
      <c r="O75"/>
      <c r="P75"/>
      <c r="Q75"/>
      <c r="R75"/>
      <c r="T75"/>
    </row>
    <row r="76" spans="1:23" s="978" customFormat="1">
      <c r="A76" s="68"/>
      <c r="B76"/>
      <c r="C76"/>
      <c r="D76"/>
      <c r="E76"/>
      <c r="F76"/>
      <c r="G76"/>
      <c r="H76"/>
      <c r="I76"/>
      <c r="J76"/>
      <c r="K76"/>
      <c r="L76"/>
      <c r="M76"/>
      <c r="N76"/>
      <c r="O76"/>
      <c r="P76"/>
      <c r="Q76"/>
      <c r="R76"/>
      <c r="T76"/>
    </row>
    <row r="77" spans="1:23" s="978" customFormat="1">
      <c r="A77" s="68"/>
      <c r="B77"/>
      <c r="C77"/>
      <c r="D77"/>
      <c r="E77"/>
      <c r="F77"/>
      <c r="G77"/>
      <c r="H77"/>
      <c r="I77"/>
      <c r="J77"/>
      <c r="K77"/>
      <c r="L77"/>
      <c r="M77"/>
      <c r="N77"/>
      <c r="O77"/>
      <c r="P77"/>
      <c r="Q77"/>
      <c r="R77"/>
      <c r="T77"/>
    </row>
    <row r="78" spans="1:23" s="978" customFormat="1">
      <c r="A78" s="68"/>
      <c r="B78"/>
      <c r="C78"/>
      <c r="D78"/>
      <c r="E78"/>
      <c r="F78"/>
      <c r="G78"/>
      <c r="H78"/>
      <c r="I78"/>
      <c r="J78"/>
      <c r="K78"/>
      <c r="L78"/>
      <c r="M78"/>
      <c r="N78"/>
      <c r="O78"/>
      <c r="P78"/>
      <c r="Q78"/>
      <c r="R78"/>
      <c r="T78"/>
    </row>
    <row r="79" spans="1:23" s="978" customFormat="1">
      <c r="A79" s="68"/>
      <c r="B79"/>
      <c r="C79"/>
      <c r="D79"/>
      <c r="E79"/>
      <c r="F79"/>
      <c r="G79"/>
      <c r="H79"/>
      <c r="I79"/>
      <c r="J79"/>
      <c r="K79"/>
      <c r="L79"/>
      <c r="M79"/>
      <c r="N79"/>
      <c r="O79"/>
      <c r="P79"/>
      <c r="Q79"/>
      <c r="R79"/>
      <c r="T79"/>
    </row>
  </sheetData>
  <sheetProtection password="F07E" sheet="1" objects="1" scenarios="1"/>
  <mergeCells count="20">
    <mergeCell ref="C64:H64"/>
    <mergeCell ref="C66:H66"/>
    <mergeCell ref="C10:E11"/>
    <mergeCell ref="L8:N8"/>
    <mergeCell ref="B9:K9"/>
    <mergeCell ref="L9:N9"/>
    <mergeCell ref="C30:N30"/>
    <mergeCell ref="C37:N37"/>
    <mergeCell ref="B6:D6"/>
    <mergeCell ref="E6:L6"/>
    <mergeCell ref="M6:N6"/>
    <mergeCell ref="B7:D7"/>
    <mergeCell ref="E7:L7"/>
    <mergeCell ref="M7:N7"/>
    <mergeCell ref="M3:N3"/>
    <mergeCell ref="B4:B5"/>
    <mergeCell ref="C4:D5"/>
    <mergeCell ref="E4:L4"/>
    <mergeCell ref="M4:N5"/>
    <mergeCell ref="E5:L5"/>
  </mergeCells>
  <conditionalFormatting sqref="B9:N9">
    <cfRule type="expression" dxfId="313" priority="84">
      <formula>IF(NoColor,1,0)</formula>
    </cfRule>
  </conditionalFormatting>
  <conditionalFormatting sqref="L17">
    <cfRule type="expression" dxfId="312" priority="83">
      <formula>IF(NoColor,1,0)</formula>
    </cfRule>
  </conditionalFormatting>
  <conditionalFormatting sqref="N59">
    <cfRule type="expression" dxfId="311" priority="61">
      <formula>IF(NoColor,1,0)</formula>
    </cfRule>
  </conditionalFormatting>
  <conditionalFormatting sqref="N13">
    <cfRule type="expression" dxfId="310" priority="59">
      <formula>IF(NoColor,1,0)</formula>
    </cfRule>
  </conditionalFormatting>
  <conditionalFormatting sqref="N57">
    <cfRule type="expression" dxfId="309" priority="60">
      <formula>IF(NoColor,1,0)</formula>
    </cfRule>
  </conditionalFormatting>
  <conditionalFormatting sqref="N14">
    <cfRule type="expression" dxfId="308" priority="58">
      <formula>IF(NoColor,1,0)</formula>
    </cfRule>
  </conditionalFormatting>
  <conditionalFormatting sqref="N15">
    <cfRule type="expression" dxfId="307" priority="57">
      <formula>IF(NoColor,1,0)</formula>
    </cfRule>
  </conditionalFormatting>
  <conditionalFormatting sqref="L19">
    <cfRule type="expression" dxfId="306" priority="56">
      <formula>IF(NoColor,1,0)</formula>
    </cfRule>
  </conditionalFormatting>
  <conditionalFormatting sqref="N20">
    <cfRule type="expression" dxfId="305" priority="55">
      <formula>IF(NoColor,1,0)</formula>
    </cfRule>
  </conditionalFormatting>
  <conditionalFormatting sqref="N26">
    <cfRule type="expression" dxfId="304" priority="51">
      <formula>IF(NoColor,1,0)</formula>
    </cfRule>
  </conditionalFormatting>
  <conditionalFormatting sqref="N29">
    <cfRule type="expression" dxfId="303" priority="48">
      <formula>IF(NoColor,1,0)</formula>
    </cfRule>
  </conditionalFormatting>
  <conditionalFormatting sqref="N34">
    <cfRule type="expression" dxfId="302" priority="44">
      <formula>IF(NoColor,1,0)</formula>
    </cfRule>
  </conditionalFormatting>
  <conditionalFormatting sqref="N36">
    <cfRule type="expression" dxfId="301" priority="42">
      <formula>IF(NoColor,1,0)</formula>
    </cfRule>
  </conditionalFormatting>
  <conditionalFormatting sqref="N40">
    <cfRule type="expression" dxfId="300" priority="41">
      <formula>IF(NoColor,1,0)</formula>
    </cfRule>
  </conditionalFormatting>
  <conditionalFormatting sqref="L43">
    <cfRule type="expression" dxfId="299" priority="38">
      <formula>IF(NoColor,1,0)</formula>
    </cfRule>
  </conditionalFormatting>
  <conditionalFormatting sqref="N44">
    <cfRule type="expression" dxfId="298" priority="37">
      <formula>IF(NoColor,1,0)</formula>
    </cfRule>
  </conditionalFormatting>
  <conditionalFormatting sqref="N46">
    <cfRule type="expression" dxfId="297" priority="36">
      <formula>IF(NoColor,1,0)</formula>
    </cfRule>
  </conditionalFormatting>
  <conditionalFormatting sqref="N47">
    <cfRule type="expression" dxfId="296" priority="35">
      <formula>IF(NoColor,1,0)</formula>
    </cfRule>
  </conditionalFormatting>
  <conditionalFormatting sqref="L56">
    <cfRule type="expression" dxfId="295" priority="29">
      <formula>IF(NoColor,1,0)</formula>
    </cfRule>
  </conditionalFormatting>
  <conditionalFormatting sqref="L23">
    <cfRule type="expression" dxfId="294" priority="27">
      <formula>IF(NoColor,1,0)</formula>
    </cfRule>
  </conditionalFormatting>
  <conditionalFormatting sqref="L25">
    <cfRule type="expression" dxfId="293" priority="26">
      <formula>IF(NoColor,1,0)</formula>
    </cfRule>
  </conditionalFormatting>
  <conditionalFormatting sqref="N27">
    <cfRule type="expression" dxfId="292" priority="25">
      <formula>IF(NoColor,1,0)</formula>
    </cfRule>
  </conditionalFormatting>
  <conditionalFormatting sqref="N28">
    <cfRule type="expression" dxfId="291" priority="24">
      <formula>IF(NoColor,1,0)</formula>
    </cfRule>
  </conditionalFormatting>
  <conditionalFormatting sqref="L31">
    <cfRule type="expression" dxfId="290" priority="23">
      <formula>IF(NoColor,1,0)</formula>
    </cfRule>
  </conditionalFormatting>
  <conditionalFormatting sqref="L32">
    <cfRule type="expression" dxfId="289" priority="22">
      <formula>IF(NoColor,1,0)</formula>
    </cfRule>
  </conditionalFormatting>
  <conditionalFormatting sqref="L33">
    <cfRule type="expression" dxfId="288" priority="21">
      <formula>IF(NoColor,1,0)</formula>
    </cfRule>
  </conditionalFormatting>
  <conditionalFormatting sqref="N35">
    <cfRule type="expression" dxfId="287" priority="20">
      <formula>IF(NoColor,1,0)</formula>
    </cfRule>
  </conditionalFormatting>
  <conditionalFormatting sqref="L48">
    <cfRule type="expression" dxfId="286" priority="19">
      <formula>IF(NoColor,1,0)</formula>
    </cfRule>
  </conditionalFormatting>
  <conditionalFormatting sqref="L50">
    <cfRule type="expression" dxfId="285" priority="18">
      <formula>IF(NoColor,1,0)</formula>
    </cfRule>
  </conditionalFormatting>
  <conditionalFormatting sqref="L52">
    <cfRule type="expression" dxfId="284" priority="17">
      <formula>IF(NoColor,1,0)</formula>
    </cfRule>
  </conditionalFormatting>
  <conditionalFormatting sqref="L53">
    <cfRule type="expression" dxfId="283" priority="16">
      <formula>IF(NoColor,1,0)</formula>
    </cfRule>
  </conditionalFormatting>
  <conditionalFormatting sqref="L55">
    <cfRule type="expression" dxfId="282" priority="15">
      <formula>IF(NoColor,1,0)</formula>
    </cfRule>
  </conditionalFormatting>
  <conditionalFormatting sqref="N39">
    <cfRule type="expression" dxfId="281" priority="14">
      <formula>IF(NoColor,1,0)</formula>
    </cfRule>
  </conditionalFormatting>
  <conditionalFormatting sqref="AA48">
    <cfRule type="expression" dxfId="280" priority="12">
      <formula>IF(NoColor,1,0)</formula>
    </cfRule>
  </conditionalFormatting>
  <conditionalFormatting sqref="Y47">
    <cfRule type="expression" dxfId="279" priority="8">
      <formula>IF(NoColor,1,0)</formula>
    </cfRule>
  </conditionalFormatting>
  <conditionalFormatting sqref="Y44">
    <cfRule type="expression" dxfId="278" priority="10">
      <formula>IF(NoColor,1,0)</formula>
    </cfRule>
  </conditionalFormatting>
  <conditionalFormatting sqref="AA50">
    <cfRule type="expression" dxfId="277" priority="5">
      <formula>IF(NoColor,1,0)</formula>
    </cfRule>
  </conditionalFormatting>
  <conditionalFormatting sqref="AA53">
    <cfRule type="expression" dxfId="276" priority="7">
      <formula>IF(NoColor,1,0)</formula>
    </cfRule>
  </conditionalFormatting>
  <conditionalFormatting sqref="AA40">
    <cfRule type="expression" dxfId="275" priority="6">
      <formula>IF(NoColor,1,0)</formula>
    </cfRule>
  </conditionalFormatting>
  <conditionalFormatting sqref="N41:N43">
    <cfRule type="expression" dxfId="274" priority="4">
      <formula>IF(NoColor,1,0)</formula>
    </cfRule>
  </conditionalFormatting>
  <conditionalFormatting sqref="L41">
    <cfRule type="expression" dxfId="273" priority="3">
      <formula>IF(NoColor,1,0)</formula>
    </cfRule>
  </conditionalFormatting>
  <conditionalFormatting sqref="L42">
    <cfRule type="expression" dxfId="272" priority="2">
      <formula>IF(NoColor,1,0)</formula>
    </cfRule>
  </conditionalFormatting>
  <conditionalFormatting sqref="L21">
    <cfRule type="expression" dxfId="271" priority="1">
      <formula>IF(NoColor,1,0)</formula>
    </cfRule>
  </conditionalFormatting>
  <hyperlinks>
    <hyperlink ref="C64:H64" r:id="rId1" display="Download Form 8960"/>
    <hyperlink ref="C66:H66" r:id="rId2" display="Download Form 8960 Instructions (Draft)"/>
  </hyperlinks>
  <printOptions horizontalCentered="1"/>
  <pageMargins left="0.44" right="0.25" top="0.47" bottom="0.25" header="0.27" footer="0.25"/>
  <pageSetup scale="91" fitToHeight="0" orientation="portrait" horizontalDpi="4294967293" verticalDpi="4294967293" r:id="rId3"/>
  <headerFooter alignWithMargins="0"/>
  <rowBreaks count="1" manualBreakCount="1">
    <brk id="60" min="1" max="12" man="1"/>
  </rowBreaks>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N216"/>
  <sheetViews>
    <sheetView zoomScaleNormal="100" zoomScaleSheetLayoutView="100" workbookViewId="0">
      <selection activeCell="BG1" sqref="BG1:BN1048576"/>
    </sheetView>
  </sheetViews>
  <sheetFormatPr defaultColWidth="9.140625" defaultRowHeight="12.75"/>
  <cols>
    <col min="1" max="36" width="3.7109375" style="68" customWidth="1"/>
    <col min="37" max="37" width="9.140625" style="68"/>
    <col min="38" max="38" width="4.42578125" style="68" customWidth="1"/>
    <col min="39" max="39" width="12.5703125" style="68" customWidth="1"/>
    <col min="40" max="47" width="9.140625" style="68"/>
    <col min="48" max="48" width="9.140625" style="68" customWidth="1"/>
    <col min="49" max="49" width="2.7109375" style="68" customWidth="1"/>
    <col min="50" max="51" width="9.140625" style="68"/>
    <col min="52" max="52" width="10" style="68" customWidth="1"/>
    <col min="53" max="59" width="9.140625" style="68"/>
    <col min="60" max="61" width="9.140625" style="68" customWidth="1"/>
    <col min="62" max="16384" width="9.140625" style="68"/>
  </cols>
  <sheetData>
    <row r="1" spans="1:66" ht="24" customHeight="1">
      <c r="A1" s="1867"/>
      <c r="B1" s="3435" t="s">
        <v>2543</v>
      </c>
      <c r="C1" s="3377"/>
      <c r="D1" s="3377"/>
      <c r="E1" s="3377"/>
      <c r="F1" s="3377"/>
      <c r="G1" s="3377"/>
      <c r="H1" s="3377"/>
      <c r="I1" s="3377"/>
      <c r="J1" s="3377"/>
      <c r="K1" s="3377"/>
      <c r="L1" s="3377"/>
      <c r="M1" s="3377"/>
      <c r="N1" s="3377"/>
      <c r="O1" s="3377"/>
      <c r="P1" s="3377"/>
      <c r="Q1" s="3377"/>
      <c r="R1" s="3439"/>
      <c r="S1" s="3377"/>
      <c r="T1" s="3377"/>
      <c r="U1" s="3377"/>
      <c r="V1" s="3377"/>
      <c r="W1" s="3377"/>
      <c r="X1" s="3377"/>
      <c r="Y1" s="3377"/>
      <c r="Z1" s="3377"/>
      <c r="AA1" s="3377"/>
      <c r="AB1" s="3377"/>
      <c r="AC1" s="3377"/>
      <c r="AD1" s="3377"/>
      <c r="AE1" s="3377"/>
      <c r="AF1" s="3377"/>
      <c r="AG1" s="3377"/>
      <c r="AH1" s="3377"/>
      <c r="AI1" s="3377"/>
      <c r="AJ1" s="3377"/>
      <c r="AK1" s="1867"/>
      <c r="AL1" s="2295"/>
      <c r="AM1" s="2295"/>
      <c r="AN1" s="2295"/>
      <c r="AO1" s="2295"/>
      <c r="AP1" s="2295"/>
      <c r="AQ1" s="2295"/>
      <c r="AR1" s="2295"/>
      <c r="AS1" s="2295"/>
      <c r="AT1" s="2295"/>
      <c r="AU1" s="2295"/>
      <c r="AV1" s="2295"/>
      <c r="AW1" s="2295"/>
      <c r="AX1" s="2295"/>
      <c r="AY1" s="2295"/>
      <c r="AZ1" s="3644"/>
      <c r="BA1" s="2295"/>
      <c r="BB1" s="2295"/>
      <c r="BC1" s="2295"/>
      <c r="BD1" s="2295"/>
      <c r="BE1" s="2295"/>
      <c r="BF1" s="2295"/>
      <c r="BG1" s="2295"/>
    </row>
    <row r="2" spans="1:66" ht="13.5" customHeight="1">
      <c r="A2" s="1867"/>
      <c r="B2" s="3376" t="str">
        <f>IF(AND(NOT(Alaska),NOT(Hawaii)),"X","")</f>
        <v>X</v>
      </c>
      <c r="C2" s="3434" t="s">
        <v>2544</v>
      </c>
      <c r="D2" s="3377"/>
      <c r="E2" s="3377"/>
      <c r="F2" s="3377"/>
      <c r="G2" s="3377"/>
      <c r="H2" s="3377"/>
      <c r="I2" s="3377"/>
      <c r="J2" s="3377"/>
      <c r="K2" s="3377"/>
      <c r="L2" s="3376" t="str">
        <f>IF(Alaska,"X","")</f>
        <v/>
      </c>
      <c r="M2" s="3434" t="s">
        <v>2400</v>
      </c>
      <c r="N2" s="3377"/>
      <c r="O2" s="3377"/>
      <c r="P2" s="3377"/>
      <c r="Q2" s="3377"/>
      <c r="R2" s="3439" t="str">
        <f>IF(AL2&lt;1,"Check one.",IF(AL2&gt;1,"Check ONLY ONE.",""))</f>
        <v/>
      </c>
      <c r="S2" s="3377"/>
      <c r="T2" s="3377"/>
      <c r="U2" s="3377"/>
      <c r="V2" s="3376" t="str">
        <f>IF(Hawaii,"X","")</f>
        <v/>
      </c>
      <c r="W2" s="3434" t="s">
        <v>2401</v>
      </c>
      <c r="X2" s="3377"/>
      <c r="Y2" s="3377"/>
      <c r="Z2" s="3377"/>
      <c r="AA2" s="3377"/>
      <c r="AB2" s="3377"/>
      <c r="AC2" s="3377"/>
      <c r="AD2" s="3377"/>
      <c r="AE2" s="3377"/>
      <c r="AF2" s="3377"/>
      <c r="AG2" s="3377"/>
      <c r="AH2" s="3377"/>
      <c r="AI2" s="3377"/>
      <c r="AJ2" s="3377"/>
      <c r="AK2" s="1867"/>
      <c r="AL2" s="2816">
        <f>SUM(AM2,AN2,AO2)</f>
        <v>1</v>
      </c>
      <c r="AM2" s="2816">
        <f>IF(B2&lt;&gt;"",1,0)</f>
        <v>1</v>
      </c>
      <c r="AN2" s="2816">
        <f>IF(L2&lt;&gt;"",1,0)</f>
        <v>0</v>
      </c>
      <c r="AO2" s="2816">
        <f>IF(V2&lt;&gt;"",1,0)</f>
        <v>0</v>
      </c>
      <c r="AP2" s="2295"/>
      <c r="AQ2" s="2295"/>
      <c r="AR2" s="2295"/>
      <c r="AS2" s="2295"/>
      <c r="AT2" s="2295"/>
      <c r="AU2" s="2295"/>
      <c r="AV2" s="2295"/>
      <c r="AW2" s="2295"/>
      <c r="AX2" s="2295"/>
      <c r="AY2" s="2817"/>
      <c r="AZ2" s="3644"/>
      <c r="BA2" s="3644"/>
      <c r="BB2" s="3644"/>
      <c r="BC2" s="2295"/>
      <c r="BD2" s="2295"/>
      <c r="BE2" s="2295"/>
      <c r="BF2" s="2295"/>
      <c r="BG2" s="2295"/>
    </row>
    <row r="3" spans="1:66" ht="24" customHeight="1">
      <c r="A3" s="1867"/>
      <c r="B3" s="3377"/>
      <c r="C3" s="3377"/>
      <c r="D3" s="3377"/>
      <c r="E3" s="3377"/>
      <c r="F3" s="3377"/>
      <c r="G3" s="3377"/>
      <c r="H3" s="3377"/>
      <c r="I3" s="3377"/>
      <c r="J3" s="3377"/>
      <c r="K3" s="3377"/>
      <c r="L3" s="3377"/>
      <c r="M3" s="3377"/>
      <c r="N3" s="3377"/>
      <c r="O3" s="3377"/>
      <c r="P3" s="3377"/>
      <c r="Q3" s="3377"/>
      <c r="R3" s="3377"/>
      <c r="S3" s="3377"/>
      <c r="T3" s="3377"/>
      <c r="U3" s="3377"/>
      <c r="V3" s="3377"/>
      <c r="W3" s="3377"/>
      <c r="X3" s="3377"/>
      <c r="Y3" s="3377"/>
      <c r="Z3" s="3377"/>
      <c r="AA3" s="3377"/>
      <c r="AB3" s="3377"/>
      <c r="AC3" s="3377"/>
      <c r="AD3" s="3377"/>
      <c r="AE3" s="3377"/>
      <c r="AF3" s="3377"/>
      <c r="AG3" s="3377"/>
      <c r="AH3" s="3377"/>
      <c r="AI3" s="3377"/>
      <c r="AJ3" s="3377"/>
      <c r="AK3" s="1867"/>
      <c r="AL3" s="2295"/>
      <c r="AM3" s="2295"/>
      <c r="AN3" s="2295"/>
      <c r="AO3" s="2295"/>
      <c r="AP3" s="2295"/>
      <c r="AQ3" s="2295"/>
      <c r="AR3" s="5067" t="s">
        <v>2513</v>
      </c>
      <c r="AS3" s="4845"/>
      <c r="AT3" s="4845"/>
      <c r="AU3" s="4845"/>
      <c r="AV3" s="4846"/>
      <c r="AW3" s="2295"/>
      <c r="AX3" s="2295"/>
      <c r="AY3" s="2295"/>
      <c r="AZ3" s="2295"/>
      <c r="BA3" s="2295"/>
      <c r="BB3" s="2295"/>
      <c r="BC3" s="2295"/>
      <c r="BD3" s="2295"/>
      <c r="BE3" s="2295"/>
      <c r="BF3" s="2817"/>
      <c r="BG3" s="2816">
        <v>0</v>
      </c>
      <c r="BH3" s="3470"/>
      <c r="BI3" s="3470"/>
      <c r="BJ3" s="3470"/>
      <c r="BK3" s="1618"/>
      <c r="BL3" s="1618"/>
      <c r="BM3" s="1618"/>
      <c r="BN3" s="1618"/>
    </row>
    <row r="4" spans="1:66" ht="18" customHeight="1">
      <c r="A4" s="1867"/>
      <c r="B4" s="2581"/>
      <c r="C4" s="2581"/>
      <c r="D4" s="5138" t="s">
        <v>2386</v>
      </c>
      <c r="E4" s="4967"/>
      <c r="F4" s="4967"/>
      <c r="G4" s="4967"/>
      <c r="H4" s="2668"/>
      <c r="I4" s="5096" t="s">
        <v>2388</v>
      </c>
      <c r="J4" s="5097"/>
      <c r="K4" s="5097"/>
      <c r="L4" s="5097"/>
      <c r="M4" s="5097"/>
      <c r="N4" s="5097"/>
      <c r="O4" s="5097"/>
      <c r="P4" s="5097"/>
      <c r="Q4" s="5097"/>
      <c r="R4" s="5097"/>
      <c r="S4" s="5097"/>
      <c r="T4" s="5097"/>
      <c r="U4" s="5097"/>
      <c r="V4" s="5097"/>
      <c r="W4" s="5097"/>
      <c r="X4" s="5097"/>
      <c r="Y4" s="5097"/>
      <c r="Z4" s="5097"/>
      <c r="AA4" s="5097"/>
      <c r="AB4" s="4908"/>
      <c r="AC4" s="5107" t="s">
        <v>257</v>
      </c>
      <c r="AD4" s="4887"/>
      <c r="AE4" s="4887"/>
      <c r="AF4" s="4887"/>
      <c r="AG4" s="4887"/>
      <c r="AH4" s="4887"/>
      <c r="AI4" s="4887"/>
      <c r="AJ4" s="4887"/>
      <c r="AK4" s="1867"/>
      <c r="AL4" s="2295"/>
      <c r="AM4" s="2295"/>
      <c r="AN4" s="2295"/>
      <c r="AO4" s="2295"/>
      <c r="AP4" s="2295"/>
      <c r="AQ4" s="2295"/>
      <c r="AR4" s="4847"/>
      <c r="AS4" s="4335"/>
      <c r="AT4" s="4335"/>
      <c r="AU4" s="4335"/>
      <c r="AV4" s="4848"/>
      <c r="AW4" s="2295"/>
      <c r="AX4" s="2295"/>
      <c r="AY4" s="2295"/>
      <c r="AZ4" s="2295"/>
      <c r="BA4" s="2295"/>
      <c r="BB4" s="2295"/>
      <c r="BC4" s="2295"/>
      <c r="BD4" s="2295"/>
      <c r="BE4" s="2295"/>
      <c r="BF4" s="2817"/>
      <c r="BG4" s="2816">
        <v>1</v>
      </c>
      <c r="BH4" s="3436">
        <v>11490</v>
      </c>
      <c r="BI4" s="3437">
        <v>14350</v>
      </c>
      <c r="BJ4" s="3437">
        <v>13230</v>
      </c>
      <c r="BK4" s="1618"/>
      <c r="BL4" s="1618"/>
      <c r="BM4" s="1618"/>
      <c r="BN4" s="1618"/>
    </row>
    <row r="5" spans="1:66" ht="24" customHeight="1">
      <c r="A5" s="1867"/>
      <c r="B5" s="5139" t="s">
        <v>499</v>
      </c>
      <c r="C5" s="5140"/>
      <c r="D5" s="4967"/>
      <c r="E5" s="4967"/>
      <c r="F5" s="4967"/>
      <c r="G5" s="4967"/>
      <c r="H5" s="2668"/>
      <c r="I5" s="5098"/>
      <c r="J5" s="5097"/>
      <c r="K5" s="5097"/>
      <c r="L5" s="5097"/>
      <c r="M5" s="5097"/>
      <c r="N5" s="5097"/>
      <c r="O5" s="5097"/>
      <c r="P5" s="5097"/>
      <c r="Q5" s="5097"/>
      <c r="R5" s="5097"/>
      <c r="S5" s="5097"/>
      <c r="T5" s="5097"/>
      <c r="U5" s="5097"/>
      <c r="V5" s="5097"/>
      <c r="W5" s="5097"/>
      <c r="X5" s="5097"/>
      <c r="Y5" s="5097"/>
      <c r="Z5" s="5097"/>
      <c r="AA5" s="5097"/>
      <c r="AB5" s="4908"/>
      <c r="AC5" s="5105">
        <f>TaxYear</f>
        <v>2014</v>
      </c>
      <c r="AD5" s="4967"/>
      <c r="AE5" s="4967"/>
      <c r="AF5" s="4967"/>
      <c r="AG5" s="4967"/>
      <c r="AH5" s="4967"/>
      <c r="AI5" s="4967"/>
      <c r="AJ5" s="4967"/>
      <c r="AK5" s="1867"/>
      <c r="AL5" s="2295"/>
      <c r="AM5" s="5072" t="s">
        <v>2512</v>
      </c>
      <c r="AN5" s="4266"/>
      <c r="AO5" s="4266"/>
      <c r="AP5" s="4266"/>
      <c r="AQ5" s="4266"/>
      <c r="AR5" s="4847"/>
      <c r="AS5" s="4335"/>
      <c r="AT5" s="4335"/>
      <c r="AU5" s="4335"/>
      <c r="AV5" s="4848"/>
      <c r="AW5" s="2295"/>
      <c r="AX5" s="2295"/>
      <c r="AY5" s="2295"/>
      <c r="AZ5" s="2295"/>
      <c r="BA5" s="2295"/>
      <c r="BB5" s="2295"/>
      <c r="BC5" s="2295"/>
      <c r="BD5" s="2295"/>
      <c r="BE5" s="2295"/>
      <c r="BF5" s="2817"/>
      <c r="BG5" s="2816">
        <v>2</v>
      </c>
      <c r="BH5" s="3437">
        <v>15510</v>
      </c>
      <c r="BI5" s="3437">
        <v>19380</v>
      </c>
      <c r="BJ5" s="3437">
        <v>17850</v>
      </c>
      <c r="BK5" s="1618"/>
      <c r="BL5" s="1618"/>
      <c r="BM5" s="1618"/>
      <c r="BN5" s="1618"/>
    </row>
    <row r="6" spans="1:66" ht="6.75" customHeight="1">
      <c r="A6" s="1867"/>
      <c r="B6" s="2581"/>
      <c r="C6" s="2581"/>
      <c r="D6" s="2581"/>
      <c r="E6" s="2581"/>
      <c r="F6" s="2581"/>
      <c r="G6" s="2581"/>
      <c r="H6" s="2668"/>
      <c r="I6" s="3378"/>
      <c r="J6" s="3379"/>
      <c r="K6" s="3379"/>
      <c r="L6" s="3379"/>
      <c r="M6" s="3379"/>
      <c r="N6" s="3379"/>
      <c r="O6" s="3379"/>
      <c r="P6" s="3379"/>
      <c r="Q6" s="3379"/>
      <c r="R6" s="3379"/>
      <c r="S6" s="3379"/>
      <c r="T6" s="3379"/>
      <c r="U6" s="3379"/>
      <c r="V6" s="3379"/>
      <c r="W6" s="3379"/>
      <c r="X6" s="3379"/>
      <c r="Y6" s="3379"/>
      <c r="Z6" s="3379"/>
      <c r="AA6" s="3379"/>
      <c r="AB6" s="3380"/>
      <c r="AC6" s="5106"/>
      <c r="AD6" s="4967"/>
      <c r="AE6" s="4967"/>
      <c r="AF6" s="4967"/>
      <c r="AG6" s="4967"/>
      <c r="AH6" s="4967"/>
      <c r="AI6" s="4967"/>
      <c r="AJ6" s="4967"/>
      <c r="AK6" s="1867"/>
      <c r="AL6" s="2295"/>
      <c r="AM6" s="4324"/>
      <c r="AN6" s="4325"/>
      <c r="AO6" s="4325"/>
      <c r="AP6" s="4325"/>
      <c r="AQ6" s="4325"/>
      <c r="AR6" s="4847"/>
      <c r="AS6" s="4335"/>
      <c r="AT6" s="4335"/>
      <c r="AU6" s="4335"/>
      <c r="AV6" s="4848"/>
      <c r="AW6" s="2295"/>
      <c r="AX6" s="2295"/>
      <c r="AY6" s="2295"/>
      <c r="AZ6" s="2295"/>
      <c r="BA6" s="2295"/>
      <c r="BB6" s="2295"/>
      <c r="BC6" s="2295"/>
      <c r="BD6" s="2295"/>
      <c r="BE6" s="2295"/>
      <c r="BF6" s="2817"/>
      <c r="BG6" s="2816"/>
      <c r="BH6" s="3438"/>
      <c r="BI6" s="3438"/>
      <c r="BJ6" s="3438"/>
      <c r="BK6" s="1618"/>
      <c r="BL6" s="1618"/>
      <c r="BM6" s="1618"/>
      <c r="BN6" s="1618"/>
    </row>
    <row r="7" spans="1:66">
      <c r="A7" s="1867"/>
      <c r="B7" s="2581" t="s">
        <v>303</v>
      </c>
      <c r="C7" s="2581"/>
      <c r="D7" s="2581"/>
      <c r="E7" s="2581"/>
      <c r="F7" s="2581"/>
      <c r="G7" s="2581"/>
      <c r="H7" s="2668"/>
      <c r="I7" s="5111" t="s">
        <v>2387</v>
      </c>
      <c r="J7" s="5112"/>
      <c r="K7" s="5112"/>
      <c r="L7" s="5112"/>
      <c r="M7" s="5112"/>
      <c r="N7" s="5112"/>
      <c r="O7" s="5112"/>
      <c r="P7" s="5112"/>
      <c r="Q7" s="5112"/>
      <c r="R7" s="5112"/>
      <c r="S7" s="5112"/>
      <c r="T7" s="5112"/>
      <c r="U7" s="5112"/>
      <c r="V7" s="5112"/>
      <c r="W7" s="5112"/>
      <c r="X7" s="5112"/>
      <c r="Y7" s="5112"/>
      <c r="Z7" s="5112"/>
      <c r="AA7" s="5112"/>
      <c r="AB7" s="5113"/>
      <c r="AC7" s="3381"/>
      <c r="AD7" s="5157" t="s">
        <v>1672</v>
      </c>
      <c r="AE7" s="4967"/>
      <c r="AF7" s="4967"/>
      <c r="AG7" s="4967"/>
      <c r="AH7" s="5153">
        <v>73</v>
      </c>
      <c r="AI7" s="2669"/>
      <c r="AJ7" s="2669"/>
      <c r="AK7" s="1867"/>
      <c r="AL7" s="2295"/>
      <c r="AM7" s="4324"/>
      <c r="AN7" s="4325"/>
      <c r="AO7" s="4325"/>
      <c r="AP7" s="4325"/>
      <c r="AQ7" s="4325"/>
      <c r="AR7" s="4847"/>
      <c r="AS7" s="4335"/>
      <c r="AT7" s="4335"/>
      <c r="AU7" s="4335"/>
      <c r="AV7" s="4848"/>
      <c r="AW7" s="2295"/>
      <c r="AX7" s="2295"/>
      <c r="AY7" s="2295"/>
      <c r="AZ7" s="2295"/>
      <c r="BA7" s="2295"/>
      <c r="BB7" s="2295"/>
      <c r="BC7" s="2295"/>
      <c r="BD7" s="2295"/>
      <c r="BE7" s="2295"/>
      <c r="BF7" s="2817"/>
      <c r="BG7" s="2816">
        <v>3</v>
      </c>
      <c r="BH7" s="3437">
        <v>19530</v>
      </c>
      <c r="BI7" s="3437">
        <v>24410</v>
      </c>
      <c r="BJ7" s="3437">
        <v>22470</v>
      </c>
      <c r="BK7" s="1618"/>
      <c r="BL7" s="1618"/>
      <c r="BM7" s="1618"/>
      <c r="BN7" s="1618"/>
    </row>
    <row r="8" spans="1:66" ht="13.5" customHeight="1" thickBot="1">
      <c r="A8" s="1867"/>
      <c r="B8" s="2809" t="s">
        <v>680</v>
      </c>
      <c r="C8" s="2809"/>
      <c r="D8" s="2809"/>
      <c r="E8" s="2809"/>
      <c r="F8" s="2809"/>
      <c r="G8" s="2809"/>
      <c r="H8" s="2810"/>
      <c r="I8" s="5108" t="s">
        <v>2390</v>
      </c>
      <c r="J8" s="5109"/>
      <c r="K8" s="5109"/>
      <c r="L8" s="5109"/>
      <c r="M8" s="5109"/>
      <c r="N8" s="5109"/>
      <c r="O8" s="5109"/>
      <c r="P8" s="5109"/>
      <c r="Q8" s="5109"/>
      <c r="R8" s="5109"/>
      <c r="S8" s="5109"/>
      <c r="T8" s="5109"/>
      <c r="U8" s="5109"/>
      <c r="V8" s="5109"/>
      <c r="W8" s="5109"/>
      <c r="X8" s="5109"/>
      <c r="Y8" s="5109"/>
      <c r="Z8" s="5109"/>
      <c r="AA8" s="5109"/>
      <c r="AB8" s="5110"/>
      <c r="AC8" s="3382"/>
      <c r="AD8" s="5155" t="s">
        <v>2472</v>
      </c>
      <c r="AE8" s="5156"/>
      <c r="AF8" s="5156"/>
      <c r="AG8" s="5156"/>
      <c r="AH8" s="5154"/>
      <c r="AI8" s="3383"/>
      <c r="AJ8" s="3383"/>
      <c r="AK8" s="1867"/>
      <c r="AL8" s="2295"/>
      <c r="AM8" s="4324"/>
      <c r="AN8" s="4325"/>
      <c r="AO8" s="4325"/>
      <c r="AP8" s="4325"/>
      <c r="AQ8" s="4325"/>
      <c r="AR8" s="4847"/>
      <c r="AS8" s="4335"/>
      <c r="AT8" s="4335"/>
      <c r="AU8" s="4335"/>
      <c r="AV8" s="4848"/>
      <c r="AW8" s="2295"/>
      <c r="AX8" s="2295"/>
      <c r="AY8" s="2295"/>
      <c r="AZ8" s="2295"/>
      <c r="BA8" s="2295"/>
      <c r="BB8" s="2295"/>
      <c r="BC8" s="2295"/>
      <c r="BD8" s="2295"/>
      <c r="BE8" s="2295"/>
      <c r="BF8" s="2817"/>
      <c r="BG8" s="2816">
        <v>4</v>
      </c>
      <c r="BH8" s="3437">
        <v>23550</v>
      </c>
      <c r="BI8" s="3437">
        <v>29440</v>
      </c>
      <c r="BJ8" s="3437">
        <v>27090</v>
      </c>
      <c r="BK8" s="1618"/>
      <c r="BL8" s="1618"/>
      <c r="BM8" s="1618"/>
      <c r="BN8" s="1618"/>
    </row>
    <row r="9" spans="1:66">
      <c r="A9" s="1867"/>
      <c r="B9" s="3384" t="s">
        <v>2389</v>
      </c>
      <c r="C9" s="3384"/>
      <c r="D9" s="3384"/>
      <c r="E9" s="3384"/>
      <c r="F9" s="3384"/>
      <c r="G9" s="3384"/>
      <c r="H9" s="3384"/>
      <c r="I9" s="3384"/>
      <c r="J9" s="3384"/>
      <c r="K9" s="3384"/>
      <c r="L9" s="3384"/>
      <c r="M9" s="3384"/>
      <c r="N9" s="3384"/>
      <c r="O9" s="3384"/>
      <c r="P9" s="3384"/>
      <c r="Q9" s="3384"/>
      <c r="R9" s="3384"/>
      <c r="S9" s="3385"/>
      <c r="T9" s="3386" t="s">
        <v>151</v>
      </c>
      <c r="U9" s="2801"/>
      <c r="V9" s="2801"/>
      <c r="W9" s="2801"/>
      <c r="X9" s="2801"/>
      <c r="Y9" s="2801"/>
      <c r="Z9" s="2801"/>
      <c r="AA9" s="2801"/>
      <c r="AB9" s="2801"/>
      <c r="AC9" s="5141" t="s">
        <v>2471</v>
      </c>
      <c r="AD9" s="5142"/>
      <c r="AE9" s="5142"/>
      <c r="AF9" s="5142"/>
      <c r="AG9" s="5142"/>
      <c r="AH9" s="2801"/>
      <c r="AI9" s="2801"/>
      <c r="AJ9" s="2801"/>
      <c r="AK9" s="1867"/>
      <c r="AL9" s="2295"/>
      <c r="AM9" s="4324"/>
      <c r="AN9" s="4325"/>
      <c r="AO9" s="4325"/>
      <c r="AP9" s="4325"/>
      <c r="AQ9" s="4325"/>
      <c r="AR9" s="4847"/>
      <c r="AS9" s="4335"/>
      <c r="AT9" s="4335"/>
      <c r="AU9" s="4335"/>
      <c r="AV9" s="4848"/>
      <c r="AW9" s="2295"/>
      <c r="AX9" s="2295"/>
      <c r="AY9" s="2295"/>
      <c r="AZ9" s="2295"/>
      <c r="BA9" s="2295"/>
      <c r="BB9" s="2295"/>
      <c r="BC9" s="2295"/>
      <c r="BD9" s="2295"/>
      <c r="BE9" s="2295"/>
      <c r="BF9" s="2817"/>
      <c r="BG9" s="2816">
        <v>5</v>
      </c>
      <c r="BH9" s="3437">
        <v>27570</v>
      </c>
      <c r="BI9" s="3437">
        <v>34470</v>
      </c>
      <c r="BJ9" s="3437">
        <v>31710</v>
      </c>
      <c r="BK9" s="1618"/>
      <c r="BL9" s="1618"/>
      <c r="BM9" s="1618"/>
      <c r="BN9" s="1618"/>
    </row>
    <row r="10" spans="1:66" ht="13.5" customHeight="1">
      <c r="A10" s="1867"/>
      <c r="B10" s="5101" t="str">
        <f>IF(Names="","",Names)</f>
        <v/>
      </c>
      <c r="C10" s="5102"/>
      <c r="D10" s="5102"/>
      <c r="E10" s="5102"/>
      <c r="F10" s="5102"/>
      <c r="G10" s="5102"/>
      <c r="H10" s="5102"/>
      <c r="I10" s="5102"/>
      <c r="J10" s="5102"/>
      <c r="K10" s="5102"/>
      <c r="L10" s="4113"/>
      <c r="M10" s="4113"/>
      <c r="N10" s="4113"/>
      <c r="O10" s="4113"/>
      <c r="P10" s="4113"/>
      <c r="Q10" s="4113"/>
      <c r="R10" s="4113"/>
      <c r="S10" s="4114"/>
      <c r="T10" s="5147" t="str">
        <f>IF(SS_Yours="","",SS_Yours)</f>
        <v/>
      </c>
      <c r="U10" s="5148"/>
      <c r="V10" s="5148"/>
      <c r="W10" s="5148"/>
      <c r="X10" s="5148"/>
      <c r="Y10" s="5148"/>
      <c r="Z10" s="5148"/>
      <c r="AA10" s="5148"/>
      <c r="AB10" s="5149"/>
      <c r="AC10" s="5143"/>
      <c r="AD10" s="5144"/>
      <c r="AE10" s="5144"/>
      <c r="AF10" s="5144"/>
      <c r="AG10" s="5144"/>
      <c r="AH10" s="3376"/>
      <c r="AI10" s="2581"/>
      <c r="AJ10" s="2581"/>
      <c r="AK10" s="1867"/>
      <c r="AL10" s="2295"/>
      <c r="AM10" s="4324"/>
      <c r="AN10" s="4325"/>
      <c r="AO10" s="4325"/>
      <c r="AP10" s="4325"/>
      <c r="AQ10" s="4325"/>
      <c r="AR10" s="4847"/>
      <c r="AS10" s="4335"/>
      <c r="AT10" s="4335"/>
      <c r="AU10" s="4335"/>
      <c r="AV10" s="4848"/>
      <c r="AW10" s="2295"/>
      <c r="AX10" s="2295"/>
      <c r="AY10" s="2295"/>
      <c r="AZ10" s="2295"/>
      <c r="BA10" s="2295"/>
      <c r="BB10" s="2295"/>
      <c r="BC10" s="2295"/>
      <c r="BD10" s="2295"/>
      <c r="BE10" s="2295"/>
      <c r="BF10" s="2817"/>
      <c r="BG10" s="2816"/>
      <c r="BH10" s="3438"/>
      <c r="BI10" s="3438"/>
      <c r="BJ10" s="3438"/>
      <c r="BK10" s="1618"/>
      <c r="BL10" s="1618"/>
      <c r="BM10" s="1618"/>
      <c r="BN10" s="1618"/>
    </row>
    <row r="11" spans="1:66" ht="5.25" customHeight="1">
      <c r="A11" s="1867"/>
      <c r="B11" s="5103"/>
      <c r="C11" s="5103"/>
      <c r="D11" s="5103"/>
      <c r="E11" s="5103"/>
      <c r="F11" s="5103"/>
      <c r="G11" s="5103"/>
      <c r="H11" s="5103"/>
      <c r="I11" s="5103"/>
      <c r="J11" s="5103"/>
      <c r="K11" s="5103"/>
      <c r="L11" s="5103"/>
      <c r="M11" s="5103"/>
      <c r="N11" s="5103"/>
      <c r="O11" s="5103"/>
      <c r="P11" s="5103"/>
      <c r="Q11" s="5103"/>
      <c r="R11" s="5103"/>
      <c r="S11" s="5104"/>
      <c r="T11" s="5150"/>
      <c r="U11" s="5151"/>
      <c r="V11" s="5151"/>
      <c r="W11" s="5151"/>
      <c r="X11" s="5151"/>
      <c r="Y11" s="5151"/>
      <c r="Z11" s="5151"/>
      <c r="AA11" s="5151"/>
      <c r="AB11" s="5152"/>
      <c r="AC11" s="5145"/>
      <c r="AD11" s="5146"/>
      <c r="AE11" s="5146"/>
      <c r="AF11" s="5146"/>
      <c r="AG11" s="5146"/>
      <c r="AH11" s="3387"/>
      <c r="AI11" s="3387"/>
      <c r="AJ11" s="3387"/>
      <c r="AK11" s="1867"/>
      <c r="AL11" s="2295"/>
      <c r="AM11" s="5073"/>
      <c r="AN11" s="4200"/>
      <c r="AO11" s="4200"/>
      <c r="AP11" s="4200"/>
      <c r="AQ11" s="4200"/>
      <c r="AR11" s="4847"/>
      <c r="AS11" s="4335"/>
      <c r="AT11" s="4335"/>
      <c r="AU11" s="4335"/>
      <c r="AV11" s="4848"/>
      <c r="AW11" s="2295"/>
      <c r="AX11" s="2295"/>
      <c r="AY11" s="2295"/>
      <c r="AZ11" s="2295"/>
      <c r="BA11" s="2295"/>
      <c r="BB11" s="2295"/>
      <c r="BC11" s="2295"/>
      <c r="BD11" s="2295"/>
      <c r="BE11" s="2295"/>
      <c r="BF11" s="2817"/>
      <c r="BG11" s="2816"/>
      <c r="BH11" s="3438"/>
      <c r="BI11" s="3438"/>
      <c r="BJ11" s="3438"/>
      <c r="BK11" s="1618"/>
      <c r="BL11" s="1618"/>
      <c r="BM11" s="1618"/>
      <c r="BN11" s="1618"/>
    </row>
    <row r="12" spans="1:66" ht="18" customHeight="1">
      <c r="A12" s="1867"/>
      <c r="B12" s="3388" t="s">
        <v>2391</v>
      </c>
      <c r="C12" s="3389"/>
      <c r="D12" s="3389"/>
      <c r="E12" s="3389"/>
      <c r="F12" s="3389"/>
      <c r="G12" s="3389"/>
      <c r="H12" s="3389"/>
      <c r="I12" s="3389"/>
      <c r="J12" s="3389"/>
      <c r="K12" s="3389"/>
      <c r="L12" s="3389"/>
      <c r="M12" s="3389"/>
      <c r="N12" s="3389"/>
      <c r="O12" s="3389"/>
      <c r="P12" s="3389"/>
      <c r="Q12" s="3389"/>
      <c r="R12" s="3389"/>
      <c r="S12" s="3389"/>
      <c r="T12" s="3389"/>
      <c r="U12" s="3389"/>
      <c r="V12" s="3389"/>
      <c r="W12" s="3389"/>
      <c r="X12" s="3389"/>
      <c r="Y12" s="3389"/>
      <c r="Z12" s="3389"/>
      <c r="AA12" s="3389"/>
      <c r="AB12" s="3389"/>
      <c r="AC12" s="3389"/>
      <c r="AD12" s="3389"/>
      <c r="AE12" s="3389"/>
      <c r="AF12" s="3389"/>
      <c r="AG12" s="3389"/>
      <c r="AH12" s="3389"/>
      <c r="AI12" s="3426"/>
      <c r="AJ12" s="3426" t="str">
        <f>IF(AND($AH$10&lt;&gt;"",OR(File_Head&lt;&gt;"",File_Marr_Joint&lt;&gt;"",File_Qual_Widow&lt;&gt;"",File_Single&lt;&gt;"")),"Relief checkbox for 'Married Filing Separately'. See instructions.","")</f>
        <v/>
      </c>
      <c r="AK12" s="1867"/>
      <c r="AL12" s="3085"/>
      <c r="AM12" s="3650" t="str">
        <f>IF(AJ12&lt;&gt;"","Check box to remove message.","")</f>
        <v/>
      </c>
      <c r="AN12" s="2295"/>
      <c r="AO12" s="2295"/>
      <c r="AP12" s="2295"/>
      <c r="AQ12" s="2295"/>
      <c r="AR12" s="4849"/>
      <c r="AS12" s="4850"/>
      <c r="AT12" s="4850"/>
      <c r="AU12" s="4850"/>
      <c r="AV12" s="4851"/>
      <c r="AW12" s="2295"/>
      <c r="AX12" s="2295"/>
      <c r="AY12" s="2295"/>
      <c r="AZ12" s="2295"/>
      <c r="BA12" s="2295"/>
      <c r="BB12" s="2295"/>
      <c r="BC12" s="2295"/>
      <c r="BD12" s="2295"/>
      <c r="BE12" s="2295"/>
      <c r="BF12" s="2817"/>
      <c r="BG12" s="2816">
        <v>6</v>
      </c>
      <c r="BH12" s="3437">
        <v>31590</v>
      </c>
      <c r="BI12" s="3437">
        <v>39500</v>
      </c>
      <c r="BJ12" s="3437">
        <v>36330</v>
      </c>
      <c r="BK12" s="1618"/>
      <c r="BL12" s="1618"/>
      <c r="BM12" s="1618"/>
      <c r="BN12" s="1618"/>
    </row>
    <row r="13" spans="1:66">
      <c r="A13" s="1867"/>
      <c r="B13" s="2581"/>
      <c r="C13" s="2581"/>
      <c r="D13" s="2581"/>
      <c r="E13" s="2581"/>
      <c r="F13" s="2581"/>
      <c r="G13" s="2581"/>
      <c r="H13" s="2581"/>
      <c r="I13" s="2581"/>
      <c r="J13" s="2581"/>
      <c r="K13" s="2581"/>
      <c r="L13" s="2581"/>
      <c r="M13" s="2581"/>
      <c r="N13" s="2581"/>
      <c r="O13" s="2581"/>
      <c r="P13" s="2581"/>
      <c r="Q13" s="2581"/>
      <c r="R13" s="2581"/>
      <c r="S13" s="2581"/>
      <c r="T13" s="2581"/>
      <c r="U13" s="2581"/>
      <c r="V13" s="2581"/>
      <c r="W13" s="2581"/>
      <c r="X13" s="2581"/>
      <c r="Y13" s="2581"/>
      <c r="Z13" s="2581"/>
      <c r="AA13" s="2581"/>
      <c r="AB13" s="2581"/>
      <c r="AC13" s="2581"/>
      <c r="AD13" s="3390"/>
      <c r="AE13" s="2581"/>
      <c r="AF13" s="2581"/>
      <c r="AG13" s="2581"/>
      <c r="AH13" s="2581"/>
      <c r="AI13" s="2581"/>
      <c r="AJ13" s="2581"/>
      <c r="AK13" s="1867"/>
      <c r="AL13" s="2295"/>
      <c r="AM13" s="2295"/>
      <c r="AN13" s="2295"/>
      <c r="AO13" s="2295"/>
      <c r="AP13" s="2295"/>
      <c r="AQ13" s="2295"/>
      <c r="AR13" s="3646"/>
      <c r="AS13" s="3646"/>
      <c r="AT13" s="3646"/>
      <c r="AU13" s="3646"/>
      <c r="AV13" s="3646"/>
      <c r="AW13" s="2295"/>
      <c r="AX13" s="2817"/>
      <c r="AY13" s="2817"/>
      <c r="AZ13" s="3645"/>
      <c r="BA13" s="3645"/>
      <c r="BB13" s="3645"/>
      <c r="BC13" s="2817"/>
      <c r="BD13" s="2817"/>
      <c r="BE13" s="2817"/>
      <c r="BF13" s="2817"/>
      <c r="BG13" s="2816">
        <v>7</v>
      </c>
      <c r="BH13" s="3437">
        <v>35610</v>
      </c>
      <c r="BI13" s="3437">
        <v>44530</v>
      </c>
      <c r="BJ13" s="3437">
        <v>40950</v>
      </c>
      <c r="BK13" s="1618"/>
      <c r="BL13" s="1618"/>
      <c r="BM13" s="1618"/>
      <c r="BN13" s="1618"/>
    </row>
    <row r="14" spans="1:66" ht="15">
      <c r="A14" s="1867"/>
      <c r="B14" s="2581"/>
      <c r="C14" s="3391" t="s">
        <v>251</v>
      </c>
      <c r="D14" s="2581" t="s">
        <v>2392</v>
      </c>
      <c r="E14" s="2581"/>
      <c r="F14" s="2581"/>
      <c r="G14" s="2581"/>
      <c r="H14" s="2581"/>
      <c r="I14" s="2581"/>
      <c r="J14" s="2581"/>
      <c r="K14" s="2581"/>
      <c r="L14" s="2581"/>
      <c r="M14" s="2581"/>
      <c r="N14" s="2581"/>
      <c r="O14" s="2581"/>
      <c r="P14" s="2581"/>
      <c r="Q14" s="2581"/>
      <c r="R14" s="2581"/>
      <c r="S14" s="2581"/>
      <c r="T14" s="2581"/>
      <c r="U14" s="2581"/>
      <c r="V14" s="2581"/>
      <c r="W14" s="2581"/>
      <c r="X14" s="2581"/>
      <c r="Y14" s="2581"/>
      <c r="Z14" s="2581"/>
      <c r="AA14" s="2581"/>
      <c r="AB14" s="2581"/>
      <c r="AC14" s="2581"/>
      <c r="AD14" s="3392">
        <v>1</v>
      </c>
      <c r="AE14" s="4252">
        <f>'1040'!AG37</f>
        <v>0</v>
      </c>
      <c r="AF14" s="5116"/>
      <c r="AG14" s="5116"/>
      <c r="AH14" s="5116"/>
      <c r="AI14" s="5116"/>
      <c r="AJ14" s="5116"/>
      <c r="AK14" s="1867"/>
      <c r="AL14" s="2295"/>
      <c r="AM14" s="2295"/>
      <c r="AN14" s="5058" t="s">
        <v>2694</v>
      </c>
      <c r="AO14" s="5059"/>
      <c r="AP14" s="5059"/>
      <c r="AQ14" s="5059"/>
      <c r="AR14" s="5059"/>
      <c r="AS14" s="5059"/>
      <c r="AT14" s="5059"/>
      <c r="AU14" s="5059"/>
      <c r="AV14" s="5060"/>
      <c r="AW14" s="2295"/>
      <c r="AX14" s="5058" t="s">
        <v>2695</v>
      </c>
      <c r="AY14" s="5059"/>
      <c r="AZ14" s="5059"/>
      <c r="BA14" s="5059"/>
      <c r="BB14" s="5059"/>
      <c r="BC14" s="5059"/>
      <c r="BD14" s="5059"/>
      <c r="BE14" s="5059"/>
      <c r="BF14" s="5060"/>
      <c r="BG14" s="2816">
        <v>8</v>
      </c>
      <c r="BH14" s="3437">
        <v>39630</v>
      </c>
      <c r="BI14" s="3437">
        <v>49560</v>
      </c>
      <c r="BJ14" s="3437">
        <v>45570</v>
      </c>
      <c r="BK14" s="1618"/>
      <c r="BL14" s="1618"/>
      <c r="BM14" s="1618"/>
      <c r="BN14" s="1618"/>
    </row>
    <row r="15" spans="1:66" ht="6.75" customHeight="1">
      <c r="A15" s="1867"/>
      <c r="B15" s="2581"/>
      <c r="C15" s="2581"/>
      <c r="D15" s="2581"/>
      <c r="E15" s="2581"/>
      <c r="F15" s="2581"/>
      <c r="G15" s="2581"/>
      <c r="H15" s="2581"/>
      <c r="I15" s="2581"/>
      <c r="J15" s="2581"/>
      <c r="K15" s="2581"/>
      <c r="L15" s="2581"/>
      <c r="M15" s="2581"/>
      <c r="N15" s="2581"/>
      <c r="O15" s="2581"/>
      <c r="P15" s="2581"/>
      <c r="Q15" s="2581"/>
      <c r="R15" s="2581"/>
      <c r="S15" s="2581"/>
      <c r="T15" s="2581"/>
      <c r="U15" s="2581"/>
      <c r="V15" s="2581"/>
      <c r="W15" s="2581"/>
      <c r="X15" s="2581"/>
      <c r="Y15" s="2581"/>
      <c r="Z15" s="2581"/>
      <c r="AA15" s="2581"/>
      <c r="AB15" s="2581"/>
      <c r="AC15" s="2581"/>
      <c r="AD15" s="3393"/>
      <c r="AE15" s="2581"/>
      <c r="AF15" s="2581"/>
      <c r="AG15" s="2581"/>
      <c r="AH15" s="2581"/>
      <c r="AI15" s="2581"/>
      <c r="AJ15" s="2581"/>
      <c r="AK15" s="1867"/>
      <c r="AL15" s="2295"/>
      <c r="AM15" s="2295"/>
      <c r="AN15" s="5061"/>
      <c r="AO15" s="5062"/>
      <c r="AP15" s="5062"/>
      <c r="AQ15" s="5062"/>
      <c r="AR15" s="5062"/>
      <c r="AS15" s="5062"/>
      <c r="AT15" s="5062"/>
      <c r="AU15" s="5062"/>
      <c r="AV15" s="5063"/>
      <c r="AW15" s="2295"/>
      <c r="AX15" s="5061"/>
      <c r="AY15" s="5062"/>
      <c r="AZ15" s="5062"/>
      <c r="BA15" s="5062"/>
      <c r="BB15" s="5062"/>
      <c r="BC15" s="5062"/>
      <c r="BD15" s="5062"/>
      <c r="BE15" s="5062"/>
      <c r="BF15" s="5063"/>
      <c r="BG15" s="2295"/>
    </row>
    <row r="16" spans="1:66" ht="15">
      <c r="A16" s="1867"/>
      <c r="B16" s="2581"/>
      <c r="C16" s="3391" t="s">
        <v>586</v>
      </c>
      <c r="D16" s="2581" t="s">
        <v>2393</v>
      </c>
      <c r="E16" s="2581"/>
      <c r="F16" s="2581"/>
      <c r="G16" s="2581"/>
      <c r="H16" s="2581"/>
      <c r="I16" s="2581"/>
      <c r="J16" s="2581"/>
      <c r="K16" s="2581"/>
      <c r="L16" s="3393"/>
      <c r="M16" s="5099"/>
      <c r="N16" s="5100"/>
      <c r="O16" s="5100"/>
      <c r="P16" s="5100"/>
      <c r="Q16" s="5100"/>
      <c r="R16" s="5100"/>
      <c r="S16" s="3391" t="s">
        <v>85</v>
      </c>
      <c r="T16" s="2581" t="s">
        <v>2395</v>
      </c>
      <c r="U16" s="2581"/>
      <c r="V16" s="2581"/>
      <c r="W16" s="2581"/>
      <c r="X16" s="2581"/>
      <c r="Y16" s="2581"/>
      <c r="Z16" s="2581"/>
      <c r="AA16" s="2581"/>
      <c r="AB16" s="2581"/>
      <c r="AC16" s="2581"/>
      <c r="AD16" s="3393"/>
      <c r="AE16" s="2581"/>
      <c r="AF16" s="2581"/>
      <c r="AG16" s="2581"/>
      <c r="AH16" s="2581"/>
      <c r="AI16" s="2581"/>
      <c r="AJ16" s="2581"/>
      <c r="AK16" s="1867"/>
      <c r="AL16" s="2295"/>
      <c r="AM16" s="2295"/>
      <c r="AN16" s="5061"/>
      <c r="AO16" s="5062"/>
      <c r="AP16" s="5062"/>
      <c r="AQ16" s="5062"/>
      <c r="AR16" s="5062"/>
      <c r="AS16" s="5062"/>
      <c r="AT16" s="5062"/>
      <c r="AU16" s="5062"/>
      <c r="AV16" s="5063"/>
      <c r="AW16" s="2295"/>
      <c r="AX16" s="5061"/>
      <c r="AY16" s="5062"/>
      <c r="AZ16" s="5062"/>
      <c r="BA16" s="5062"/>
      <c r="BB16" s="5062"/>
      <c r="BC16" s="5062"/>
      <c r="BD16" s="5062"/>
      <c r="BE16" s="5062"/>
      <c r="BF16" s="5063"/>
      <c r="BG16" s="2295"/>
    </row>
    <row r="17" spans="1:59" ht="15">
      <c r="A17" s="1867"/>
      <c r="B17" s="2581"/>
      <c r="C17" s="2581"/>
      <c r="D17" s="2581" t="s">
        <v>2394</v>
      </c>
      <c r="E17" s="2581"/>
      <c r="F17" s="2581"/>
      <c r="G17" s="2581"/>
      <c r="H17" s="2581"/>
      <c r="I17" s="2581"/>
      <c r="J17" s="2581"/>
      <c r="K17" s="2581"/>
      <c r="L17" s="3394" t="s">
        <v>586</v>
      </c>
      <c r="M17" s="4251">
        <f>AU41</f>
        <v>0</v>
      </c>
      <c r="N17" s="5093"/>
      <c r="O17" s="5093"/>
      <c r="P17" s="5093"/>
      <c r="Q17" s="5093"/>
      <c r="R17" s="5093"/>
      <c r="S17" s="2581"/>
      <c r="T17" s="2581" t="s">
        <v>2394</v>
      </c>
      <c r="U17" s="2581"/>
      <c r="V17" s="2581"/>
      <c r="W17" s="2581"/>
      <c r="X17" s="2581"/>
      <c r="Y17" s="2581"/>
      <c r="Z17" s="2581"/>
      <c r="AA17" s="2581"/>
      <c r="AB17" s="2581"/>
      <c r="AC17" s="2581"/>
      <c r="AD17" s="3392" t="s">
        <v>587</v>
      </c>
      <c r="AE17" s="4252">
        <f>BE41</f>
        <v>0</v>
      </c>
      <c r="AF17" s="5093"/>
      <c r="AG17" s="5093"/>
      <c r="AH17" s="5093"/>
      <c r="AI17" s="5093"/>
      <c r="AJ17" s="5093"/>
      <c r="AK17" s="1867"/>
      <c r="AL17" s="2295"/>
      <c r="AM17" s="2295"/>
      <c r="AN17" s="5064"/>
      <c r="AO17" s="5065"/>
      <c r="AP17" s="5065"/>
      <c r="AQ17" s="5065"/>
      <c r="AR17" s="5065"/>
      <c r="AS17" s="5065"/>
      <c r="AT17" s="5065"/>
      <c r="AU17" s="5065"/>
      <c r="AV17" s="5066"/>
      <c r="AW17" s="2295"/>
      <c r="AX17" s="5064"/>
      <c r="AY17" s="5065"/>
      <c r="AZ17" s="5065"/>
      <c r="BA17" s="5065"/>
      <c r="BB17" s="5065"/>
      <c r="BC17" s="5065"/>
      <c r="BD17" s="5065"/>
      <c r="BE17" s="5065"/>
      <c r="BF17" s="5066"/>
      <c r="BG17" s="2295"/>
    </row>
    <row r="18" spans="1:59" ht="7.5" customHeight="1">
      <c r="A18" s="1867"/>
      <c r="B18" s="2581"/>
      <c r="C18" s="2581"/>
      <c r="D18" s="2581"/>
      <c r="E18" s="2581"/>
      <c r="F18" s="2581"/>
      <c r="G18" s="2581"/>
      <c r="H18" s="2581"/>
      <c r="I18" s="2581"/>
      <c r="J18" s="2581"/>
      <c r="K18" s="2581"/>
      <c r="L18" s="2581"/>
      <c r="M18" s="2581"/>
      <c r="N18" s="2581"/>
      <c r="O18" s="2581"/>
      <c r="P18" s="2581"/>
      <c r="Q18" s="2581"/>
      <c r="R18" s="2581"/>
      <c r="S18" s="2581"/>
      <c r="T18" s="2581"/>
      <c r="U18" s="2581"/>
      <c r="V18" s="2581"/>
      <c r="W18" s="2581"/>
      <c r="X18" s="2581"/>
      <c r="Y18" s="2581"/>
      <c r="Z18" s="2581"/>
      <c r="AA18" s="2581"/>
      <c r="AB18" s="2581"/>
      <c r="AC18" s="2581"/>
      <c r="AD18" s="3393"/>
      <c r="AE18" s="2581"/>
      <c r="AF18" s="2581"/>
      <c r="AG18" s="2581"/>
      <c r="AH18" s="2581"/>
      <c r="AI18" s="2581"/>
      <c r="AJ18" s="2581"/>
      <c r="AK18" s="1867"/>
      <c r="AL18" s="2295"/>
      <c r="AM18" s="2295"/>
      <c r="AN18" s="3427"/>
      <c r="AO18" s="3419"/>
      <c r="AP18" s="3419"/>
      <c r="AQ18" s="3419"/>
      <c r="AR18" s="3419"/>
      <c r="AS18" s="3419"/>
      <c r="AT18" s="3419"/>
      <c r="AU18" s="3419"/>
      <c r="AV18" s="3420"/>
      <c r="AW18" s="2295"/>
      <c r="AX18" s="3427"/>
      <c r="AY18" s="3419"/>
      <c r="AZ18" s="3419"/>
      <c r="BA18" s="3419"/>
      <c r="BB18" s="3419"/>
      <c r="BC18" s="3419"/>
      <c r="BD18" s="3419"/>
      <c r="BE18" s="3419"/>
      <c r="BF18" s="3420"/>
      <c r="BG18" s="2295"/>
    </row>
    <row r="19" spans="1:59" ht="15">
      <c r="A19" s="1867"/>
      <c r="B19" s="3395" t="s">
        <v>253</v>
      </c>
      <c r="C19" s="3391"/>
      <c r="D19" s="2581" t="s">
        <v>2396</v>
      </c>
      <c r="E19" s="2581"/>
      <c r="F19" s="2581"/>
      <c r="G19" s="2581"/>
      <c r="H19" s="2581"/>
      <c r="I19" s="2581"/>
      <c r="J19" s="2581"/>
      <c r="K19" s="2581"/>
      <c r="L19" s="2581"/>
      <c r="M19" s="2581"/>
      <c r="N19" s="2581"/>
      <c r="O19" s="2581"/>
      <c r="P19" s="2581"/>
      <c r="Q19" s="2581"/>
      <c r="R19" s="2581"/>
      <c r="S19" s="2581"/>
      <c r="T19" s="2581"/>
      <c r="U19" s="2581"/>
      <c r="V19" s="2581"/>
      <c r="W19" s="2581"/>
      <c r="X19" s="2581"/>
      <c r="Y19" s="2581"/>
      <c r="Z19" s="2581"/>
      <c r="AA19" s="2581"/>
      <c r="AB19" s="2581"/>
      <c r="AC19" s="2581"/>
      <c r="AD19" s="3392">
        <v>3</v>
      </c>
      <c r="AE19" s="4252">
        <f>IF(AM19&lt;&gt;"",AM19,SUM(M17,AE17))</f>
        <v>0</v>
      </c>
      <c r="AF19" s="5093"/>
      <c r="AG19" s="5093"/>
      <c r="AH19" s="5093"/>
      <c r="AI19" s="5093"/>
      <c r="AJ19" s="5093"/>
      <c r="AK19" s="1867"/>
      <c r="AL19" s="2295"/>
      <c r="AM19" s="3429"/>
      <c r="AN19" s="2581"/>
      <c r="AO19" s="2804" t="s">
        <v>2515</v>
      </c>
      <c r="AP19" s="2581"/>
      <c r="AQ19" s="2581"/>
      <c r="AR19" s="2581"/>
      <c r="AS19" s="2581"/>
      <c r="AT19" s="2581"/>
      <c r="AU19" s="2581"/>
      <c r="AV19" s="3429"/>
      <c r="AW19" s="2295"/>
      <c r="AX19" s="3428"/>
      <c r="AY19" s="2804" t="s">
        <v>2528</v>
      </c>
      <c r="AZ19" s="2581"/>
      <c r="BA19" s="2581"/>
      <c r="BB19" s="2581"/>
      <c r="BC19" s="2581"/>
      <c r="BD19" s="2581"/>
      <c r="BE19" s="2581"/>
      <c r="BF19" s="3429"/>
      <c r="BG19" s="2295"/>
    </row>
    <row r="20" spans="1:59" ht="6" customHeight="1">
      <c r="A20" s="1867"/>
      <c r="B20" s="2581"/>
      <c r="C20" s="2581"/>
      <c r="D20" s="2581"/>
      <c r="E20" s="2581"/>
      <c r="F20" s="2581"/>
      <c r="G20" s="2581"/>
      <c r="H20" s="2581"/>
      <c r="I20" s="2581"/>
      <c r="J20" s="2581"/>
      <c r="K20" s="2581"/>
      <c r="L20" s="2581"/>
      <c r="M20" s="2581"/>
      <c r="N20" s="2581"/>
      <c r="O20" s="2581"/>
      <c r="P20" s="2581"/>
      <c r="Q20" s="2581"/>
      <c r="R20" s="2581"/>
      <c r="S20" s="2581"/>
      <c r="T20" s="2581"/>
      <c r="U20" s="2581"/>
      <c r="V20" s="2581"/>
      <c r="W20" s="2581"/>
      <c r="X20" s="2581"/>
      <c r="Y20" s="2581"/>
      <c r="Z20" s="2581"/>
      <c r="AA20" s="2581"/>
      <c r="AB20" s="2581"/>
      <c r="AC20" s="2581"/>
      <c r="AD20" s="3393"/>
      <c r="AE20" s="2581"/>
      <c r="AF20" s="2581"/>
      <c r="AG20" s="2581"/>
      <c r="AH20" s="2581"/>
      <c r="AI20" s="2581"/>
      <c r="AJ20" s="2581"/>
      <c r="AK20" s="1867"/>
      <c r="AL20" s="2295"/>
      <c r="AM20" s="2295"/>
      <c r="AN20" s="3428"/>
      <c r="AO20" s="2581"/>
      <c r="AP20" s="2581"/>
      <c r="AQ20" s="2581"/>
      <c r="AR20" s="2581"/>
      <c r="AS20" s="2581"/>
      <c r="AT20" s="2581"/>
      <c r="AU20" s="2581"/>
      <c r="AV20" s="3429"/>
      <c r="AW20" s="2295"/>
      <c r="AX20" s="3428"/>
      <c r="AY20" s="2581"/>
      <c r="AZ20" s="2581"/>
      <c r="BA20" s="2581"/>
      <c r="BB20" s="2581"/>
      <c r="BC20" s="2581"/>
      <c r="BD20" s="2581"/>
      <c r="BE20" s="2581"/>
      <c r="BF20" s="3429"/>
      <c r="BG20" s="2295"/>
    </row>
    <row r="21" spans="1:59" ht="15">
      <c r="A21" s="1867"/>
      <c r="B21" s="2581"/>
      <c r="C21" s="3391" t="s">
        <v>254</v>
      </c>
      <c r="D21" s="2581" t="s">
        <v>2397</v>
      </c>
      <c r="E21" s="2581"/>
      <c r="F21" s="2581"/>
      <c r="G21" s="2581"/>
      <c r="H21" s="2581"/>
      <c r="I21" s="2581"/>
      <c r="J21" s="2581"/>
      <c r="K21" s="2581"/>
      <c r="L21" s="2581"/>
      <c r="M21" s="2581"/>
      <c r="N21" s="2581"/>
      <c r="O21" s="2581"/>
      <c r="P21" s="2581"/>
      <c r="Q21" s="2581"/>
      <c r="R21" s="2581"/>
      <c r="S21" s="2581"/>
      <c r="T21" s="2581"/>
      <c r="U21" s="2581"/>
      <c r="V21" s="2581"/>
      <c r="W21" s="2581"/>
      <c r="X21" s="2581"/>
      <c r="Y21" s="2581"/>
      <c r="Z21" s="2581"/>
      <c r="AA21" s="2581"/>
      <c r="AB21" s="2581"/>
      <c r="AC21" s="2581"/>
      <c r="AD21" s="3393"/>
      <c r="AE21" s="2581"/>
      <c r="AF21" s="2581"/>
      <c r="AG21" s="2581"/>
      <c r="AH21" s="2581"/>
      <c r="AI21" s="2581"/>
      <c r="AJ21" s="2581"/>
      <c r="AK21" s="1867"/>
      <c r="AL21" s="2295"/>
      <c r="AM21" s="3647">
        <f>LOOKUP($AE$14,$BG$3:$BG$14,$BH$3:$BH$14)</f>
        <v>0</v>
      </c>
      <c r="AN21" s="3430" t="s">
        <v>506</v>
      </c>
      <c r="AO21" s="3397" t="s">
        <v>2514</v>
      </c>
      <c r="AP21" s="2581"/>
      <c r="AQ21" s="2581"/>
      <c r="AR21" s="2581"/>
      <c r="AS21" s="2581"/>
      <c r="AT21" s="2581"/>
      <c r="AU21" s="2581"/>
      <c r="AV21" s="3429"/>
      <c r="AW21" s="2295"/>
      <c r="AX21" s="3430" t="s">
        <v>506</v>
      </c>
      <c r="AY21" s="3397" t="s">
        <v>2529</v>
      </c>
      <c r="AZ21" s="2581"/>
      <c r="BA21" s="2581"/>
      <c r="BB21" s="2581"/>
      <c r="BC21" s="2581"/>
      <c r="BD21" s="2581"/>
      <c r="BE21" s="2581"/>
      <c r="BF21" s="3429"/>
      <c r="BG21" s="2295"/>
    </row>
    <row r="22" spans="1:59">
      <c r="A22" s="1867"/>
      <c r="B22" s="2581"/>
      <c r="C22" s="2581"/>
      <c r="D22" s="2581" t="s">
        <v>2398</v>
      </c>
      <c r="E22" s="2581"/>
      <c r="F22" s="2581"/>
      <c r="G22" s="2581"/>
      <c r="H22" s="2581"/>
      <c r="I22" s="2581"/>
      <c r="J22" s="2581"/>
      <c r="K22" s="2581"/>
      <c r="L22" s="2581"/>
      <c r="M22" s="2581"/>
      <c r="N22" s="2581"/>
      <c r="O22" s="2581"/>
      <c r="P22" s="2581"/>
      <c r="Q22" s="2581"/>
      <c r="R22" s="2581"/>
      <c r="S22" s="2581"/>
      <c r="T22" s="2581"/>
      <c r="U22" s="2581"/>
      <c r="V22" s="2581"/>
      <c r="W22" s="2581"/>
      <c r="X22" s="2581"/>
      <c r="Y22" s="2581"/>
      <c r="Z22" s="2581"/>
      <c r="AA22" s="2581"/>
      <c r="AB22" s="2581"/>
      <c r="AC22" s="2581"/>
      <c r="AD22" s="3393"/>
      <c r="AE22" s="2581"/>
      <c r="AF22" s="2581"/>
      <c r="AG22" s="2581"/>
      <c r="AH22" s="2581"/>
      <c r="AI22" s="2581"/>
      <c r="AJ22" s="2581"/>
      <c r="AK22" s="1867"/>
      <c r="AL22" s="2295"/>
      <c r="AM22" s="3647">
        <f>LOOKUP($AE$14,$BG$3:$BG$14,$BI$3:$BI$14)</f>
        <v>0</v>
      </c>
      <c r="AN22" s="3428"/>
      <c r="AO22" s="3397" t="s">
        <v>2519</v>
      </c>
      <c r="AP22" s="2581"/>
      <c r="AQ22" s="2581"/>
      <c r="AR22" s="2581"/>
      <c r="AS22" s="2581"/>
      <c r="AT22" s="3431" t="s">
        <v>506</v>
      </c>
      <c r="AU22" s="3463">
        <f>Adj_Gross_Inc</f>
        <v>0</v>
      </c>
      <c r="AV22" s="3429"/>
      <c r="AW22" s="2295"/>
      <c r="AX22" s="3428"/>
      <c r="AY22" s="3397" t="s">
        <v>2530</v>
      </c>
      <c r="AZ22" s="2581"/>
      <c r="BA22" s="2581"/>
      <c r="BB22" s="2581"/>
      <c r="BC22" s="2581"/>
      <c r="BD22" s="3431"/>
      <c r="BE22" s="2581"/>
      <c r="BF22" s="3429"/>
      <c r="BG22" s="2295"/>
    </row>
    <row r="23" spans="1:59" ht="14.25" customHeight="1">
      <c r="A23" s="1867"/>
      <c r="B23" s="2581"/>
      <c r="C23" s="2581"/>
      <c r="D23" s="2581" t="s">
        <v>2399</v>
      </c>
      <c r="E23" s="2581"/>
      <c r="F23" s="2581"/>
      <c r="G23" s="2581"/>
      <c r="H23" s="2581"/>
      <c r="I23" s="2581"/>
      <c r="J23" s="3396" t="s">
        <v>62</v>
      </c>
      <c r="K23" s="3442" t="str">
        <f>IF(AND($AL$2=1,L2&lt;&gt;""),"X","")</f>
        <v/>
      </c>
      <c r="L23" s="2804" t="s">
        <v>2400</v>
      </c>
      <c r="M23" s="2581"/>
      <c r="N23" s="2581"/>
      <c r="O23" s="2581"/>
      <c r="P23" s="3396" t="s">
        <v>85</v>
      </c>
      <c r="Q23" s="3442" t="str">
        <f>IF(AND($AL$2=1,V2&lt;&gt;""),"X","")</f>
        <v/>
      </c>
      <c r="R23" s="2804" t="s">
        <v>2401</v>
      </c>
      <c r="S23" s="2581"/>
      <c r="T23" s="2581"/>
      <c r="U23" s="3396" t="s">
        <v>86</v>
      </c>
      <c r="V23" s="3442" t="str">
        <f>IF(AND($AL$2=1,B2&lt;&gt;""),"X","")</f>
        <v>X</v>
      </c>
      <c r="W23" s="2581" t="s">
        <v>2402</v>
      </c>
      <c r="X23" s="2581"/>
      <c r="Y23" s="2581"/>
      <c r="Z23" s="2581"/>
      <c r="AA23" s="2581"/>
      <c r="AB23" s="2581"/>
      <c r="AC23" s="2581"/>
      <c r="AD23" s="3392">
        <v>4</v>
      </c>
      <c r="AE23" s="4252">
        <f>IF(V23&lt;&gt;"",AM21,IF(K23&lt;&gt;"",AM22,IF(Q23&lt;&gt;"",AM23,"")))</f>
        <v>0</v>
      </c>
      <c r="AF23" s="5093"/>
      <c r="AG23" s="5093"/>
      <c r="AH23" s="5093"/>
      <c r="AI23" s="5093"/>
      <c r="AJ23" s="5093"/>
      <c r="AK23" s="1867"/>
      <c r="AL23" s="2295"/>
      <c r="AM23" s="3647">
        <f>LOOKUP($AE$14,$BG$3:$BG$14,$BI$3:$BI$14)</f>
        <v>0</v>
      </c>
      <c r="AN23" s="3428"/>
      <c r="AO23" s="3397"/>
      <c r="AP23" s="2581"/>
      <c r="AQ23" s="2581"/>
      <c r="AR23" s="2581"/>
      <c r="AS23" s="2581"/>
      <c r="AT23" s="2581"/>
      <c r="AU23" s="2581"/>
      <c r="AV23" s="3429"/>
      <c r="AW23" s="2295"/>
      <c r="AX23" s="3428"/>
      <c r="AY23" s="3397" t="s">
        <v>2531</v>
      </c>
      <c r="AZ23" s="2581"/>
      <c r="BA23" s="2581"/>
      <c r="BB23" s="2581"/>
      <c r="BC23" s="2581"/>
      <c r="BD23" s="3431" t="s">
        <v>506</v>
      </c>
      <c r="BE23" s="3462"/>
      <c r="BF23" s="3429"/>
      <c r="BG23" s="2295"/>
    </row>
    <row r="24" spans="1:59" ht="6.75" customHeight="1">
      <c r="A24" s="1867"/>
      <c r="B24" s="2581"/>
      <c r="C24" s="2581"/>
      <c r="D24" s="2581"/>
      <c r="E24" s="2581"/>
      <c r="F24" s="2581"/>
      <c r="G24" s="2581"/>
      <c r="H24" s="2581"/>
      <c r="I24" s="2581"/>
      <c r="J24" s="2581"/>
      <c r="K24" s="2581"/>
      <c r="L24" s="2581"/>
      <c r="M24" s="2581"/>
      <c r="N24" s="2581"/>
      <c r="O24" s="2581"/>
      <c r="P24" s="2581"/>
      <c r="Q24" s="2581"/>
      <c r="R24" s="2581"/>
      <c r="S24" s="2581"/>
      <c r="T24" s="2581"/>
      <c r="U24" s="2581"/>
      <c r="V24" s="2581"/>
      <c r="W24" s="2581"/>
      <c r="X24" s="2581"/>
      <c r="Y24" s="2581"/>
      <c r="Z24" s="2581"/>
      <c r="AA24" s="2581"/>
      <c r="AB24" s="2581"/>
      <c r="AC24" s="2581"/>
      <c r="AD24" s="3393"/>
      <c r="AE24" s="2581"/>
      <c r="AF24" s="2581"/>
      <c r="AG24" s="2581"/>
      <c r="AH24" s="2581"/>
      <c r="AI24" s="2581"/>
      <c r="AJ24" s="2581"/>
      <c r="AK24" s="1867"/>
      <c r="AL24" s="2295"/>
      <c r="AM24" s="2816"/>
      <c r="AN24" s="3428"/>
      <c r="AO24" s="3397"/>
      <c r="AP24" s="2581"/>
      <c r="AQ24" s="2581"/>
      <c r="AR24" s="2581"/>
      <c r="AS24" s="2581"/>
      <c r="AT24" s="2581"/>
      <c r="AU24" s="2581"/>
      <c r="AV24" s="3429"/>
      <c r="AW24" s="2295"/>
      <c r="AX24" s="3428"/>
      <c r="AY24" s="3397"/>
      <c r="AZ24" s="2581"/>
      <c r="BA24" s="2581"/>
      <c r="BB24" s="2581"/>
      <c r="BC24" s="2581"/>
      <c r="BD24" s="2581"/>
      <c r="BE24" s="2581"/>
      <c r="BF24" s="3429"/>
      <c r="BG24" s="2295"/>
    </row>
    <row r="25" spans="1:59" ht="15">
      <c r="A25" s="1867"/>
      <c r="B25" s="2581"/>
      <c r="C25" s="3391" t="s">
        <v>347</v>
      </c>
      <c r="D25" s="3397" t="s">
        <v>2403</v>
      </c>
      <c r="E25" s="2581"/>
      <c r="F25" s="2581"/>
      <c r="G25" s="2581"/>
      <c r="H25" s="2581"/>
      <c r="I25" s="2581"/>
      <c r="J25" s="2581"/>
      <c r="K25" s="2581"/>
      <c r="L25" s="2581"/>
      <c r="M25" s="2581"/>
      <c r="N25" s="2581"/>
      <c r="O25" s="2581"/>
      <c r="P25" s="2581"/>
      <c r="Q25" s="2581"/>
      <c r="R25" s="2581"/>
      <c r="S25" s="2581"/>
      <c r="T25" s="2581"/>
      <c r="U25" s="2581"/>
      <c r="V25" s="2581"/>
      <c r="W25" s="2581"/>
      <c r="X25" s="2581"/>
      <c r="Y25" s="2581"/>
      <c r="Z25" s="2581"/>
      <c r="AA25" s="2581"/>
      <c r="AB25" s="2581"/>
      <c r="AC25" s="2581"/>
      <c r="AD25" s="3393"/>
      <c r="AE25" s="2581"/>
      <c r="AF25" s="2581"/>
      <c r="AG25" s="2581"/>
      <c r="AH25" s="2581"/>
      <c r="AI25" s="2581"/>
      <c r="AJ25" s="2581"/>
      <c r="AK25" s="1867"/>
      <c r="AL25" s="2295"/>
      <c r="AM25" s="2817"/>
      <c r="AN25" s="3430" t="s">
        <v>0</v>
      </c>
      <c r="AO25" s="3397" t="s">
        <v>2516</v>
      </c>
      <c r="AP25" s="2581"/>
      <c r="AQ25" s="2581"/>
      <c r="AR25" s="2581"/>
      <c r="AS25" s="2581"/>
      <c r="AT25" s="2581"/>
      <c r="AU25" s="2581"/>
      <c r="AV25" s="3429"/>
      <c r="AW25" s="2295"/>
      <c r="AX25" s="3430" t="s">
        <v>0</v>
      </c>
      <c r="AY25" s="3397" t="s">
        <v>2532</v>
      </c>
      <c r="AZ25" s="2581"/>
      <c r="BA25" s="2581"/>
      <c r="BB25" s="2581"/>
      <c r="BC25" s="2581"/>
      <c r="BD25" s="2581"/>
      <c r="BE25" s="2581"/>
      <c r="BF25" s="3429"/>
      <c r="BG25" s="2295"/>
    </row>
    <row r="26" spans="1:59" ht="15" customHeight="1">
      <c r="A26" s="1867"/>
      <c r="B26" s="2581"/>
      <c r="C26" s="2581"/>
      <c r="D26" s="3398" t="s">
        <v>2404</v>
      </c>
      <c r="E26" s="2581"/>
      <c r="F26" s="2581"/>
      <c r="G26" s="2581"/>
      <c r="H26" s="2581"/>
      <c r="I26" s="2581"/>
      <c r="J26" s="2581"/>
      <c r="K26" s="2581"/>
      <c r="L26" s="2581"/>
      <c r="M26" s="2581"/>
      <c r="N26" s="2581"/>
      <c r="O26" s="2581"/>
      <c r="P26" s="2581"/>
      <c r="Q26" s="2581"/>
      <c r="R26" s="2581"/>
      <c r="S26" s="2581"/>
      <c r="T26" s="2581"/>
      <c r="U26" s="2581"/>
      <c r="V26" s="2581"/>
      <c r="W26" s="2581"/>
      <c r="X26" s="2581"/>
      <c r="Y26" s="2581"/>
      <c r="Z26" s="2581"/>
      <c r="AA26" s="2581"/>
      <c r="AB26" s="2581"/>
      <c r="AC26" s="2581"/>
      <c r="AD26" s="3392">
        <v>5</v>
      </c>
      <c r="AE26" s="5094" t="str">
        <f>IF(OR(AE23="",AE23=0),"",IF(OR(AM48&lt;1,AND(AM48&gt;3.99,AM48&lt;4)),AM49,IF(AND(AM48&gt;4,AM48&lt;9.99),AM50,IF(AM48&gt;9.99,999,AM51))))</f>
        <v/>
      </c>
      <c r="AF26" s="5095"/>
      <c r="AG26" s="5095"/>
      <c r="AH26" s="5095"/>
      <c r="AI26" s="5095"/>
      <c r="AJ26" s="5095"/>
      <c r="AK26" s="1867"/>
      <c r="AL26" s="2295"/>
      <c r="AM26" s="2816"/>
      <c r="AN26" s="3428"/>
      <c r="AO26" s="3397" t="s">
        <v>2517</v>
      </c>
      <c r="AP26" s="2581"/>
      <c r="AQ26" s="2581"/>
      <c r="AR26" s="2581"/>
      <c r="AS26" s="2581"/>
      <c r="AT26" s="2581"/>
      <c r="AU26" s="2581"/>
      <c r="AV26" s="3429"/>
      <c r="AW26" s="2295"/>
      <c r="AX26" s="3428"/>
      <c r="AY26" s="3397" t="s">
        <v>2533</v>
      </c>
      <c r="AZ26" s="2581"/>
      <c r="BA26" s="2581"/>
      <c r="BB26" s="2581"/>
      <c r="BC26" s="2581"/>
      <c r="BD26" s="2581"/>
      <c r="BE26" s="2581"/>
      <c r="BF26" s="3429"/>
      <c r="BG26" s="2295"/>
    </row>
    <row r="27" spans="1:59" ht="15">
      <c r="A27" s="1867"/>
      <c r="B27" s="2581"/>
      <c r="C27" s="3391" t="s">
        <v>175</v>
      </c>
      <c r="D27" s="2581" t="str">
        <f>"Is the result entered on line 5 less than or equal to "&amp;TEXT(AM27,"0")&amp;"%? (See instructions if the result is less than 100%.)"</f>
        <v>Is the result entered on line 5 less than or equal to 400%? (See instructions if the result is less than 100%.)</v>
      </c>
      <c r="E27" s="2581"/>
      <c r="F27" s="2581"/>
      <c r="G27" s="2581"/>
      <c r="H27" s="2581"/>
      <c r="I27" s="2581"/>
      <c r="J27" s="2581"/>
      <c r="K27" s="2581"/>
      <c r="L27" s="2581"/>
      <c r="M27" s="2581"/>
      <c r="N27" s="2581"/>
      <c r="O27" s="2581"/>
      <c r="P27" s="2581"/>
      <c r="Q27" s="2581"/>
      <c r="R27" s="2581"/>
      <c r="S27" s="2581"/>
      <c r="T27" s="2581"/>
      <c r="U27" s="2581"/>
      <c r="V27" s="2581"/>
      <c r="W27" s="2581"/>
      <c r="X27" s="2581"/>
      <c r="Y27" s="2581"/>
      <c r="Z27" s="2581"/>
      <c r="AA27" s="2581"/>
      <c r="AB27" s="2581"/>
      <c r="AC27" s="2581"/>
      <c r="AD27" s="3399"/>
      <c r="AE27" s="3400"/>
      <c r="AF27" s="3400"/>
      <c r="AG27" s="3400"/>
      <c r="AH27" s="3400"/>
      <c r="AI27" s="3400"/>
      <c r="AJ27" s="3400"/>
      <c r="AK27" s="1867"/>
      <c r="AL27" s="2295"/>
      <c r="AM27" s="2816">
        <v>400</v>
      </c>
      <c r="AN27" s="3428"/>
      <c r="AO27" s="3397" t="s">
        <v>2518</v>
      </c>
      <c r="AP27" s="2581"/>
      <c r="AQ27" s="2581"/>
      <c r="AR27" s="2581"/>
      <c r="AS27" s="3431" t="s">
        <v>0</v>
      </c>
      <c r="AT27" s="3463">
        <f>'1040'!V40</f>
        <v>0</v>
      </c>
      <c r="AU27" s="2581"/>
      <c r="AV27" s="3429"/>
      <c r="AW27" s="2295"/>
      <c r="AX27" s="3428"/>
      <c r="AY27" s="3397" t="s">
        <v>2534</v>
      </c>
      <c r="AZ27" s="2581"/>
      <c r="BA27" s="2581"/>
      <c r="BB27" s="2581"/>
      <c r="BC27" s="2581"/>
      <c r="BD27" s="2581"/>
      <c r="BE27" s="2581"/>
      <c r="BF27" s="3429"/>
      <c r="BG27" s="2295"/>
    </row>
    <row r="28" spans="1:59" ht="14.25" customHeight="1">
      <c r="A28" s="1867"/>
      <c r="B28" s="2581"/>
      <c r="C28" s="2581"/>
      <c r="D28" s="3441" t="str">
        <f>IF(OR(AE23="",AE23=0),"",IF(AE26&lt;AM27,"X",""))</f>
        <v/>
      </c>
      <c r="E28" s="3401" t="s">
        <v>2405</v>
      </c>
      <c r="F28" s="2581"/>
      <c r="G28" s="2581"/>
      <c r="H28" s="2581"/>
      <c r="I28" s="2581"/>
      <c r="J28" s="2581"/>
      <c r="K28" s="2581"/>
      <c r="L28" s="2581"/>
      <c r="M28" s="2581"/>
      <c r="N28" s="2581"/>
      <c r="O28" s="2581"/>
      <c r="P28" s="2581"/>
      <c r="Q28" s="2581"/>
      <c r="R28" s="2581"/>
      <c r="S28" s="2581"/>
      <c r="T28" s="2581"/>
      <c r="U28" s="2581"/>
      <c r="V28" s="2581"/>
      <c r="W28" s="2581"/>
      <c r="X28" s="2581"/>
      <c r="Y28" s="2581"/>
      <c r="Z28" s="2581"/>
      <c r="AA28" s="2581"/>
      <c r="AB28" s="2581"/>
      <c r="AC28" s="2581"/>
      <c r="AD28" s="3399"/>
      <c r="AE28" s="3400"/>
      <c r="AF28" s="3400"/>
      <c r="AG28" s="3400"/>
      <c r="AH28" s="3400"/>
      <c r="AI28" s="3400"/>
      <c r="AJ28" s="3400"/>
      <c r="AK28" s="1867"/>
      <c r="AL28" s="2295"/>
      <c r="AM28" s="2816">
        <v>134</v>
      </c>
      <c r="AN28" s="3428"/>
      <c r="AO28" s="3397"/>
      <c r="AP28" s="2581"/>
      <c r="AQ28" s="2581"/>
      <c r="AR28" s="2581"/>
      <c r="AS28" s="2581"/>
      <c r="AT28" s="2581"/>
      <c r="AU28" s="2581"/>
      <c r="AV28" s="3429"/>
      <c r="AW28" s="2295"/>
      <c r="AX28" s="3428"/>
      <c r="AY28" s="3397" t="s">
        <v>2535</v>
      </c>
      <c r="AZ28" s="2581"/>
      <c r="BA28" s="2581"/>
      <c r="BB28" s="2581"/>
      <c r="BC28" s="3431" t="s">
        <v>0</v>
      </c>
      <c r="BD28" s="3462"/>
      <c r="BE28" s="2581"/>
      <c r="BF28" s="3429"/>
      <c r="BG28" s="2295"/>
    </row>
    <row r="29" spans="1:59" ht="5.25" customHeight="1">
      <c r="A29" s="1867"/>
      <c r="B29" s="2581"/>
      <c r="C29" s="2581"/>
      <c r="D29" s="2581"/>
      <c r="E29" s="2581"/>
      <c r="F29" s="2581"/>
      <c r="G29" s="2581"/>
      <c r="H29" s="2581"/>
      <c r="I29" s="2581"/>
      <c r="J29" s="2581"/>
      <c r="K29" s="2581"/>
      <c r="L29" s="2581"/>
      <c r="M29" s="2581"/>
      <c r="N29" s="2581"/>
      <c r="O29" s="2581"/>
      <c r="P29" s="2581"/>
      <c r="Q29" s="2581"/>
      <c r="R29" s="2581"/>
      <c r="S29" s="2581"/>
      <c r="T29" s="2581"/>
      <c r="U29" s="2581"/>
      <c r="V29" s="2581"/>
      <c r="W29" s="2581"/>
      <c r="X29" s="2581"/>
      <c r="Y29" s="2581"/>
      <c r="Z29" s="2581"/>
      <c r="AA29" s="2581"/>
      <c r="AB29" s="2581"/>
      <c r="AC29" s="2581"/>
      <c r="AD29" s="3399"/>
      <c r="AE29" s="3400"/>
      <c r="AF29" s="3400"/>
      <c r="AG29" s="3400"/>
      <c r="AH29" s="3400"/>
      <c r="AI29" s="3400"/>
      <c r="AJ29" s="3400"/>
      <c r="AK29" s="1867"/>
      <c r="AL29" s="2295"/>
      <c r="AM29" s="2816"/>
      <c r="AN29" s="3428"/>
      <c r="AO29" s="3397"/>
      <c r="AP29" s="2581"/>
      <c r="AQ29" s="2581"/>
      <c r="AR29" s="2581"/>
      <c r="AS29" s="2581"/>
      <c r="AT29" s="2581"/>
      <c r="AU29" s="2581"/>
      <c r="AV29" s="3429"/>
      <c r="AW29" s="2295"/>
      <c r="AX29" s="3428"/>
      <c r="AY29" s="3397"/>
      <c r="AZ29" s="2581"/>
      <c r="BA29" s="2581"/>
      <c r="BB29" s="2581"/>
      <c r="BC29" s="2581"/>
      <c r="BD29" s="2581"/>
      <c r="BE29" s="2581"/>
      <c r="BF29" s="3429"/>
      <c r="BG29" s="2295"/>
    </row>
    <row r="30" spans="1:59" ht="13.5" customHeight="1">
      <c r="A30" s="1867"/>
      <c r="B30" s="2581"/>
      <c r="C30" s="2581"/>
      <c r="D30" s="3441" t="str">
        <f>IF(OR(AE23="",AE23=0),"",IF(AE26&lt;AM27,"","X"))</f>
        <v/>
      </c>
      <c r="E30" s="2804" t="s">
        <v>2407</v>
      </c>
      <c r="F30" s="2581"/>
      <c r="G30" s="2581"/>
      <c r="H30" s="2581"/>
      <c r="I30" s="2581"/>
      <c r="J30" s="2581"/>
      <c r="K30" s="2581"/>
      <c r="L30" s="2581"/>
      <c r="M30" s="2581"/>
      <c r="N30" s="2581"/>
      <c r="O30" s="2581"/>
      <c r="P30" s="2581"/>
      <c r="Q30" s="2581"/>
      <c r="R30" s="2581"/>
      <c r="S30" s="2581"/>
      <c r="T30" s="2581"/>
      <c r="U30" s="2581"/>
      <c r="V30" s="2581"/>
      <c r="W30" s="2581"/>
      <c r="X30" s="2581"/>
      <c r="Y30" s="2581"/>
      <c r="Z30" s="2581"/>
      <c r="AA30" s="2581"/>
      <c r="AB30" s="2581"/>
      <c r="AC30" s="2581"/>
      <c r="AD30" s="3399"/>
      <c r="AE30" s="3400"/>
      <c r="AF30" s="3400"/>
      <c r="AG30" s="3400"/>
      <c r="AH30" s="3400"/>
      <c r="AI30" s="3400"/>
      <c r="AJ30" s="3400"/>
      <c r="AK30" s="1867"/>
      <c r="AL30" s="2295"/>
      <c r="AM30" s="2816">
        <v>302</v>
      </c>
      <c r="AN30" s="3430" t="s">
        <v>1</v>
      </c>
      <c r="AO30" s="3397" t="s">
        <v>2520</v>
      </c>
      <c r="AP30" s="2581"/>
      <c r="AQ30" s="2581"/>
      <c r="AR30" s="2581"/>
      <c r="AS30" s="2581"/>
      <c r="AT30" s="2581"/>
      <c r="AU30" s="2581"/>
      <c r="AV30" s="3429"/>
      <c r="AW30" s="2295"/>
      <c r="AX30" s="3430" t="s">
        <v>1</v>
      </c>
      <c r="AY30" s="3397" t="s">
        <v>2536</v>
      </c>
      <c r="AZ30" s="2581"/>
      <c r="BA30" s="2581"/>
      <c r="BB30" s="2581"/>
      <c r="BC30" s="2581"/>
      <c r="BD30" s="2581"/>
      <c r="BE30" s="2581"/>
      <c r="BF30" s="3429"/>
      <c r="BG30" s="2295"/>
    </row>
    <row r="31" spans="1:59">
      <c r="A31" s="1867"/>
      <c r="B31" s="2581"/>
      <c r="C31" s="2581"/>
      <c r="D31" s="2581"/>
      <c r="E31" s="2581" t="s">
        <v>2406</v>
      </c>
      <c r="F31" s="2581"/>
      <c r="G31" s="2581"/>
      <c r="H31" s="2581"/>
      <c r="I31" s="2581"/>
      <c r="J31" s="2581"/>
      <c r="K31" s="2581"/>
      <c r="L31" s="2581"/>
      <c r="M31" s="2581"/>
      <c r="N31" s="2581"/>
      <c r="O31" s="2581"/>
      <c r="P31" s="2581"/>
      <c r="Q31" s="2581"/>
      <c r="R31" s="2581"/>
      <c r="S31" s="2581"/>
      <c r="T31" s="2581"/>
      <c r="U31" s="2581"/>
      <c r="V31" s="2581"/>
      <c r="W31" s="2581"/>
      <c r="X31" s="2581"/>
      <c r="Y31" s="2581"/>
      <c r="Z31" s="2581"/>
      <c r="AA31" s="2581"/>
      <c r="AB31" s="2581"/>
      <c r="AC31" s="2581"/>
      <c r="AD31" s="3399"/>
      <c r="AE31" s="3400"/>
      <c r="AF31" s="3400"/>
      <c r="AG31" s="3400"/>
      <c r="AH31" s="3400"/>
      <c r="AI31" s="3400"/>
      <c r="AJ31" s="3400"/>
      <c r="AK31" s="1867"/>
      <c r="AL31" s="2295"/>
      <c r="AM31" s="2295"/>
      <c r="AN31" s="3428"/>
      <c r="AO31" s="3397" t="s">
        <v>2521</v>
      </c>
      <c r="AP31" s="2581"/>
      <c r="AQ31" s="2581"/>
      <c r="AR31" s="2581"/>
      <c r="AS31" s="3431" t="s">
        <v>1</v>
      </c>
      <c r="AT31" s="3462"/>
      <c r="AU31" s="2581"/>
      <c r="AV31" s="3429"/>
      <c r="AW31" s="2295"/>
      <c r="AX31" s="3428"/>
      <c r="AY31" s="3397" t="s">
        <v>2538</v>
      </c>
      <c r="AZ31" s="2581"/>
      <c r="BA31" s="2581"/>
      <c r="BB31" s="2581"/>
      <c r="BC31" s="3431"/>
      <c r="BD31" s="3431"/>
      <c r="BE31" s="2581"/>
      <c r="BF31" s="3429"/>
      <c r="BG31" s="2295"/>
    </row>
    <row r="32" spans="1:59" ht="6" customHeight="1">
      <c r="A32" s="1867"/>
      <c r="B32" s="2581"/>
      <c r="C32" s="2581"/>
      <c r="D32" s="2581"/>
      <c r="E32" s="2581"/>
      <c r="F32" s="2581"/>
      <c r="G32" s="2581"/>
      <c r="H32" s="2581"/>
      <c r="I32" s="2581"/>
      <c r="J32" s="2581"/>
      <c r="K32" s="2581"/>
      <c r="L32" s="2581"/>
      <c r="M32" s="2581"/>
      <c r="N32" s="2581"/>
      <c r="O32" s="2581"/>
      <c r="P32" s="2581"/>
      <c r="Q32" s="2581"/>
      <c r="R32" s="2581"/>
      <c r="S32" s="2581"/>
      <c r="T32" s="2581"/>
      <c r="U32" s="2581"/>
      <c r="V32" s="2581"/>
      <c r="W32" s="2581"/>
      <c r="X32" s="2581"/>
      <c r="Y32" s="2581"/>
      <c r="Z32" s="2581"/>
      <c r="AA32" s="2581"/>
      <c r="AB32" s="2581"/>
      <c r="AC32" s="2581"/>
      <c r="AD32" s="3399"/>
      <c r="AE32" s="3400"/>
      <c r="AF32" s="3400"/>
      <c r="AG32" s="3400"/>
      <c r="AH32" s="3400"/>
      <c r="AI32" s="3400"/>
      <c r="AJ32" s="3400"/>
      <c r="AK32" s="1867"/>
      <c r="AL32" s="2295"/>
      <c r="AM32" s="2295"/>
      <c r="AN32" s="3428"/>
      <c r="AO32" s="3397"/>
      <c r="AP32" s="2581"/>
      <c r="AQ32" s="2581"/>
      <c r="AR32" s="2581"/>
      <c r="AS32" s="2581"/>
      <c r="AT32" s="2581"/>
      <c r="AU32" s="2581"/>
      <c r="AV32" s="3429"/>
      <c r="AW32" s="2295"/>
      <c r="AX32" s="3428"/>
      <c r="AY32" s="3397"/>
      <c r="AZ32" s="2581"/>
      <c r="BA32" s="2581"/>
      <c r="BB32" s="2581"/>
      <c r="BC32" s="2581"/>
      <c r="BD32" s="2581"/>
      <c r="BE32" s="2581"/>
      <c r="BF32" s="3429"/>
      <c r="BG32" s="2295"/>
    </row>
    <row r="33" spans="1:61" ht="15">
      <c r="A33" s="1867"/>
      <c r="B33" s="2581"/>
      <c r="C33" s="3391" t="s">
        <v>176</v>
      </c>
      <c r="D33" s="2581" t="s">
        <v>2408</v>
      </c>
      <c r="E33" s="2581"/>
      <c r="F33" s="2581"/>
      <c r="G33" s="2581"/>
      <c r="H33" s="2581"/>
      <c r="I33" s="2581"/>
      <c r="J33" s="2581"/>
      <c r="K33" s="2581"/>
      <c r="L33" s="2581"/>
      <c r="M33" s="2581"/>
      <c r="N33" s="2581"/>
      <c r="O33" s="2581"/>
      <c r="P33" s="2581"/>
      <c r="Q33" s="2581"/>
      <c r="R33" s="2581"/>
      <c r="S33" s="2581"/>
      <c r="T33" s="2581"/>
      <c r="U33" s="2581"/>
      <c r="V33" s="2581"/>
      <c r="W33" s="2581"/>
      <c r="X33" s="2581"/>
      <c r="Y33" s="2581"/>
      <c r="Z33" s="2581"/>
      <c r="AA33" s="2581"/>
      <c r="AB33" s="2581"/>
      <c r="AC33" s="2581"/>
      <c r="AD33" s="3392">
        <v>7</v>
      </c>
      <c r="AE33" s="5114" t="str">
        <f>IF(OR(AE26=0,AE14=0,D30="X"),"",LOOKUP(AE26,BH47:BH216,BI47:BI216))</f>
        <v/>
      </c>
      <c r="AF33" s="5115"/>
      <c r="AG33" s="5115"/>
      <c r="AH33" s="5115"/>
      <c r="AI33" s="5115"/>
      <c r="AJ33" s="5115"/>
      <c r="AK33" s="1867"/>
      <c r="AL33" s="2817"/>
      <c r="AM33" s="3648"/>
      <c r="AN33" s="3428"/>
      <c r="AO33" s="3397"/>
      <c r="AP33" s="2581"/>
      <c r="AQ33" s="2581"/>
      <c r="AR33" s="2581"/>
      <c r="AS33" s="2581"/>
      <c r="AT33" s="2581"/>
      <c r="AU33" s="2581"/>
      <c r="AV33" s="3429"/>
      <c r="AW33" s="2295"/>
      <c r="AX33" s="3428"/>
      <c r="AY33" s="3397" t="s">
        <v>2537</v>
      </c>
      <c r="AZ33" s="2581"/>
      <c r="BA33" s="2581"/>
      <c r="BB33" s="2581"/>
      <c r="BC33" s="3431" t="s">
        <v>1</v>
      </c>
      <c r="BD33" s="3462"/>
      <c r="BE33" s="2581"/>
      <c r="BF33" s="3429"/>
      <c r="BG33" s="2295"/>
    </row>
    <row r="34" spans="1:61" ht="6" customHeight="1">
      <c r="A34" s="1867"/>
      <c r="B34" s="2581"/>
      <c r="C34" s="2581"/>
      <c r="D34" s="2581"/>
      <c r="E34" s="2581"/>
      <c r="F34" s="2581"/>
      <c r="G34" s="2581"/>
      <c r="H34" s="2581"/>
      <c r="I34" s="2581"/>
      <c r="J34" s="2581"/>
      <c r="K34" s="2581"/>
      <c r="L34" s="2581"/>
      <c r="M34" s="2581"/>
      <c r="N34" s="2581"/>
      <c r="O34" s="2581"/>
      <c r="P34" s="2581"/>
      <c r="Q34" s="2581"/>
      <c r="R34" s="2581"/>
      <c r="S34" s="2581"/>
      <c r="T34" s="2581"/>
      <c r="U34" s="2581"/>
      <c r="V34" s="2581"/>
      <c r="W34" s="2581"/>
      <c r="X34" s="2581"/>
      <c r="Y34" s="2581"/>
      <c r="Z34" s="2581"/>
      <c r="AA34" s="2581"/>
      <c r="AB34" s="2581"/>
      <c r="AC34" s="2581"/>
      <c r="AD34" s="3393"/>
      <c r="AE34" s="2581"/>
      <c r="AF34" s="2581"/>
      <c r="AG34" s="2581"/>
      <c r="AH34" s="2581"/>
      <c r="AI34" s="2581"/>
      <c r="AJ34" s="2581"/>
      <c r="AK34" s="1867"/>
      <c r="AL34" s="2295"/>
      <c r="AM34" s="3649"/>
      <c r="AN34" s="3428"/>
      <c r="AO34" s="3397"/>
      <c r="AP34" s="2581"/>
      <c r="AQ34" s="2581"/>
      <c r="AR34" s="2581"/>
      <c r="AS34" s="2581"/>
      <c r="AT34" s="2581"/>
      <c r="AU34" s="2581"/>
      <c r="AV34" s="3429"/>
      <c r="AW34" s="2295"/>
      <c r="AX34" s="3428"/>
      <c r="AY34" s="3397"/>
      <c r="AZ34" s="2581"/>
      <c r="BA34" s="2581"/>
      <c r="BB34" s="2581"/>
      <c r="BC34" s="2581"/>
      <c r="BD34" s="2581"/>
      <c r="BE34" s="2581"/>
      <c r="BF34" s="3429"/>
      <c r="BG34" s="2295"/>
    </row>
    <row r="35" spans="1:61" ht="15">
      <c r="A35" s="1867"/>
      <c r="B35" s="2581"/>
      <c r="C35" s="3391" t="s">
        <v>63</v>
      </c>
      <c r="D35" s="3397" t="s">
        <v>2409</v>
      </c>
      <c r="E35" s="2581"/>
      <c r="F35" s="2581"/>
      <c r="G35" s="2581"/>
      <c r="H35" s="2581"/>
      <c r="I35" s="2581"/>
      <c r="J35" s="2581"/>
      <c r="K35" s="2581"/>
      <c r="L35" s="3393"/>
      <c r="M35" s="5099"/>
      <c r="N35" s="5100"/>
      <c r="O35" s="5100"/>
      <c r="P35" s="5100"/>
      <c r="Q35" s="5100"/>
      <c r="R35" s="5100"/>
      <c r="S35" s="3391" t="s">
        <v>85</v>
      </c>
      <c r="T35" s="2581" t="s">
        <v>2411</v>
      </c>
      <c r="U35" s="2581"/>
      <c r="V35" s="2581"/>
      <c r="W35" s="2581"/>
      <c r="X35" s="2581"/>
      <c r="Y35" s="2581"/>
      <c r="Z35" s="2581"/>
      <c r="AA35" s="2581"/>
      <c r="AB35" s="2581"/>
      <c r="AC35" s="2581"/>
      <c r="AD35" s="3402"/>
      <c r="AE35" s="2669"/>
      <c r="AF35" s="2669"/>
      <c r="AG35" s="2669"/>
      <c r="AH35" s="2669"/>
      <c r="AI35" s="2669"/>
      <c r="AJ35" s="2669"/>
      <c r="AK35" s="1867"/>
      <c r="AL35" s="2295"/>
      <c r="AM35" s="3648"/>
      <c r="AN35" s="3430" t="s">
        <v>686</v>
      </c>
      <c r="AO35" s="3397" t="s">
        <v>2522</v>
      </c>
      <c r="AP35" s="2581"/>
      <c r="AQ35" s="2581"/>
      <c r="AR35" s="2581"/>
      <c r="AS35" s="2581"/>
      <c r="AT35" s="2581"/>
      <c r="AU35" s="2581"/>
      <c r="AV35" s="3429"/>
      <c r="AW35" s="2295"/>
      <c r="AX35" s="3430" t="s">
        <v>686</v>
      </c>
      <c r="AY35" s="3397" t="s">
        <v>2539</v>
      </c>
      <c r="AZ35" s="2581"/>
      <c r="BA35" s="2581"/>
      <c r="BB35" s="2581"/>
      <c r="BC35" s="2581"/>
      <c r="BD35" s="2581"/>
      <c r="BE35" s="2581"/>
      <c r="BF35" s="3429"/>
      <c r="BG35" s="2295"/>
    </row>
    <row r="36" spans="1:61" ht="15.75" thickBot="1">
      <c r="A36" s="1867"/>
      <c r="B36" s="2809"/>
      <c r="C36" s="2809"/>
      <c r="D36" s="2809" t="s">
        <v>2410</v>
      </c>
      <c r="E36" s="2809"/>
      <c r="F36" s="2809"/>
      <c r="G36" s="2809"/>
      <c r="H36" s="2809"/>
      <c r="I36" s="2809"/>
      <c r="J36" s="2809"/>
      <c r="K36" s="2809"/>
      <c r="L36" s="3403" t="s">
        <v>63</v>
      </c>
      <c r="M36" s="4189" t="str">
        <f>IF(OR(AE26=0,AE14=0,D30="X"),"",ROUND(AE19*AE33,0))</f>
        <v/>
      </c>
      <c r="N36" s="5091"/>
      <c r="O36" s="5091"/>
      <c r="P36" s="5091"/>
      <c r="Q36" s="5091"/>
      <c r="R36" s="5091"/>
      <c r="S36" s="2809"/>
      <c r="T36" s="2809" t="s">
        <v>2412</v>
      </c>
      <c r="U36" s="2809"/>
      <c r="V36" s="2809"/>
      <c r="W36" s="2809"/>
      <c r="X36" s="2809"/>
      <c r="Y36" s="2809"/>
      <c r="Z36" s="2809"/>
      <c r="AA36" s="2809"/>
      <c r="AB36" s="2809"/>
      <c r="AC36" s="2809"/>
      <c r="AD36" s="3404" t="s">
        <v>65</v>
      </c>
      <c r="AE36" s="5092" t="str">
        <f>IF(OR(AE26=0,AE14=0,D30="X"),"",ROUND(M36/12,0))</f>
        <v/>
      </c>
      <c r="AF36" s="5091"/>
      <c r="AG36" s="5091"/>
      <c r="AH36" s="5091"/>
      <c r="AI36" s="5091"/>
      <c r="AJ36" s="5091"/>
      <c r="AK36" s="1867"/>
      <c r="AL36" s="2295"/>
      <c r="AM36" s="3648"/>
      <c r="AN36" s="3428"/>
      <c r="AO36" s="3397" t="s">
        <v>2523</v>
      </c>
      <c r="AP36" s="2581"/>
      <c r="AQ36" s="2581"/>
      <c r="AR36" s="2581"/>
      <c r="AS36" s="2581"/>
      <c r="AT36" s="2581"/>
      <c r="AU36" s="2581"/>
      <c r="AV36" s="3429"/>
      <c r="AW36" s="2295"/>
      <c r="AX36" s="3428"/>
      <c r="AY36" s="3397" t="s">
        <v>2540</v>
      </c>
      <c r="AZ36" s="2581"/>
      <c r="BA36" s="2581"/>
      <c r="BB36" s="2581"/>
      <c r="BC36" s="2581"/>
      <c r="BD36" s="2581"/>
      <c r="BE36" s="2581"/>
      <c r="BF36" s="3429"/>
      <c r="BG36" s="2295"/>
    </row>
    <row r="37" spans="1:61" ht="18" customHeight="1">
      <c r="A37" s="1867"/>
      <c r="B37" s="3388" t="s">
        <v>2413</v>
      </c>
      <c r="C37" s="3389"/>
      <c r="D37" s="3389"/>
      <c r="E37" s="3389"/>
      <c r="F37" s="3389"/>
      <c r="G37" s="3389"/>
      <c r="H37" s="3389"/>
      <c r="I37" s="3389"/>
      <c r="J37" s="3389"/>
      <c r="K37" s="3389"/>
      <c r="L37" s="3389"/>
      <c r="M37" s="3387"/>
      <c r="N37" s="3387"/>
      <c r="O37" s="3387"/>
      <c r="P37" s="3387"/>
      <c r="Q37" s="3387"/>
      <c r="R37" s="3387"/>
      <c r="S37" s="3389"/>
      <c r="T37" s="3389"/>
      <c r="U37" s="3389"/>
      <c r="V37" s="3389"/>
      <c r="W37" s="3389"/>
      <c r="X37" s="3389"/>
      <c r="Y37" s="3389"/>
      <c r="Z37" s="3389"/>
      <c r="AA37" s="3389"/>
      <c r="AB37" s="3389"/>
      <c r="AC37" s="3389"/>
      <c r="AD37" s="3389"/>
      <c r="AE37" s="3389"/>
      <c r="AF37" s="3389"/>
      <c r="AG37" s="3389"/>
      <c r="AH37" s="3389"/>
      <c r="AI37" s="3389"/>
      <c r="AJ37" s="3389"/>
      <c r="AK37" s="1867"/>
      <c r="AL37" s="2295"/>
      <c r="AM37" s="2295"/>
      <c r="AN37" s="3428"/>
      <c r="AO37" s="3398" t="s">
        <v>2524</v>
      </c>
      <c r="AP37" s="2581"/>
      <c r="AQ37" s="2581"/>
      <c r="AR37" s="2581"/>
      <c r="AS37" s="3431" t="s">
        <v>686</v>
      </c>
      <c r="AT37" s="3463">
        <f>IF('1040'!O53&gt;'1040'!AB53,SUM('1040'!O53,-'1040'!AB53),0)</f>
        <v>0</v>
      </c>
      <c r="AU37" s="2581"/>
      <c r="AV37" s="3429"/>
      <c r="AW37" s="2295"/>
      <c r="AX37" s="3428"/>
      <c r="AY37" s="3398" t="s">
        <v>2541</v>
      </c>
      <c r="AZ37" s="2581"/>
      <c r="BA37" s="2581"/>
      <c r="BB37" s="2581"/>
      <c r="BC37" s="3431" t="s">
        <v>686</v>
      </c>
      <c r="BD37" s="3462"/>
      <c r="BE37" s="2581"/>
      <c r="BF37" s="3429"/>
      <c r="BG37" s="2295"/>
    </row>
    <row r="38" spans="1:61">
      <c r="A38" s="1867"/>
      <c r="B38" s="2581"/>
      <c r="C38" s="2581"/>
      <c r="D38" s="2581" t="s">
        <v>2414</v>
      </c>
      <c r="E38" s="2581"/>
      <c r="F38" s="2581"/>
      <c r="G38" s="2581"/>
      <c r="H38" s="2581"/>
      <c r="I38" s="2581"/>
      <c r="J38" s="2581"/>
      <c r="K38" s="2581"/>
      <c r="L38" s="2581"/>
      <c r="M38" s="2581"/>
      <c r="N38" s="2581"/>
      <c r="O38" s="2581"/>
      <c r="P38" s="2581"/>
      <c r="Q38" s="2581"/>
      <c r="R38" s="2581"/>
      <c r="S38" s="2581"/>
      <c r="T38" s="2581"/>
      <c r="U38" s="2581"/>
      <c r="V38" s="2581"/>
      <c r="W38" s="2581"/>
      <c r="X38" s="2581"/>
      <c r="Y38" s="2581"/>
      <c r="Z38" s="2581"/>
      <c r="AA38" s="2581"/>
      <c r="AB38" s="2581"/>
      <c r="AC38" s="2581"/>
      <c r="AD38" s="2581"/>
      <c r="AE38" s="2581"/>
      <c r="AF38" s="2581"/>
      <c r="AG38" s="2581"/>
      <c r="AH38" s="2581"/>
      <c r="AI38" s="2581"/>
      <c r="AJ38" s="2581"/>
      <c r="AK38" s="1867"/>
      <c r="AL38" s="2295"/>
      <c r="AM38" s="2295"/>
      <c r="AN38" s="3428"/>
      <c r="AO38" s="3397"/>
      <c r="AP38" s="2581"/>
      <c r="AQ38" s="2581"/>
      <c r="AR38" s="2581"/>
      <c r="AS38" s="2581"/>
      <c r="AT38" s="2581"/>
      <c r="AU38" s="2581"/>
      <c r="AV38" s="3429"/>
      <c r="AW38" s="2295"/>
      <c r="AX38" s="3428"/>
      <c r="AY38" s="3397"/>
      <c r="AZ38" s="2581"/>
      <c r="BA38" s="2581"/>
      <c r="BB38" s="2581"/>
      <c r="BC38" s="2581"/>
      <c r="BD38" s="2581"/>
      <c r="BE38" s="2581"/>
      <c r="BF38" s="3429"/>
      <c r="BG38" s="2295"/>
    </row>
    <row r="39" spans="1:61" ht="15.75">
      <c r="A39" s="1867"/>
      <c r="B39" s="2581"/>
      <c r="C39" s="3391" t="s">
        <v>178</v>
      </c>
      <c r="D39" s="3376"/>
      <c r="E39" s="2804" t="s">
        <v>2415</v>
      </c>
      <c r="F39" s="2581"/>
      <c r="G39" s="2581"/>
      <c r="H39" s="2581"/>
      <c r="I39" s="2581"/>
      <c r="J39" s="2581"/>
      <c r="K39" s="2581"/>
      <c r="L39" s="2581"/>
      <c r="M39" s="2581"/>
      <c r="N39" s="2581"/>
      <c r="O39" s="2581"/>
      <c r="P39" s="2581"/>
      <c r="Q39" s="2581"/>
      <c r="R39" s="2581"/>
      <c r="S39" s="2581"/>
      <c r="T39" s="2581"/>
      <c r="U39" s="2581"/>
      <c r="V39" s="2581"/>
      <c r="W39" s="2581"/>
      <c r="X39" s="2581"/>
      <c r="Y39" s="2581"/>
      <c r="Z39" s="3442" t="str">
        <f>IF(D39&lt;&gt;"","","X")</f>
        <v>X</v>
      </c>
      <c r="AA39" s="3401" t="s">
        <v>2416</v>
      </c>
      <c r="AB39" s="2581"/>
      <c r="AC39" s="2581"/>
      <c r="AD39" s="2581"/>
      <c r="AE39" s="2581"/>
      <c r="AF39" s="2581"/>
      <c r="AG39" s="2581"/>
      <c r="AH39" s="2581"/>
      <c r="AI39" s="2581"/>
      <c r="AJ39" s="2581"/>
      <c r="AK39" s="1867"/>
      <c r="AL39" s="2295"/>
      <c r="AM39" s="2295"/>
      <c r="AN39" s="3430" t="s">
        <v>54</v>
      </c>
      <c r="AO39" s="3397" t="s">
        <v>2525</v>
      </c>
      <c r="AP39" s="2581"/>
      <c r="AQ39" s="2581"/>
      <c r="AR39" s="2581"/>
      <c r="AS39" s="2581"/>
      <c r="AT39" s="3431" t="s">
        <v>54</v>
      </c>
      <c r="AU39" s="3463">
        <f>SUM(AT27,AT31,AT37)</f>
        <v>0</v>
      </c>
      <c r="AV39" s="3429"/>
      <c r="AW39" s="2295"/>
      <c r="AX39" s="3430" t="s">
        <v>54</v>
      </c>
      <c r="AY39" s="3397" t="s">
        <v>2525</v>
      </c>
      <c r="AZ39" s="2581"/>
      <c r="BA39" s="2581"/>
      <c r="BB39" s="2581"/>
      <c r="BC39" s="2581"/>
      <c r="BD39" s="3431" t="s">
        <v>54</v>
      </c>
      <c r="BE39" s="3461">
        <f>SUM(BD28,BD33,BD37)</f>
        <v>0</v>
      </c>
      <c r="BF39" s="3429"/>
      <c r="BG39" s="2295"/>
    </row>
    <row r="40" spans="1:61" ht="5.25" customHeight="1">
      <c r="A40" s="1867"/>
      <c r="B40" s="2581"/>
      <c r="C40" s="2581"/>
      <c r="D40" s="2581"/>
      <c r="E40" s="2581"/>
      <c r="F40" s="2581"/>
      <c r="G40" s="2581"/>
      <c r="H40" s="2581"/>
      <c r="I40" s="2581"/>
      <c r="J40" s="2581"/>
      <c r="K40" s="2581"/>
      <c r="L40" s="2581"/>
      <c r="M40" s="2581"/>
      <c r="N40" s="2581"/>
      <c r="O40" s="2581"/>
      <c r="P40" s="2581"/>
      <c r="Q40" s="2581"/>
      <c r="R40" s="2581"/>
      <c r="S40" s="2581"/>
      <c r="T40" s="2581"/>
      <c r="U40" s="2581"/>
      <c r="V40" s="2581"/>
      <c r="W40" s="2581"/>
      <c r="X40" s="2581"/>
      <c r="Y40" s="2581"/>
      <c r="Z40" s="2581"/>
      <c r="AA40" s="2581"/>
      <c r="AB40" s="2581"/>
      <c r="AC40" s="2581"/>
      <c r="AD40" s="2581"/>
      <c r="AE40" s="2581"/>
      <c r="AF40" s="2581"/>
      <c r="AG40" s="2581"/>
      <c r="AH40" s="2581"/>
      <c r="AI40" s="2581"/>
      <c r="AJ40" s="2581"/>
      <c r="AK40" s="1867"/>
      <c r="AL40" s="2295"/>
      <c r="AM40" s="2295"/>
      <c r="AN40" s="3428"/>
      <c r="AO40" s="3397"/>
      <c r="AP40" s="2581"/>
      <c r="AQ40" s="2581"/>
      <c r="AR40" s="2581"/>
      <c r="AS40" s="2581"/>
      <c r="AT40" s="2581"/>
      <c r="AU40" s="2581"/>
      <c r="AV40" s="3429"/>
      <c r="AW40" s="2295"/>
      <c r="AX40" s="3428"/>
      <c r="AY40" s="3397"/>
      <c r="AZ40" s="2581"/>
      <c r="BA40" s="2581"/>
      <c r="BB40" s="2581"/>
      <c r="BC40" s="2581"/>
      <c r="BD40" s="2581"/>
      <c r="BE40" s="2581"/>
      <c r="BF40" s="3429"/>
      <c r="BG40" s="2295"/>
    </row>
    <row r="41" spans="1:61" ht="15">
      <c r="A41" s="1867"/>
      <c r="B41" s="2581"/>
      <c r="C41" s="3391" t="s">
        <v>179</v>
      </c>
      <c r="D41" s="2325" t="s">
        <v>2417</v>
      </c>
      <c r="E41" s="2581"/>
      <c r="F41" s="2581"/>
      <c r="G41" s="2581"/>
      <c r="H41" s="2581"/>
      <c r="I41" s="2581"/>
      <c r="J41" s="2581"/>
      <c r="K41" s="2581"/>
      <c r="L41" s="2581"/>
      <c r="M41" s="2581"/>
      <c r="N41" s="2581"/>
      <c r="O41" s="2581"/>
      <c r="P41" s="2581"/>
      <c r="Q41" s="2581"/>
      <c r="R41" s="2581"/>
      <c r="S41" s="2581"/>
      <c r="T41" s="2581"/>
      <c r="U41" s="2581"/>
      <c r="V41" s="2581"/>
      <c r="W41" s="2581"/>
      <c r="X41" s="2581"/>
      <c r="Y41" s="2581"/>
      <c r="Z41" s="2581"/>
      <c r="AA41" s="2581"/>
      <c r="AB41" s="2581"/>
      <c r="AC41" s="2581"/>
      <c r="AD41" s="2581"/>
      <c r="AE41" s="2581"/>
      <c r="AF41" s="2581"/>
      <c r="AG41" s="2581"/>
      <c r="AH41" s="2581"/>
      <c r="AI41" s="2581"/>
      <c r="AJ41" s="2581"/>
      <c r="AK41" s="1867"/>
      <c r="AL41" s="2295"/>
      <c r="AM41" s="2295"/>
      <c r="AN41" s="3430" t="s">
        <v>125</v>
      </c>
      <c r="AO41" s="3397" t="s">
        <v>2526</v>
      </c>
      <c r="AP41" s="2581"/>
      <c r="AQ41" s="2581"/>
      <c r="AR41" s="2581"/>
      <c r="AS41" s="2581"/>
      <c r="AT41" s="3431" t="s">
        <v>125</v>
      </c>
      <c r="AU41" s="3463">
        <f>ROUND(SUM(AU22,AU39),0)</f>
        <v>0</v>
      </c>
      <c r="AV41" s="3429"/>
      <c r="AW41" s="2295"/>
      <c r="AX41" s="3430" t="s">
        <v>125</v>
      </c>
      <c r="AY41" s="3397" t="s">
        <v>2542</v>
      </c>
      <c r="AZ41" s="2581"/>
      <c r="BA41" s="2581"/>
      <c r="BB41" s="2581"/>
      <c r="BC41" s="2581"/>
      <c r="BD41" s="3431" t="s">
        <v>125</v>
      </c>
      <c r="BE41" s="3461">
        <f>ROUND(SUM(BE23,BE39),0)</f>
        <v>0</v>
      </c>
      <c r="BF41" s="3429"/>
      <c r="BG41" s="2295"/>
    </row>
    <row r="42" spans="1:61" ht="15.75">
      <c r="A42" s="1867"/>
      <c r="B42" s="2581"/>
      <c r="C42" s="3391"/>
      <c r="D42" s="3376"/>
      <c r="E42" s="2804" t="s">
        <v>2418</v>
      </c>
      <c r="F42" s="2581"/>
      <c r="G42" s="2581"/>
      <c r="H42" s="2581"/>
      <c r="I42" s="2581"/>
      <c r="J42" s="2581"/>
      <c r="K42" s="2581"/>
      <c r="L42" s="2581"/>
      <c r="M42" s="2581"/>
      <c r="N42" s="2581"/>
      <c r="O42" s="2581"/>
      <c r="P42" s="2581"/>
      <c r="Q42" s="2581"/>
      <c r="R42" s="2581"/>
      <c r="S42" s="2581"/>
      <c r="T42" s="2581"/>
      <c r="U42" s="2581"/>
      <c r="V42" s="2581"/>
      <c r="W42" s="2581"/>
      <c r="X42" s="2581"/>
      <c r="Y42" s="2581"/>
      <c r="Z42" s="3442" t="str">
        <f>IF(D42&lt;&gt;"","","X")</f>
        <v>X</v>
      </c>
      <c r="AA42" s="2804" t="s">
        <v>2420</v>
      </c>
      <c r="AB42" s="2581"/>
      <c r="AC42" s="2581"/>
      <c r="AD42" s="2581"/>
      <c r="AE42" s="2581"/>
      <c r="AF42" s="2581"/>
      <c r="AG42" s="2581"/>
      <c r="AH42" s="2581"/>
      <c r="AI42" s="2581"/>
      <c r="AJ42" s="2581"/>
      <c r="AK42" s="1867"/>
      <c r="AL42" s="2295"/>
      <c r="AM42" s="2295"/>
      <c r="AN42" s="3432"/>
      <c r="AO42" s="3411"/>
      <c r="AP42" s="3387"/>
      <c r="AQ42" s="3387"/>
      <c r="AR42" s="3387"/>
      <c r="AS42" s="3387"/>
      <c r="AT42" s="3387"/>
      <c r="AU42" s="3387"/>
      <c r="AV42" s="3433"/>
      <c r="AW42" s="2295"/>
      <c r="AX42" s="3432"/>
      <c r="AY42" s="3411"/>
      <c r="AZ42" s="3387"/>
      <c r="BA42" s="3387"/>
      <c r="BB42" s="3387"/>
      <c r="BC42" s="3387"/>
      <c r="BD42" s="3387"/>
      <c r="BE42" s="3387"/>
      <c r="BF42" s="3433"/>
      <c r="BG42" s="2295"/>
    </row>
    <row r="43" spans="1:61">
      <c r="A43" s="1867"/>
      <c r="B43" s="2581"/>
      <c r="C43" s="2581"/>
      <c r="D43" s="2581" t="s">
        <v>2419</v>
      </c>
      <c r="E43" s="2581"/>
      <c r="F43" s="2581"/>
      <c r="G43" s="2581"/>
      <c r="H43" s="2581"/>
      <c r="I43" s="2581"/>
      <c r="J43" s="2581"/>
      <c r="K43" s="2581"/>
      <c r="L43" s="2581"/>
      <c r="M43" s="2581"/>
      <c r="N43" s="2581"/>
      <c r="O43" s="2581"/>
      <c r="P43" s="2581"/>
      <c r="Q43" s="2581"/>
      <c r="R43" s="2581"/>
      <c r="S43" s="2581"/>
      <c r="T43" s="2581"/>
      <c r="U43" s="2581"/>
      <c r="V43" s="2581"/>
      <c r="W43" s="2581"/>
      <c r="X43" s="2581"/>
      <c r="Y43" s="2581"/>
      <c r="Z43" s="2581" t="s">
        <v>2421</v>
      </c>
      <c r="AA43" s="2581"/>
      <c r="AB43" s="2581"/>
      <c r="AC43" s="2581"/>
      <c r="AD43" s="2581"/>
      <c r="AE43" s="2581"/>
      <c r="AF43" s="2581"/>
      <c r="AG43" s="2581"/>
      <c r="AH43" s="2581"/>
      <c r="AI43" s="2581"/>
      <c r="AJ43" s="2581"/>
      <c r="AK43" s="1867"/>
      <c r="AL43" s="2295"/>
      <c r="AM43" s="2295"/>
      <c r="AN43" s="5074" t="s">
        <v>2527</v>
      </c>
      <c r="AO43" s="5075"/>
      <c r="AP43" s="5075"/>
      <c r="AQ43" s="5075"/>
      <c r="AR43" s="5075"/>
      <c r="AS43" s="5075"/>
      <c r="AT43" s="5075"/>
      <c r="AU43" s="5075"/>
      <c r="AV43" s="5076"/>
      <c r="AW43" s="2295"/>
      <c r="AX43" s="5074" t="s">
        <v>2527</v>
      </c>
      <c r="AY43" s="5083"/>
      <c r="AZ43" s="5083"/>
      <c r="BA43" s="5083"/>
      <c r="BB43" s="5083"/>
      <c r="BC43" s="5083"/>
      <c r="BD43" s="5083"/>
      <c r="BE43" s="5083"/>
      <c r="BF43" s="5084"/>
      <c r="BG43" s="2295"/>
    </row>
    <row r="44" spans="1:61" ht="5.25" customHeight="1">
      <c r="A44" s="1867"/>
      <c r="B44" s="3387"/>
      <c r="C44" s="3387"/>
      <c r="D44" s="3387"/>
      <c r="E44" s="3387"/>
      <c r="F44" s="3387"/>
      <c r="G44" s="3387"/>
      <c r="H44" s="3387"/>
      <c r="I44" s="3387"/>
      <c r="J44" s="3387"/>
      <c r="K44" s="3387"/>
      <c r="L44" s="3387"/>
      <c r="M44" s="3387"/>
      <c r="N44" s="3387"/>
      <c r="O44" s="3387"/>
      <c r="P44" s="3387"/>
      <c r="Q44" s="3387"/>
      <c r="R44" s="3387"/>
      <c r="S44" s="3387"/>
      <c r="T44" s="3387"/>
      <c r="U44" s="3387"/>
      <c r="V44" s="3387"/>
      <c r="W44" s="3387"/>
      <c r="X44" s="3387"/>
      <c r="Y44" s="3387"/>
      <c r="Z44" s="3387"/>
      <c r="AA44" s="3387"/>
      <c r="AB44" s="3387"/>
      <c r="AC44" s="3387"/>
      <c r="AD44" s="3387"/>
      <c r="AE44" s="3387"/>
      <c r="AF44" s="3387"/>
      <c r="AG44" s="3387"/>
      <c r="AH44" s="3387"/>
      <c r="AI44" s="3387"/>
      <c r="AJ44" s="3387"/>
      <c r="AK44" s="1867"/>
      <c r="AL44" s="2295"/>
      <c r="AM44" s="2295"/>
      <c r="AN44" s="5077"/>
      <c r="AO44" s="5078"/>
      <c r="AP44" s="5078"/>
      <c r="AQ44" s="5078"/>
      <c r="AR44" s="5078"/>
      <c r="AS44" s="5078"/>
      <c r="AT44" s="5078"/>
      <c r="AU44" s="5078"/>
      <c r="AV44" s="5079"/>
      <c r="AW44" s="2295"/>
      <c r="AX44" s="5085"/>
      <c r="AY44" s="5086"/>
      <c r="AZ44" s="5086"/>
      <c r="BA44" s="5086"/>
      <c r="BB44" s="5086"/>
      <c r="BC44" s="5086"/>
      <c r="BD44" s="5086"/>
      <c r="BE44" s="5086"/>
      <c r="BF44" s="5087"/>
      <c r="BG44" s="2295"/>
    </row>
    <row r="45" spans="1:61">
      <c r="A45" s="1867"/>
      <c r="B45" s="5128" t="s">
        <v>2422</v>
      </c>
      <c r="C45" s="5129"/>
      <c r="D45" s="5129"/>
      <c r="E45" s="5129"/>
      <c r="F45" s="5129"/>
      <c r="G45" s="5117" t="s">
        <v>2423</v>
      </c>
      <c r="H45" s="5118"/>
      <c r="I45" s="5118"/>
      <c r="J45" s="5118"/>
      <c r="K45" s="5118"/>
      <c r="L45" s="5117" t="s">
        <v>2424</v>
      </c>
      <c r="M45" s="5118"/>
      <c r="N45" s="5118"/>
      <c r="O45" s="5118"/>
      <c r="P45" s="5118"/>
      <c r="Q45" s="5117" t="s">
        <v>2425</v>
      </c>
      <c r="R45" s="5118"/>
      <c r="S45" s="5118"/>
      <c r="T45" s="5118"/>
      <c r="U45" s="5118"/>
      <c r="V45" s="5117" t="s">
        <v>2426</v>
      </c>
      <c r="W45" s="5118"/>
      <c r="X45" s="5118"/>
      <c r="Y45" s="5118"/>
      <c r="Z45" s="5118"/>
      <c r="AA45" s="5117" t="s">
        <v>2427</v>
      </c>
      <c r="AB45" s="5118"/>
      <c r="AC45" s="5118"/>
      <c r="AD45" s="5118"/>
      <c r="AE45" s="5118"/>
      <c r="AF45" s="5117" t="s">
        <v>2428</v>
      </c>
      <c r="AG45" s="5118"/>
      <c r="AH45" s="5118"/>
      <c r="AI45" s="5118"/>
      <c r="AJ45" s="5120"/>
      <c r="AK45" s="1867"/>
      <c r="AL45" s="2295"/>
      <c r="AM45" s="2780" t="s">
        <v>2685</v>
      </c>
      <c r="AN45" s="5077"/>
      <c r="AO45" s="5078"/>
      <c r="AP45" s="5078"/>
      <c r="AQ45" s="5078"/>
      <c r="AR45" s="5078"/>
      <c r="AS45" s="5078"/>
      <c r="AT45" s="5078"/>
      <c r="AU45" s="5078"/>
      <c r="AV45" s="5079"/>
      <c r="AW45" s="2295"/>
      <c r="AX45" s="5085"/>
      <c r="AY45" s="5086"/>
      <c r="AZ45" s="5086"/>
      <c r="BA45" s="5086"/>
      <c r="BB45" s="5086"/>
      <c r="BC45" s="5086"/>
      <c r="BD45" s="5086"/>
      <c r="BE45" s="5086"/>
      <c r="BF45" s="5087"/>
      <c r="BG45" s="2295"/>
    </row>
    <row r="46" spans="1:61">
      <c r="A46" s="1867"/>
      <c r="B46" s="5130"/>
      <c r="C46" s="5130"/>
      <c r="D46" s="5130"/>
      <c r="E46" s="5130"/>
      <c r="F46" s="5130"/>
      <c r="G46" s="5119"/>
      <c r="H46" s="5119"/>
      <c r="I46" s="5119"/>
      <c r="J46" s="5119"/>
      <c r="K46" s="5119"/>
      <c r="L46" s="5119"/>
      <c r="M46" s="5119"/>
      <c r="N46" s="5119"/>
      <c r="O46" s="5119"/>
      <c r="P46" s="5119"/>
      <c r="Q46" s="5119"/>
      <c r="R46" s="5119"/>
      <c r="S46" s="5119"/>
      <c r="T46" s="5119"/>
      <c r="U46" s="5119"/>
      <c r="V46" s="5119"/>
      <c r="W46" s="5119"/>
      <c r="X46" s="5119"/>
      <c r="Y46" s="5119"/>
      <c r="Z46" s="5119"/>
      <c r="AA46" s="5119"/>
      <c r="AB46" s="5119"/>
      <c r="AC46" s="5119"/>
      <c r="AD46" s="5119"/>
      <c r="AE46" s="5119"/>
      <c r="AF46" s="5119"/>
      <c r="AG46" s="5119"/>
      <c r="AH46" s="5119"/>
      <c r="AI46" s="5119"/>
      <c r="AJ46" s="5121"/>
      <c r="AK46" s="1867"/>
      <c r="AL46" s="2295"/>
      <c r="AM46" s="2780" t="s">
        <v>2686</v>
      </c>
      <c r="AN46" s="5080"/>
      <c r="AO46" s="5081"/>
      <c r="AP46" s="5081"/>
      <c r="AQ46" s="5081"/>
      <c r="AR46" s="5081"/>
      <c r="AS46" s="5081"/>
      <c r="AT46" s="5081"/>
      <c r="AU46" s="5081"/>
      <c r="AV46" s="5082"/>
      <c r="AW46" s="2295"/>
      <c r="AX46" s="5088"/>
      <c r="AY46" s="5089"/>
      <c r="AZ46" s="5089"/>
      <c r="BA46" s="5089"/>
      <c r="BB46" s="5089"/>
      <c r="BC46" s="5089"/>
      <c r="BD46" s="5089"/>
      <c r="BE46" s="5089"/>
      <c r="BF46" s="5090"/>
      <c r="BG46" s="2295"/>
    </row>
    <row r="47" spans="1:61">
      <c r="A47" s="1867"/>
      <c r="B47" s="5130"/>
      <c r="C47" s="5130"/>
      <c r="D47" s="5130"/>
      <c r="E47" s="5130"/>
      <c r="F47" s="5130"/>
      <c r="G47" s="5119"/>
      <c r="H47" s="5119"/>
      <c r="I47" s="5119"/>
      <c r="J47" s="5119"/>
      <c r="K47" s="5119"/>
      <c r="L47" s="5119"/>
      <c r="M47" s="5119"/>
      <c r="N47" s="5119"/>
      <c r="O47" s="5119"/>
      <c r="P47" s="5119"/>
      <c r="Q47" s="5119"/>
      <c r="R47" s="5119"/>
      <c r="S47" s="5119"/>
      <c r="T47" s="5119"/>
      <c r="U47" s="5119"/>
      <c r="V47" s="5119"/>
      <c r="W47" s="5119"/>
      <c r="X47" s="5119"/>
      <c r="Y47" s="5119"/>
      <c r="Z47" s="5119"/>
      <c r="AA47" s="5119"/>
      <c r="AB47" s="5119"/>
      <c r="AC47" s="5119"/>
      <c r="AD47" s="5119"/>
      <c r="AE47" s="5119"/>
      <c r="AF47" s="5119"/>
      <c r="AG47" s="5119"/>
      <c r="AH47" s="5119"/>
      <c r="AI47" s="5119"/>
      <c r="AJ47" s="5121"/>
      <c r="AK47" s="1867"/>
      <c r="AL47" s="2295"/>
      <c r="AM47" s="2780" t="s">
        <v>2687</v>
      </c>
      <c r="AN47" s="2295"/>
      <c r="AO47" s="2295"/>
      <c r="AP47" s="2295"/>
      <c r="AQ47" s="2295"/>
      <c r="AR47" s="2295"/>
      <c r="AS47" s="2295"/>
      <c r="AT47" s="2295"/>
      <c r="AU47" s="2295"/>
      <c r="AV47" s="2295"/>
      <c r="AW47" s="2295"/>
      <c r="AX47" s="2295"/>
      <c r="AY47" s="2295"/>
      <c r="AZ47" s="2295"/>
      <c r="BA47" s="2295"/>
      <c r="BB47" s="2295"/>
      <c r="BC47" s="2295"/>
      <c r="BD47" s="2295"/>
      <c r="BE47" s="2295"/>
      <c r="BF47" s="2295"/>
      <c r="BG47" s="2295"/>
      <c r="BH47" s="3464">
        <v>0</v>
      </c>
      <c r="BI47" s="3465">
        <v>0.02</v>
      </c>
    </row>
    <row r="48" spans="1:61">
      <c r="A48" s="1867"/>
      <c r="B48" s="5130"/>
      <c r="C48" s="5130"/>
      <c r="D48" s="5130"/>
      <c r="E48" s="5130"/>
      <c r="F48" s="5130"/>
      <c r="G48" s="5119"/>
      <c r="H48" s="5119"/>
      <c r="I48" s="5119"/>
      <c r="J48" s="5119"/>
      <c r="K48" s="5119"/>
      <c r="L48" s="5119"/>
      <c r="M48" s="5119"/>
      <c r="N48" s="5119"/>
      <c r="O48" s="5119"/>
      <c r="P48" s="5119"/>
      <c r="Q48" s="5119"/>
      <c r="R48" s="5119"/>
      <c r="S48" s="5119"/>
      <c r="T48" s="5119"/>
      <c r="U48" s="5119"/>
      <c r="V48" s="5119"/>
      <c r="W48" s="5119"/>
      <c r="X48" s="5119"/>
      <c r="Y48" s="5119"/>
      <c r="Z48" s="5119"/>
      <c r="AA48" s="5119"/>
      <c r="AB48" s="5119"/>
      <c r="AC48" s="5119"/>
      <c r="AD48" s="5119"/>
      <c r="AE48" s="5119"/>
      <c r="AF48" s="5119"/>
      <c r="AG48" s="5119"/>
      <c r="AH48" s="5119"/>
      <c r="AI48" s="5119"/>
      <c r="AJ48" s="5121"/>
      <c r="AK48" s="1867"/>
      <c r="AM48" s="2819" t="e">
        <f>AE19/AE23</f>
        <v>#DIV/0!</v>
      </c>
      <c r="AN48" s="2819" t="s">
        <v>2691</v>
      </c>
      <c r="BH48" s="3466">
        <v>133</v>
      </c>
      <c r="BI48" s="3467">
        <v>0.03</v>
      </c>
    </row>
    <row r="49" spans="1:61" ht="15">
      <c r="A49" s="1867"/>
      <c r="B49" s="3405" t="s">
        <v>1310</v>
      </c>
      <c r="C49" s="3406"/>
      <c r="D49" s="5131" t="s">
        <v>2430</v>
      </c>
      <c r="E49" s="5131"/>
      <c r="F49" s="5131"/>
      <c r="G49" s="5122"/>
      <c r="H49" s="5122"/>
      <c r="I49" s="5122"/>
      <c r="J49" s="5122"/>
      <c r="K49" s="5122"/>
      <c r="L49" s="5122"/>
      <c r="M49" s="5122"/>
      <c r="N49" s="5122"/>
      <c r="O49" s="5122"/>
      <c r="P49" s="5122"/>
      <c r="Q49" s="5123" t="str">
        <f>IF(OR(D39&lt;&gt;"",D42="",D30="X"),"",IF(M36&lt;&gt;"",M36,""))</f>
        <v/>
      </c>
      <c r="R49" s="5124"/>
      <c r="S49" s="5124"/>
      <c r="T49" s="5124"/>
      <c r="U49" s="5125"/>
      <c r="V49" s="5126" t="str">
        <f>IF(OR(D39&lt;&gt;"",D42="",G49="",L49="",D30="X"),"",IF(SUM(L49,-Q49)&lt;0,0,SUM(L49,-Q49)))</f>
        <v/>
      </c>
      <c r="W49" s="5126"/>
      <c r="X49" s="5126"/>
      <c r="Y49" s="5126"/>
      <c r="Z49" s="5126"/>
      <c r="AA49" s="5126" t="str">
        <f>IF(OR(D39&lt;&gt;"",D42="",D30="X"),"",IF(AND(G49&lt;&gt;"",L49&lt;&gt;""),MIN(G49,V49),""))</f>
        <v/>
      </c>
      <c r="AB49" s="5126"/>
      <c r="AC49" s="5126"/>
      <c r="AD49" s="5126"/>
      <c r="AE49" s="5126"/>
      <c r="AF49" s="5122"/>
      <c r="AG49" s="5122"/>
      <c r="AH49" s="5122"/>
      <c r="AI49" s="5122"/>
      <c r="AJ49" s="5127"/>
      <c r="AK49" s="1867"/>
      <c r="AL49" s="1618"/>
      <c r="AM49" s="3643" t="e">
        <f>100*ROUNDDOWN(AE19/AE23,2)</f>
        <v>#DIV/0!</v>
      </c>
      <c r="AN49" s="2819" t="s">
        <v>2688</v>
      </c>
      <c r="BH49" s="3466">
        <v>134</v>
      </c>
      <c r="BI49" s="3467">
        <v>3.0599999999999999E-2</v>
      </c>
    </row>
    <row r="50" spans="1:61" ht="16.5" customHeight="1">
      <c r="A50" s="1867"/>
      <c r="B50" s="5128" t="s">
        <v>2429</v>
      </c>
      <c r="C50" s="5129"/>
      <c r="D50" s="5129"/>
      <c r="E50" s="5129"/>
      <c r="F50" s="5129"/>
      <c r="G50" s="5117" t="s">
        <v>2462</v>
      </c>
      <c r="H50" s="5118"/>
      <c r="I50" s="5118"/>
      <c r="J50" s="5118"/>
      <c r="K50" s="5118"/>
      <c r="L50" s="5117" t="s">
        <v>2457</v>
      </c>
      <c r="M50" s="5118"/>
      <c r="N50" s="5118"/>
      <c r="O50" s="5118"/>
      <c r="P50" s="5118"/>
      <c r="Q50" s="5133" t="s">
        <v>2458</v>
      </c>
      <c r="R50" s="5134"/>
      <c r="S50" s="5134"/>
      <c r="T50" s="5134"/>
      <c r="U50" s="5134"/>
      <c r="V50" s="5117" t="s">
        <v>2459</v>
      </c>
      <c r="W50" s="5118"/>
      <c r="X50" s="5118"/>
      <c r="Y50" s="5118"/>
      <c r="Z50" s="5118"/>
      <c r="AA50" s="5117" t="s">
        <v>2460</v>
      </c>
      <c r="AB50" s="5118"/>
      <c r="AC50" s="5118"/>
      <c r="AD50" s="5118"/>
      <c r="AE50" s="5118"/>
      <c r="AF50" s="5117" t="s">
        <v>2461</v>
      </c>
      <c r="AG50" s="5118"/>
      <c r="AH50" s="5118"/>
      <c r="AI50" s="5118"/>
      <c r="AJ50" s="5120"/>
      <c r="AK50" s="1867"/>
      <c r="AL50" s="1618"/>
      <c r="AM50" s="3643" t="e">
        <f>100*ROUNDUP(AE19/AE23,2)</f>
        <v>#DIV/0!</v>
      </c>
      <c r="AN50" s="2819" t="s">
        <v>2689</v>
      </c>
      <c r="BH50" s="3466">
        <v>135</v>
      </c>
      <c r="BI50" s="3467">
        <v>3.1199999999999999E-2</v>
      </c>
    </row>
    <row r="51" spans="1:61" ht="16.5" customHeight="1">
      <c r="A51" s="1867"/>
      <c r="B51" s="5130"/>
      <c r="C51" s="5130"/>
      <c r="D51" s="5130"/>
      <c r="E51" s="5130"/>
      <c r="F51" s="5130"/>
      <c r="G51" s="5119"/>
      <c r="H51" s="5119"/>
      <c r="I51" s="5119"/>
      <c r="J51" s="5119"/>
      <c r="K51" s="5119"/>
      <c r="L51" s="5119"/>
      <c r="M51" s="5119"/>
      <c r="N51" s="5119"/>
      <c r="O51" s="5119"/>
      <c r="P51" s="5119"/>
      <c r="Q51" s="5135"/>
      <c r="R51" s="5135"/>
      <c r="S51" s="5135"/>
      <c r="T51" s="5135"/>
      <c r="U51" s="5135"/>
      <c r="V51" s="5119"/>
      <c r="W51" s="5119"/>
      <c r="X51" s="5119"/>
      <c r="Y51" s="5119"/>
      <c r="Z51" s="5119"/>
      <c r="AA51" s="5119"/>
      <c r="AB51" s="5119"/>
      <c r="AC51" s="5119"/>
      <c r="AD51" s="5119"/>
      <c r="AE51" s="5119"/>
      <c r="AF51" s="5119"/>
      <c r="AG51" s="5119"/>
      <c r="AH51" s="5119"/>
      <c r="AI51" s="5119"/>
      <c r="AJ51" s="5121"/>
      <c r="AK51" s="1867"/>
      <c r="AM51" s="3643" t="e">
        <f>ROUND(100*AM48,0)</f>
        <v>#DIV/0!</v>
      </c>
      <c r="AN51" s="2819" t="s">
        <v>2690</v>
      </c>
      <c r="BH51" s="3466">
        <v>136</v>
      </c>
      <c r="BI51" s="3467">
        <v>3.1800000000000002E-2</v>
      </c>
    </row>
    <row r="52" spans="1:61" ht="16.5" customHeight="1">
      <c r="A52" s="1867"/>
      <c r="B52" s="5130"/>
      <c r="C52" s="5130"/>
      <c r="D52" s="5130"/>
      <c r="E52" s="5130"/>
      <c r="F52" s="5130"/>
      <c r="G52" s="5119"/>
      <c r="H52" s="5119"/>
      <c r="I52" s="5119"/>
      <c r="J52" s="5119"/>
      <c r="K52" s="5119"/>
      <c r="L52" s="5119"/>
      <c r="M52" s="5119"/>
      <c r="N52" s="5119"/>
      <c r="O52" s="5119"/>
      <c r="P52" s="5119"/>
      <c r="Q52" s="5135"/>
      <c r="R52" s="5135"/>
      <c r="S52" s="5135"/>
      <c r="T52" s="5135"/>
      <c r="U52" s="5135"/>
      <c r="V52" s="5119"/>
      <c r="W52" s="5119"/>
      <c r="X52" s="5119"/>
      <c r="Y52" s="5119"/>
      <c r="Z52" s="5119"/>
      <c r="AA52" s="5119"/>
      <c r="AB52" s="5119"/>
      <c r="AC52" s="5119"/>
      <c r="AD52" s="5119"/>
      <c r="AE52" s="5119"/>
      <c r="AF52" s="5119"/>
      <c r="AG52" s="5119"/>
      <c r="AH52" s="5119"/>
      <c r="AI52" s="5119"/>
      <c r="AJ52" s="5121"/>
      <c r="AK52" s="1867"/>
      <c r="BH52" s="3466">
        <v>137</v>
      </c>
      <c r="BI52" s="3467">
        <v>3.2399999999999998E-2</v>
      </c>
    </row>
    <row r="53" spans="1:61" ht="16.5" customHeight="1">
      <c r="A53" s="1867"/>
      <c r="B53" s="5130"/>
      <c r="C53" s="5130"/>
      <c r="D53" s="5130"/>
      <c r="E53" s="5130"/>
      <c r="F53" s="5130"/>
      <c r="G53" s="5119"/>
      <c r="H53" s="5119"/>
      <c r="I53" s="5119"/>
      <c r="J53" s="5119"/>
      <c r="K53" s="5119"/>
      <c r="L53" s="5119"/>
      <c r="M53" s="5119"/>
      <c r="N53" s="5119"/>
      <c r="O53" s="5119"/>
      <c r="P53" s="5119"/>
      <c r="Q53" s="5135"/>
      <c r="R53" s="5135"/>
      <c r="S53" s="5135"/>
      <c r="T53" s="5135"/>
      <c r="U53" s="5135"/>
      <c r="V53" s="5119"/>
      <c r="W53" s="5119"/>
      <c r="X53" s="5119"/>
      <c r="Y53" s="5119"/>
      <c r="Z53" s="5119"/>
      <c r="AA53" s="5119"/>
      <c r="AB53" s="5119"/>
      <c r="AC53" s="5119"/>
      <c r="AD53" s="5119"/>
      <c r="AE53" s="5119"/>
      <c r="AF53" s="5119"/>
      <c r="AG53" s="5119"/>
      <c r="AH53" s="5119"/>
      <c r="AI53" s="5119"/>
      <c r="AJ53" s="5121"/>
      <c r="AK53" s="1867"/>
      <c r="BH53" s="3466">
        <v>138</v>
      </c>
      <c r="BI53" s="3467">
        <v>3.2899999999999999E-2</v>
      </c>
    </row>
    <row r="54" spans="1:61" ht="14.25" customHeight="1">
      <c r="A54" s="1867"/>
      <c r="B54" s="3405" t="s">
        <v>369</v>
      </c>
      <c r="C54" s="3406"/>
      <c r="D54" s="5132" t="s">
        <v>2431</v>
      </c>
      <c r="E54" s="5132"/>
      <c r="F54" s="5132"/>
      <c r="G54" s="5122"/>
      <c r="H54" s="5122"/>
      <c r="I54" s="5122"/>
      <c r="J54" s="5122"/>
      <c r="K54" s="5122"/>
      <c r="L54" s="5122"/>
      <c r="M54" s="5122"/>
      <c r="N54" s="5122"/>
      <c r="O54" s="5122"/>
      <c r="P54" s="5122"/>
      <c r="Q54" s="5123" t="str">
        <f>IF(OR(G54="",L54="",$D$39&lt;&gt;"",$D$42&lt;&gt;"",$D$30="X"),"",$AE$36)</f>
        <v/>
      </c>
      <c r="R54" s="5124"/>
      <c r="S54" s="5124"/>
      <c r="T54" s="5124"/>
      <c r="U54" s="5125"/>
      <c r="V54" s="5126" t="str">
        <f>IF(OR(G54="",L54="",$D$39&lt;&gt;"",$D$42&lt;&gt;"",$D$30="X"),"",IF(SUM(L54,-Q54)&lt;0,0,SUM(L54,-Q54)))</f>
        <v/>
      </c>
      <c r="W54" s="5126"/>
      <c r="X54" s="5126"/>
      <c r="Y54" s="5126"/>
      <c r="Z54" s="5126"/>
      <c r="AA54" s="5126" t="str">
        <f>IF(OR(G54="",L54="",$D$39&lt;&gt;"",$D$42&lt;&gt;"",$D$30="X"),"",MIN(G54,V54))</f>
        <v/>
      </c>
      <c r="AB54" s="5126"/>
      <c r="AC54" s="5126"/>
      <c r="AD54" s="5126"/>
      <c r="AE54" s="5126"/>
      <c r="AF54" s="5136"/>
      <c r="AG54" s="5136"/>
      <c r="AH54" s="5136"/>
      <c r="AI54" s="5136"/>
      <c r="AJ54" s="5137"/>
      <c r="AK54" s="1867"/>
      <c r="AO54" s="3440"/>
      <c r="AP54" s="3440"/>
      <c r="BH54" s="3466">
        <v>139</v>
      </c>
      <c r="BI54" s="3467">
        <v>3.3500000000000002E-2</v>
      </c>
    </row>
    <row r="55" spans="1:61" ht="14.25" customHeight="1">
      <c r="A55" s="1867"/>
      <c r="B55" s="3405" t="s">
        <v>1315</v>
      </c>
      <c r="C55" s="3406"/>
      <c r="D55" s="5132" t="s">
        <v>2432</v>
      </c>
      <c r="E55" s="5132"/>
      <c r="F55" s="5132"/>
      <c r="G55" s="5122"/>
      <c r="H55" s="5122"/>
      <c r="I55" s="5122"/>
      <c r="J55" s="5122"/>
      <c r="K55" s="5122"/>
      <c r="L55" s="5122"/>
      <c r="M55" s="5122"/>
      <c r="N55" s="5122"/>
      <c r="O55" s="5122"/>
      <c r="P55" s="5122"/>
      <c r="Q55" s="5123" t="str">
        <f t="shared" ref="Q55:Q65" si="0">IF(OR(G55="",L55="",$D$39&lt;&gt;"",$D$42&lt;&gt;"",$D$30="X"),"",$AE$36)</f>
        <v/>
      </c>
      <c r="R55" s="5124"/>
      <c r="S55" s="5124"/>
      <c r="T55" s="5124"/>
      <c r="U55" s="5125"/>
      <c r="V55" s="5126" t="str">
        <f t="shared" ref="V55:V65" si="1">IF(OR(G55="",L55="",$D$39&lt;&gt;"",$D$42&lt;&gt;"",$D$30="X"),"",IF(SUM(L55,-Q55)&lt;0,0,SUM(L55,-Q55)))</f>
        <v/>
      </c>
      <c r="W55" s="5126"/>
      <c r="X55" s="5126"/>
      <c r="Y55" s="5126"/>
      <c r="Z55" s="5126"/>
      <c r="AA55" s="5126" t="str">
        <f t="shared" ref="AA55:AA65" si="2">IF(OR(G55="",L55="",$D$39&lt;&gt;"",$D$42&lt;&gt;"",$D$30="X"),"",MIN(G55,V55))</f>
        <v/>
      </c>
      <c r="AB55" s="5126"/>
      <c r="AC55" s="5126"/>
      <c r="AD55" s="5126"/>
      <c r="AE55" s="5126"/>
      <c r="AF55" s="5136"/>
      <c r="AG55" s="5136"/>
      <c r="AH55" s="5136"/>
      <c r="AI55" s="5136"/>
      <c r="AJ55" s="5137"/>
      <c r="AK55" s="1867"/>
      <c r="AO55" s="3440"/>
      <c r="AP55" s="3440"/>
      <c r="BH55" s="3466">
        <v>140</v>
      </c>
      <c r="BI55" s="3467">
        <v>3.4099999999999998E-2</v>
      </c>
    </row>
    <row r="56" spans="1:61" ht="14.25" customHeight="1">
      <c r="A56" s="1867"/>
      <c r="B56" s="3405" t="s">
        <v>1336</v>
      </c>
      <c r="C56" s="3406"/>
      <c r="D56" s="5132" t="s">
        <v>2433</v>
      </c>
      <c r="E56" s="5132"/>
      <c r="F56" s="5132"/>
      <c r="G56" s="5122"/>
      <c r="H56" s="5122"/>
      <c r="I56" s="5122"/>
      <c r="J56" s="5122"/>
      <c r="K56" s="5122"/>
      <c r="L56" s="5122"/>
      <c r="M56" s="5122"/>
      <c r="N56" s="5122"/>
      <c r="O56" s="5122"/>
      <c r="P56" s="5122"/>
      <c r="Q56" s="5123" t="str">
        <f t="shared" si="0"/>
        <v/>
      </c>
      <c r="R56" s="5124"/>
      <c r="S56" s="5124"/>
      <c r="T56" s="5124"/>
      <c r="U56" s="5125"/>
      <c r="V56" s="5126" t="str">
        <f t="shared" si="1"/>
        <v/>
      </c>
      <c r="W56" s="5126"/>
      <c r="X56" s="5126"/>
      <c r="Y56" s="5126"/>
      <c r="Z56" s="5126"/>
      <c r="AA56" s="5126" t="str">
        <f t="shared" si="2"/>
        <v/>
      </c>
      <c r="AB56" s="5126"/>
      <c r="AC56" s="5126"/>
      <c r="AD56" s="5126"/>
      <c r="AE56" s="5126"/>
      <c r="AF56" s="5136"/>
      <c r="AG56" s="5136"/>
      <c r="AH56" s="5136"/>
      <c r="AI56" s="5136"/>
      <c r="AJ56" s="5137"/>
      <c r="AK56" s="1867"/>
      <c r="AO56" s="3440"/>
      <c r="AP56" s="3440"/>
      <c r="BH56" s="3466">
        <v>141</v>
      </c>
      <c r="BI56" s="3467">
        <v>3.4700000000000002E-2</v>
      </c>
    </row>
    <row r="57" spans="1:61" ht="14.25" customHeight="1">
      <c r="A57" s="1867"/>
      <c r="B57" s="3405" t="s">
        <v>1337</v>
      </c>
      <c r="C57" s="3406"/>
      <c r="D57" s="5132" t="s">
        <v>2434</v>
      </c>
      <c r="E57" s="5132"/>
      <c r="F57" s="5132"/>
      <c r="G57" s="5122"/>
      <c r="H57" s="5122"/>
      <c r="I57" s="5122"/>
      <c r="J57" s="5122"/>
      <c r="K57" s="5122"/>
      <c r="L57" s="5122"/>
      <c r="M57" s="5122"/>
      <c r="N57" s="5122"/>
      <c r="O57" s="5122"/>
      <c r="P57" s="5122"/>
      <c r="Q57" s="5123" t="str">
        <f t="shared" si="0"/>
        <v/>
      </c>
      <c r="R57" s="5124"/>
      <c r="S57" s="5124"/>
      <c r="T57" s="5124"/>
      <c r="U57" s="5125"/>
      <c r="V57" s="5126" t="str">
        <f t="shared" si="1"/>
        <v/>
      </c>
      <c r="W57" s="5126"/>
      <c r="X57" s="5126"/>
      <c r="Y57" s="5126"/>
      <c r="Z57" s="5126"/>
      <c r="AA57" s="5126" t="str">
        <f t="shared" si="2"/>
        <v/>
      </c>
      <c r="AB57" s="5126"/>
      <c r="AC57" s="5126"/>
      <c r="AD57" s="5126"/>
      <c r="AE57" s="5126"/>
      <c r="AF57" s="5136"/>
      <c r="AG57" s="5136"/>
      <c r="AH57" s="5136"/>
      <c r="AI57" s="5136"/>
      <c r="AJ57" s="5137"/>
      <c r="AK57" s="1867"/>
      <c r="AO57" s="3440"/>
      <c r="AP57" s="3440"/>
      <c r="BH57" s="3466">
        <v>142</v>
      </c>
      <c r="BI57" s="3467">
        <v>3.5299999999999998E-2</v>
      </c>
    </row>
    <row r="58" spans="1:61" ht="14.25" customHeight="1">
      <c r="A58" s="1867"/>
      <c r="B58" s="3405" t="s">
        <v>2435</v>
      </c>
      <c r="C58" s="3406"/>
      <c r="D58" s="5132" t="s">
        <v>2436</v>
      </c>
      <c r="E58" s="5132"/>
      <c r="F58" s="5132"/>
      <c r="G58" s="5122"/>
      <c r="H58" s="5122"/>
      <c r="I58" s="5122"/>
      <c r="J58" s="5122"/>
      <c r="K58" s="5122"/>
      <c r="L58" s="5122"/>
      <c r="M58" s="5122"/>
      <c r="N58" s="5122"/>
      <c r="O58" s="5122"/>
      <c r="P58" s="5122"/>
      <c r="Q58" s="5123" t="str">
        <f t="shared" si="0"/>
        <v/>
      </c>
      <c r="R58" s="5124"/>
      <c r="S58" s="5124"/>
      <c r="T58" s="5124"/>
      <c r="U58" s="5125"/>
      <c r="V58" s="5126" t="str">
        <f t="shared" si="1"/>
        <v/>
      </c>
      <c r="W58" s="5126"/>
      <c r="X58" s="5126"/>
      <c r="Y58" s="5126"/>
      <c r="Z58" s="5126"/>
      <c r="AA58" s="5126" t="str">
        <f t="shared" si="2"/>
        <v/>
      </c>
      <c r="AB58" s="5126"/>
      <c r="AC58" s="5126"/>
      <c r="AD58" s="5126"/>
      <c r="AE58" s="5126"/>
      <c r="AF58" s="5136"/>
      <c r="AG58" s="5136"/>
      <c r="AH58" s="5136"/>
      <c r="AI58" s="5136"/>
      <c r="AJ58" s="5137"/>
      <c r="AK58" s="1867"/>
      <c r="AO58" s="3440"/>
      <c r="AP58" s="3440"/>
      <c r="BH58" s="3466">
        <v>143</v>
      </c>
      <c r="BI58" s="3467">
        <v>3.5900000000000001E-2</v>
      </c>
    </row>
    <row r="59" spans="1:61" ht="14.25" customHeight="1">
      <c r="A59" s="1867"/>
      <c r="B59" s="3405" t="s">
        <v>2437</v>
      </c>
      <c r="C59" s="3406"/>
      <c r="D59" s="5132" t="s">
        <v>2438</v>
      </c>
      <c r="E59" s="5132"/>
      <c r="F59" s="5132"/>
      <c r="G59" s="5122"/>
      <c r="H59" s="5122"/>
      <c r="I59" s="5122"/>
      <c r="J59" s="5122"/>
      <c r="K59" s="5122"/>
      <c r="L59" s="5122"/>
      <c r="M59" s="5122"/>
      <c r="N59" s="5122"/>
      <c r="O59" s="5122"/>
      <c r="P59" s="5122"/>
      <c r="Q59" s="5123" t="str">
        <f t="shared" si="0"/>
        <v/>
      </c>
      <c r="R59" s="5124"/>
      <c r="S59" s="5124"/>
      <c r="T59" s="5124"/>
      <c r="U59" s="5125"/>
      <c r="V59" s="5126" t="str">
        <f t="shared" si="1"/>
        <v/>
      </c>
      <c r="W59" s="5126"/>
      <c r="X59" s="5126"/>
      <c r="Y59" s="5126"/>
      <c r="Z59" s="5126"/>
      <c r="AA59" s="5126" t="str">
        <f t="shared" si="2"/>
        <v/>
      </c>
      <c r="AB59" s="5126"/>
      <c r="AC59" s="5126"/>
      <c r="AD59" s="5126"/>
      <c r="AE59" s="5126"/>
      <c r="AF59" s="5136"/>
      <c r="AG59" s="5136"/>
      <c r="AH59" s="5136"/>
      <c r="AI59" s="5136"/>
      <c r="AJ59" s="5137"/>
      <c r="AK59" s="1867"/>
      <c r="AO59" s="3440"/>
      <c r="AP59" s="3440"/>
      <c r="BH59" s="3466">
        <v>144</v>
      </c>
      <c r="BI59" s="3467">
        <v>3.6499999999999998E-2</v>
      </c>
    </row>
    <row r="60" spans="1:61" ht="14.25" customHeight="1">
      <c r="A60" s="1867"/>
      <c r="B60" s="3405" t="s">
        <v>2439</v>
      </c>
      <c r="C60" s="3406"/>
      <c r="D60" s="5132" t="s">
        <v>2440</v>
      </c>
      <c r="E60" s="5132"/>
      <c r="F60" s="5132"/>
      <c r="G60" s="5122"/>
      <c r="H60" s="5122"/>
      <c r="I60" s="5122"/>
      <c r="J60" s="5122"/>
      <c r="K60" s="5122"/>
      <c r="L60" s="5122"/>
      <c r="M60" s="5122"/>
      <c r="N60" s="5122"/>
      <c r="O60" s="5122"/>
      <c r="P60" s="5122"/>
      <c r="Q60" s="5123" t="str">
        <f t="shared" si="0"/>
        <v/>
      </c>
      <c r="R60" s="5124"/>
      <c r="S60" s="5124"/>
      <c r="T60" s="5124"/>
      <c r="U60" s="5125"/>
      <c r="V60" s="5126" t="str">
        <f t="shared" si="1"/>
        <v/>
      </c>
      <c r="W60" s="5126"/>
      <c r="X60" s="5126"/>
      <c r="Y60" s="5126"/>
      <c r="Z60" s="5126"/>
      <c r="AA60" s="5126" t="str">
        <f t="shared" si="2"/>
        <v/>
      </c>
      <c r="AB60" s="5126"/>
      <c r="AC60" s="5126"/>
      <c r="AD60" s="5126"/>
      <c r="AE60" s="5126"/>
      <c r="AF60" s="5136"/>
      <c r="AG60" s="5136"/>
      <c r="AH60" s="5136"/>
      <c r="AI60" s="5136"/>
      <c r="AJ60" s="5137"/>
      <c r="AK60" s="1867"/>
      <c r="AO60" s="3440"/>
      <c r="AP60" s="3440"/>
      <c r="BH60" s="3466">
        <v>145</v>
      </c>
      <c r="BI60" s="3467">
        <v>3.7100000000000001E-2</v>
      </c>
    </row>
    <row r="61" spans="1:61" ht="14.25" customHeight="1">
      <c r="A61" s="1867"/>
      <c r="B61" s="3405" t="s">
        <v>2441</v>
      </c>
      <c r="C61" s="3406"/>
      <c r="D61" s="5132" t="s">
        <v>2442</v>
      </c>
      <c r="E61" s="5132"/>
      <c r="F61" s="5132"/>
      <c r="G61" s="5122"/>
      <c r="H61" s="5122"/>
      <c r="I61" s="5122"/>
      <c r="J61" s="5122"/>
      <c r="K61" s="5122"/>
      <c r="L61" s="5122"/>
      <c r="M61" s="5122"/>
      <c r="N61" s="5122"/>
      <c r="O61" s="5122"/>
      <c r="P61" s="5122"/>
      <c r="Q61" s="5123" t="str">
        <f t="shared" si="0"/>
        <v/>
      </c>
      <c r="R61" s="5124"/>
      <c r="S61" s="5124"/>
      <c r="T61" s="5124"/>
      <c r="U61" s="5125"/>
      <c r="V61" s="5126" t="str">
        <f t="shared" si="1"/>
        <v/>
      </c>
      <c r="W61" s="5126"/>
      <c r="X61" s="5126"/>
      <c r="Y61" s="5126"/>
      <c r="Z61" s="5126"/>
      <c r="AA61" s="5126" t="str">
        <f t="shared" si="2"/>
        <v/>
      </c>
      <c r="AB61" s="5126"/>
      <c r="AC61" s="5126"/>
      <c r="AD61" s="5126"/>
      <c r="AE61" s="5126"/>
      <c r="AF61" s="5136"/>
      <c r="AG61" s="5136"/>
      <c r="AH61" s="5136"/>
      <c r="AI61" s="5136"/>
      <c r="AJ61" s="5137"/>
      <c r="AK61" s="1867"/>
      <c r="AO61" s="3440"/>
      <c r="AP61" s="3440"/>
      <c r="BH61" s="3466">
        <v>146</v>
      </c>
      <c r="BI61" s="3467">
        <v>3.7600000000000001E-2</v>
      </c>
    </row>
    <row r="62" spans="1:61" ht="14.25" customHeight="1">
      <c r="A62" s="1867"/>
      <c r="B62" s="3405" t="s">
        <v>2443</v>
      </c>
      <c r="C62" s="3406"/>
      <c r="D62" s="5132" t="s">
        <v>2444</v>
      </c>
      <c r="E62" s="5132"/>
      <c r="F62" s="5132"/>
      <c r="G62" s="5122"/>
      <c r="H62" s="5122"/>
      <c r="I62" s="5122"/>
      <c r="J62" s="5122"/>
      <c r="K62" s="5122"/>
      <c r="L62" s="5122"/>
      <c r="M62" s="5122"/>
      <c r="N62" s="5122"/>
      <c r="O62" s="5122"/>
      <c r="P62" s="5122"/>
      <c r="Q62" s="5123" t="str">
        <f t="shared" si="0"/>
        <v/>
      </c>
      <c r="R62" s="5124"/>
      <c r="S62" s="5124"/>
      <c r="T62" s="5124"/>
      <c r="U62" s="5125"/>
      <c r="V62" s="5126" t="str">
        <f t="shared" si="1"/>
        <v/>
      </c>
      <c r="W62" s="5126"/>
      <c r="X62" s="5126"/>
      <c r="Y62" s="5126"/>
      <c r="Z62" s="5126"/>
      <c r="AA62" s="5126" t="str">
        <f t="shared" si="2"/>
        <v/>
      </c>
      <c r="AB62" s="5126"/>
      <c r="AC62" s="5126"/>
      <c r="AD62" s="5126"/>
      <c r="AE62" s="5126"/>
      <c r="AF62" s="5136"/>
      <c r="AG62" s="5136"/>
      <c r="AH62" s="5136"/>
      <c r="AI62" s="5136"/>
      <c r="AJ62" s="5137"/>
      <c r="AK62" s="1867"/>
      <c r="AO62" s="3440"/>
      <c r="AP62" s="3440"/>
      <c r="BH62" s="3466">
        <v>147</v>
      </c>
      <c r="BI62" s="3467">
        <v>3.8199999999999998E-2</v>
      </c>
    </row>
    <row r="63" spans="1:61" ht="14.25" customHeight="1">
      <c r="A63" s="1867"/>
      <c r="B63" s="3405" t="s">
        <v>2445</v>
      </c>
      <c r="C63" s="3406"/>
      <c r="D63" s="5132" t="s">
        <v>2446</v>
      </c>
      <c r="E63" s="5132"/>
      <c r="F63" s="5132"/>
      <c r="G63" s="5122"/>
      <c r="H63" s="5122"/>
      <c r="I63" s="5122"/>
      <c r="J63" s="5122"/>
      <c r="K63" s="5122"/>
      <c r="L63" s="5122"/>
      <c r="M63" s="5122"/>
      <c r="N63" s="5122"/>
      <c r="O63" s="5122"/>
      <c r="P63" s="5122"/>
      <c r="Q63" s="5123" t="str">
        <f t="shared" si="0"/>
        <v/>
      </c>
      <c r="R63" s="5124"/>
      <c r="S63" s="5124"/>
      <c r="T63" s="5124"/>
      <c r="U63" s="5125"/>
      <c r="V63" s="5126" t="str">
        <f t="shared" si="1"/>
        <v/>
      </c>
      <c r="W63" s="5126"/>
      <c r="X63" s="5126"/>
      <c r="Y63" s="5126"/>
      <c r="Z63" s="5126"/>
      <c r="AA63" s="5126" t="str">
        <f t="shared" si="2"/>
        <v/>
      </c>
      <c r="AB63" s="5126"/>
      <c r="AC63" s="5126"/>
      <c r="AD63" s="5126"/>
      <c r="AE63" s="5126"/>
      <c r="AF63" s="5136"/>
      <c r="AG63" s="5136"/>
      <c r="AH63" s="5136"/>
      <c r="AI63" s="5136"/>
      <c r="AJ63" s="5137"/>
      <c r="AK63" s="1867"/>
      <c r="AO63" s="3440"/>
      <c r="AP63" s="3440"/>
      <c r="BH63" s="3466">
        <v>148</v>
      </c>
      <c r="BI63" s="3467">
        <v>3.8800000000000001E-2</v>
      </c>
    </row>
    <row r="64" spans="1:61" ht="14.25" customHeight="1">
      <c r="A64" s="1867"/>
      <c r="B64" s="3405" t="s">
        <v>2447</v>
      </c>
      <c r="C64" s="3406"/>
      <c r="D64" s="5132" t="s">
        <v>2448</v>
      </c>
      <c r="E64" s="5132"/>
      <c r="F64" s="5132"/>
      <c r="G64" s="5122"/>
      <c r="H64" s="5122"/>
      <c r="I64" s="5122"/>
      <c r="J64" s="5122"/>
      <c r="K64" s="5122"/>
      <c r="L64" s="5122"/>
      <c r="M64" s="5122"/>
      <c r="N64" s="5122"/>
      <c r="O64" s="5122"/>
      <c r="P64" s="5122"/>
      <c r="Q64" s="5123" t="str">
        <f t="shared" si="0"/>
        <v/>
      </c>
      <c r="R64" s="5124"/>
      <c r="S64" s="5124"/>
      <c r="T64" s="5124"/>
      <c r="U64" s="5125"/>
      <c r="V64" s="5126" t="str">
        <f t="shared" si="1"/>
        <v/>
      </c>
      <c r="W64" s="5126"/>
      <c r="X64" s="5126"/>
      <c r="Y64" s="5126"/>
      <c r="Z64" s="5126"/>
      <c r="AA64" s="5126" t="str">
        <f t="shared" si="2"/>
        <v/>
      </c>
      <c r="AB64" s="5126"/>
      <c r="AC64" s="5126"/>
      <c r="AD64" s="5126"/>
      <c r="AE64" s="5126"/>
      <c r="AF64" s="5136"/>
      <c r="AG64" s="5136"/>
      <c r="AH64" s="5136"/>
      <c r="AI64" s="5136"/>
      <c r="AJ64" s="5137"/>
      <c r="AK64" s="1867"/>
      <c r="AO64" s="3440"/>
      <c r="AP64" s="3440"/>
      <c r="BH64" s="3466">
        <v>149</v>
      </c>
      <c r="BI64" s="3467">
        <v>3.9399999999999998E-2</v>
      </c>
    </row>
    <row r="65" spans="1:61" ht="14.25" customHeight="1" thickBot="1">
      <c r="A65" s="1867"/>
      <c r="B65" s="3407" t="s">
        <v>2449</v>
      </c>
      <c r="C65" s="3408"/>
      <c r="D65" s="5159" t="s">
        <v>2450</v>
      </c>
      <c r="E65" s="5159"/>
      <c r="F65" s="5159"/>
      <c r="G65" s="5160"/>
      <c r="H65" s="5160"/>
      <c r="I65" s="5160"/>
      <c r="J65" s="5160"/>
      <c r="K65" s="5160"/>
      <c r="L65" s="5160"/>
      <c r="M65" s="5160"/>
      <c r="N65" s="5160"/>
      <c r="O65" s="5160"/>
      <c r="P65" s="5160"/>
      <c r="Q65" s="5161" t="str">
        <f t="shared" si="0"/>
        <v/>
      </c>
      <c r="R65" s="5162"/>
      <c r="S65" s="5162"/>
      <c r="T65" s="5162"/>
      <c r="U65" s="5163"/>
      <c r="V65" s="5164" t="str">
        <f t="shared" si="1"/>
        <v/>
      </c>
      <c r="W65" s="5164"/>
      <c r="X65" s="5164"/>
      <c r="Y65" s="5164"/>
      <c r="Z65" s="5164"/>
      <c r="AA65" s="5164" t="str">
        <f t="shared" si="2"/>
        <v/>
      </c>
      <c r="AB65" s="5164"/>
      <c r="AC65" s="5164"/>
      <c r="AD65" s="5164"/>
      <c r="AE65" s="5164"/>
      <c r="AF65" s="5165"/>
      <c r="AG65" s="5165"/>
      <c r="AH65" s="5165"/>
      <c r="AI65" s="5165"/>
      <c r="AJ65" s="5166"/>
      <c r="AK65" s="1867"/>
      <c r="AM65" s="1618" t="s">
        <v>153</v>
      </c>
      <c r="AO65" s="3440"/>
      <c r="AP65" s="3440"/>
      <c r="BH65" s="3466">
        <v>150</v>
      </c>
      <c r="BI65" s="3467">
        <v>0.04</v>
      </c>
    </row>
    <row r="66" spans="1:61" ht="15.75" thickBot="1">
      <c r="A66" s="1867"/>
      <c r="B66" s="3409" t="s">
        <v>2451</v>
      </c>
      <c r="C66" s="2801"/>
      <c r="D66" s="2581" t="s">
        <v>2456</v>
      </c>
      <c r="E66" s="2581"/>
      <c r="F66" s="2581"/>
      <c r="G66" s="2581"/>
      <c r="H66" s="2581"/>
      <c r="I66" s="2581"/>
      <c r="J66" s="2581"/>
      <c r="K66" s="2581"/>
      <c r="L66" s="2581"/>
      <c r="M66" s="2581"/>
      <c r="N66" s="2581"/>
      <c r="O66" s="2581"/>
      <c r="P66" s="2581"/>
      <c r="Q66" s="2581"/>
      <c r="R66" s="2581"/>
      <c r="S66" s="2581"/>
      <c r="T66" s="2581"/>
      <c r="U66" s="2581"/>
      <c r="V66" s="2581"/>
      <c r="W66" s="2581"/>
      <c r="X66" s="2581"/>
      <c r="Y66" s="2581"/>
      <c r="Z66" s="2581"/>
      <c r="AA66" s="2581"/>
      <c r="AB66" s="2581"/>
      <c r="AC66" s="2581"/>
      <c r="AD66" s="3392">
        <v>24</v>
      </c>
      <c r="AE66" s="4251">
        <f>IF(AM66&lt;&gt;"",AM66,IF(D30="X",0,IF(AND(AA49&lt;&gt;"",AA49&gt;0),AA49,AL66)))</f>
        <v>0</v>
      </c>
      <c r="AF66" s="5158"/>
      <c r="AG66" s="5158"/>
      <c r="AH66" s="5158"/>
      <c r="AI66" s="5158"/>
      <c r="AJ66" s="5158"/>
      <c r="AK66" s="1867"/>
      <c r="AL66" s="2819">
        <f>IF(ISERROR(ROUND(SUM(AA54:AA65),0)),"",ROUND(SUM(AA54:AA65),0))</f>
        <v>0</v>
      </c>
      <c r="AM66" s="3607"/>
      <c r="AO66" s="3440"/>
      <c r="AP66" s="3440"/>
      <c r="BH66" s="3466">
        <v>151</v>
      </c>
      <c r="BI66" s="3467">
        <v>4.0500000000000001E-2</v>
      </c>
    </row>
    <row r="67" spans="1:61" ht="15.75" thickBot="1">
      <c r="A67" s="1867"/>
      <c r="B67" s="3395" t="s">
        <v>2452</v>
      </c>
      <c r="C67" s="2581"/>
      <c r="D67" s="2581" t="s">
        <v>2463</v>
      </c>
      <c r="E67" s="2581"/>
      <c r="F67" s="2581"/>
      <c r="G67" s="2581"/>
      <c r="H67" s="2581"/>
      <c r="I67" s="2581"/>
      <c r="J67" s="2581"/>
      <c r="K67" s="2581"/>
      <c r="L67" s="2581"/>
      <c r="M67" s="2581"/>
      <c r="N67" s="2581"/>
      <c r="O67" s="2581"/>
      <c r="P67" s="2581"/>
      <c r="Q67" s="2581"/>
      <c r="R67" s="2581"/>
      <c r="S67" s="2581"/>
      <c r="T67" s="2581"/>
      <c r="U67" s="2581"/>
      <c r="V67" s="2581"/>
      <c r="W67" s="2581"/>
      <c r="X67" s="2581"/>
      <c r="Y67" s="2581"/>
      <c r="Z67" s="2581"/>
      <c r="AA67" s="2581"/>
      <c r="AB67" s="2581"/>
      <c r="AC67" s="2581"/>
      <c r="AD67" s="3392">
        <v>25</v>
      </c>
      <c r="AE67" s="5068">
        <f>IF(AM67&lt;&gt;"",AM67,IF(AND(AF49&lt;&gt;"",AF49&gt;0),AF49,AL67))</f>
        <v>0</v>
      </c>
      <c r="AF67" s="5069"/>
      <c r="AG67" s="5069"/>
      <c r="AH67" s="5069"/>
      <c r="AI67" s="5069"/>
      <c r="AJ67" s="5069"/>
      <c r="AK67" s="1867"/>
      <c r="AL67" s="2819">
        <f>IF(ISERROR(ROUND(SUM(AF54:AF65),0)),"",ROUND(SUM(AF54:AF65),0))</f>
        <v>0</v>
      </c>
      <c r="AM67" s="3607"/>
      <c r="AO67" s="3440"/>
      <c r="AP67" s="3440"/>
      <c r="BH67" s="3466">
        <v>152</v>
      </c>
      <c r="BI67" s="3467">
        <v>4.0899999999999999E-2</v>
      </c>
    </row>
    <row r="68" spans="1:61" ht="15">
      <c r="A68" s="1867"/>
      <c r="B68" s="3395" t="s">
        <v>2453</v>
      </c>
      <c r="C68" s="2581"/>
      <c r="D68" s="3397"/>
      <c r="E68" s="2581"/>
      <c r="F68" s="2581"/>
      <c r="G68" s="2581"/>
      <c r="H68" s="2581"/>
      <c r="I68" s="2581"/>
      <c r="J68" s="2581"/>
      <c r="K68" s="2581"/>
      <c r="L68" s="2581"/>
      <c r="M68" s="2581"/>
      <c r="N68" s="2581"/>
      <c r="O68" s="2581"/>
      <c r="P68" s="2581"/>
      <c r="Q68" s="2581"/>
      <c r="R68" s="2581"/>
      <c r="S68" s="2581"/>
      <c r="T68" s="2581"/>
      <c r="U68" s="2581"/>
      <c r="V68" s="2581"/>
      <c r="W68" s="2581"/>
      <c r="X68" s="2581"/>
      <c r="Y68" s="2581"/>
      <c r="Z68" s="2581"/>
      <c r="AA68" s="2581"/>
      <c r="AB68" s="2581"/>
      <c r="AC68" s="3410" t="s">
        <v>2475</v>
      </c>
      <c r="AD68" s="3393"/>
      <c r="AE68" s="2581"/>
      <c r="AF68" s="2581"/>
      <c r="AG68" s="2581"/>
      <c r="AH68" s="2581"/>
      <c r="AI68" s="2581"/>
      <c r="AJ68" s="2581"/>
      <c r="AK68" s="1867"/>
      <c r="AO68" s="3440"/>
      <c r="AP68" s="3440"/>
      <c r="BH68" s="3466">
        <v>153</v>
      </c>
      <c r="BI68" s="3467">
        <v>4.1399999999999999E-2</v>
      </c>
    </row>
    <row r="69" spans="1:61" ht="13.5" thickBot="1">
      <c r="A69" s="1867"/>
      <c r="B69" s="2581"/>
      <c r="C69" s="2581"/>
      <c r="D69" s="3397"/>
      <c r="E69" s="2581"/>
      <c r="F69" s="2581"/>
      <c r="G69" s="2581"/>
      <c r="H69" s="2581"/>
      <c r="I69" s="2581"/>
      <c r="J69" s="2581"/>
      <c r="K69" s="2581"/>
      <c r="L69" s="2581"/>
      <c r="M69" s="2581"/>
      <c r="N69" s="2581"/>
      <c r="O69" s="2581"/>
      <c r="P69" s="2581"/>
      <c r="Q69" s="2581"/>
      <c r="R69" s="2581"/>
      <c r="S69" s="2581"/>
      <c r="T69" s="2581"/>
      <c r="U69" s="2581"/>
      <c r="V69" s="2581"/>
      <c r="W69" s="2581"/>
      <c r="X69" s="2581"/>
      <c r="Y69" s="2581"/>
      <c r="Z69" s="2581"/>
      <c r="AA69" s="2581"/>
      <c r="AB69" s="2581"/>
      <c r="AC69" s="3410" t="s">
        <v>2474</v>
      </c>
      <c r="AD69" s="3393"/>
      <c r="AE69" s="5070" t="b">
        <f>IF(AE66&gt;AE67,TRUE,FALSE)</f>
        <v>0</v>
      </c>
      <c r="AF69" s="5071"/>
      <c r="AG69" s="5071"/>
      <c r="AH69" s="5071"/>
      <c r="AI69" s="5071"/>
      <c r="AJ69" s="5071"/>
      <c r="AK69" s="1867"/>
      <c r="AO69" s="3440"/>
      <c r="AP69" s="3440"/>
      <c r="BH69" s="3466">
        <v>154</v>
      </c>
      <c r="BI69" s="3467">
        <v>4.1799999999999997E-2</v>
      </c>
    </row>
    <row r="70" spans="1:61" ht="15" customHeight="1" thickBot="1">
      <c r="A70" s="1867"/>
      <c r="B70" s="3387"/>
      <c r="C70" s="3387"/>
      <c r="D70" s="3411"/>
      <c r="E70" s="3387"/>
      <c r="F70" s="3387"/>
      <c r="G70" s="3387"/>
      <c r="H70" s="3387"/>
      <c r="I70" s="3387"/>
      <c r="J70" s="3387"/>
      <c r="K70" s="3387"/>
      <c r="L70" s="3387"/>
      <c r="M70" s="3387"/>
      <c r="N70" s="3387"/>
      <c r="O70" s="3387"/>
      <c r="P70" s="3387"/>
      <c r="Q70" s="3387"/>
      <c r="R70" s="3387"/>
      <c r="S70" s="3387"/>
      <c r="T70" s="3387"/>
      <c r="U70" s="3387"/>
      <c r="V70" s="3387"/>
      <c r="W70" s="3387"/>
      <c r="X70" s="3387"/>
      <c r="Y70" s="3387"/>
      <c r="Z70" s="3387"/>
      <c r="AA70" s="3387"/>
      <c r="AB70" s="3387"/>
      <c r="AC70" s="3412" t="s">
        <v>2473</v>
      </c>
      <c r="AD70" s="3392">
        <v>26</v>
      </c>
      <c r="AE70" s="4251" t="str">
        <f>IF(AM70&lt;&gt;"",AM70,IF(OR(AE14=0,D30&lt;&gt;"",AE67&gt;AE66),"",IF(AE69,SUM(AE66,-AE67),"")))</f>
        <v/>
      </c>
      <c r="AF70" s="5093"/>
      <c r="AG70" s="5093"/>
      <c r="AH70" s="5093"/>
      <c r="AI70" s="5093"/>
      <c r="AJ70" s="5093"/>
      <c r="AK70" s="1867"/>
      <c r="AM70" s="3607"/>
      <c r="AO70" s="3440"/>
      <c r="AP70" s="3440"/>
      <c r="BH70" s="3466">
        <v>155</v>
      </c>
      <c r="BI70" s="3467">
        <v>4.2299999999999997E-2</v>
      </c>
    </row>
    <row r="71" spans="1:61" ht="18" customHeight="1" thickBot="1">
      <c r="A71" s="1867"/>
      <c r="B71" s="3413" t="s">
        <v>2464</v>
      </c>
      <c r="C71" s="3387"/>
      <c r="D71" s="3387"/>
      <c r="E71" s="3387"/>
      <c r="F71" s="3387"/>
      <c r="G71" s="3387"/>
      <c r="H71" s="3387"/>
      <c r="I71" s="3387"/>
      <c r="J71" s="3387"/>
      <c r="K71" s="3387"/>
      <c r="L71" s="3387"/>
      <c r="M71" s="3387"/>
      <c r="N71" s="3387"/>
      <c r="O71" s="3387"/>
      <c r="P71" s="3387"/>
      <c r="Q71" s="3387"/>
      <c r="R71" s="3387"/>
      <c r="S71" s="3387"/>
      <c r="T71" s="3387"/>
      <c r="U71" s="3387"/>
      <c r="V71" s="3387"/>
      <c r="W71" s="3387"/>
      <c r="X71" s="3387"/>
      <c r="Y71" s="3387"/>
      <c r="Z71" s="3387"/>
      <c r="AA71" s="3387"/>
      <c r="AB71" s="3387"/>
      <c r="AC71" s="3387"/>
      <c r="AD71" s="3387"/>
      <c r="AE71" s="3387"/>
      <c r="AF71" s="3387"/>
      <c r="AG71" s="3387"/>
      <c r="AH71" s="3387"/>
      <c r="AI71" s="3387"/>
      <c r="AJ71" s="3387"/>
      <c r="AK71" s="1867"/>
      <c r="AO71" s="3443"/>
      <c r="AP71" s="3440"/>
      <c r="BH71" s="3466">
        <v>156</v>
      </c>
      <c r="BI71" s="3467">
        <v>4.2799999999999998E-2</v>
      </c>
    </row>
    <row r="72" spans="1:61" ht="15.75" thickBot="1">
      <c r="A72" s="1867"/>
      <c r="B72" s="3395" t="s">
        <v>2548</v>
      </c>
      <c r="C72" s="2581" t="s">
        <v>2547</v>
      </c>
      <c r="D72" s="2581"/>
      <c r="E72" s="2581"/>
      <c r="F72" s="2581"/>
      <c r="G72" s="2581"/>
      <c r="H72" s="2581"/>
      <c r="I72" s="2581"/>
      <c r="J72" s="2581"/>
      <c r="K72" s="2581"/>
      <c r="L72" s="2581"/>
      <c r="M72" s="2581"/>
      <c r="N72" s="2581"/>
      <c r="O72" s="2581"/>
      <c r="P72" s="2581"/>
      <c r="Q72" s="2581"/>
      <c r="R72" s="2581"/>
      <c r="S72" s="2581"/>
      <c r="T72" s="2581"/>
      <c r="U72" s="2581"/>
      <c r="V72" s="2581"/>
      <c r="W72" s="2581"/>
      <c r="X72" s="2581"/>
      <c r="Y72" s="2581"/>
      <c r="Z72" s="2581"/>
      <c r="AA72" s="2581"/>
      <c r="AB72" s="2581"/>
      <c r="AC72" s="2581"/>
      <c r="AD72" s="3392">
        <v>27</v>
      </c>
      <c r="AE72" s="5068">
        <f>IF(AM72&lt;&gt;"",AM72,IF(AE69,"",IF(AE67&gt;AE66,SUM(AE67,-AE66),0)))</f>
        <v>0</v>
      </c>
      <c r="AF72" s="5069"/>
      <c r="AG72" s="5069"/>
      <c r="AH72" s="5069"/>
      <c r="AI72" s="5069"/>
      <c r="AJ72" s="5069"/>
      <c r="AK72" s="1867"/>
      <c r="AM72" s="3607"/>
      <c r="AO72" s="3449" t="s">
        <v>2545</v>
      </c>
      <c r="AP72" s="3450"/>
      <c r="AQ72" s="3450"/>
      <c r="AR72" s="3451"/>
      <c r="BH72" s="3466">
        <v>157</v>
      </c>
      <c r="BI72" s="3467">
        <v>4.3200000000000002E-2</v>
      </c>
    </row>
    <row r="73" spans="1:61" ht="17.25" customHeight="1" thickBot="1">
      <c r="A73" s="1867"/>
      <c r="B73" s="3395" t="s">
        <v>2454</v>
      </c>
      <c r="C73" s="2581" t="s">
        <v>2465</v>
      </c>
      <c r="D73" s="2581"/>
      <c r="E73" s="2581"/>
      <c r="F73" s="2581"/>
      <c r="G73" s="2581"/>
      <c r="H73" s="2581"/>
      <c r="I73" s="2581"/>
      <c r="J73" s="2581"/>
      <c r="K73" s="2581"/>
      <c r="L73" s="2581"/>
      <c r="M73" s="2581"/>
      <c r="N73" s="2581"/>
      <c r="O73" s="2581"/>
      <c r="P73" s="2581"/>
      <c r="Q73" s="2581"/>
      <c r="R73" s="2581"/>
      <c r="S73" s="2581"/>
      <c r="T73" s="2581"/>
      <c r="U73" s="2581"/>
      <c r="V73" s="2581"/>
      <c r="W73" s="2581"/>
      <c r="X73" s="2581"/>
      <c r="Y73" s="2581"/>
      <c r="Z73" s="2581"/>
      <c r="AA73" s="2581"/>
      <c r="AB73" s="2581"/>
      <c r="AC73" s="2581"/>
      <c r="AD73" s="3393"/>
      <c r="AE73" s="2581"/>
      <c r="AF73" s="2581"/>
      <c r="AG73" s="2581"/>
      <c r="AH73" s="2581"/>
      <c r="AI73" s="2581"/>
      <c r="AJ73" s="2581"/>
      <c r="AK73" s="1867"/>
      <c r="AO73" s="3447" t="s">
        <v>2549</v>
      </c>
      <c r="AP73" s="3448" t="s">
        <v>2550</v>
      </c>
      <c r="AQ73" s="3448" t="s">
        <v>127</v>
      </c>
      <c r="AR73" s="3452" t="s">
        <v>2546</v>
      </c>
      <c r="BH73" s="3466">
        <v>158</v>
      </c>
      <c r="BI73" s="3467">
        <v>4.3700000000000003E-2</v>
      </c>
    </row>
    <row r="74" spans="1:61" ht="13.5" thickBot="1">
      <c r="A74" s="1867"/>
      <c r="B74" s="2581"/>
      <c r="C74" s="2581" t="s">
        <v>2466</v>
      </c>
      <c r="D74" s="2581"/>
      <c r="E74" s="2581"/>
      <c r="F74" s="2581"/>
      <c r="G74" s="2581"/>
      <c r="H74" s="2581"/>
      <c r="I74" s="2581"/>
      <c r="J74" s="2581"/>
      <c r="K74" s="2581"/>
      <c r="L74" s="2581"/>
      <c r="M74" s="2581"/>
      <c r="N74" s="2581"/>
      <c r="O74" s="2581"/>
      <c r="P74" s="2581"/>
      <c r="Q74" s="2581"/>
      <c r="R74" s="2581"/>
      <c r="S74" s="2581"/>
      <c r="T74" s="2581"/>
      <c r="U74" s="2581"/>
      <c r="V74" s="2581"/>
      <c r="W74" s="2581"/>
      <c r="X74" s="2581"/>
      <c r="Y74" s="2581"/>
      <c r="Z74" s="2581"/>
      <c r="AA74" s="2581"/>
      <c r="AB74" s="2581"/>
      <c r="AC74" s="2581"/>
      <c r="AD74" s="3392">
        <v>28</v>
      </c>
      <c r="AE74" s="4251" t="str">
        <f>IF(AM74&lt;&gt;"",AM74,IF(OR(AND(AE66=0,AE67=0),AE14=0,AE69),"",IF(File_Single&lt;&gt;"",AQ78,AR78)))</f>
        <v/>
      </c>
      <c r="AF74" s="5093"/>
      <c r="AG74" s="5093"/>
      <c r="AH74" s="5093"/>
      <c r="AI74" s="5093"/>
      <c r="AJ74" s="5093"/>
      <c r="AK74" s="1867"/>
      <c r="AM74" s="3607"/>
      <c r="AO74" s="3444">
        <v>0</v>
      </c>
      <c r="AP74" s="3460">
        <v>200</v>
      </c>
      <c r="AQ74" s="3453">
        <v>300</v>
      </c>
      <c r="AR74" s="3454">
        <v>500</v>
      </c>
      <c r="BH74" s="3466">
        <v>159</v>
      </c>
      <c r="BI74" s="3467">
        <v>4.41E-2</v>
      </c>
    </row>
    <row r="75" spans="1:61">
      <c r="A75" s="1867"/>
      <c r="B75" s="2581"/>
      <c r="C75" s="2581"/>
      <c r="D75" s="2581"/>
      <c r="E75" s="2581"/>
      <c r="F75" s="2581"/>
      <c r="G75" s="2581"/>
      <c r="H75" s="2581"/>
      <c r="I75" s="2581"/>
      <c r="J75" s="2581"/>
      <c r="K75" s="2581"/>
      <c r="L75" s="2581"/>
      <c r="M75" s="2581"/>
      <c r="N75" s="2581"/>
      <c r="O75" s="2581"/>
      <c r="P75" s="2581"/>
      <c r="Q75" s="2581"/>
      <c r="R75" s="2581"/>
      <c r="S75" s="2581"/>
      <c r="T75" s="2581"/>
      <c r="U75" s="2581"/>
      <c r="V75" s="2581"/>
      <c r="W75" s="2581"/>
      <c r="X75" s="2581"/>
      <c r="Y75" s="2581"/>
      <c r="Z75" s="2581"/>
      <c r="AA75" s="2581"/>
      <c r="AB75" s="2581"/>
      <c r="AC75" s="2581"/>
      <c r="AD75" s="3390"/>
      <c r="AE75" s="2581"/>
      <c r="AF75" s="2581"/>
      <c r="AG75" s="2581"/>
      <c r="AH75" s="2581"/>
      <c r="AI75" s="2581"/>
      <c r="AJ75" s="2581"/>
      <c r="AK75" s="1867"/>
      <c r="AO75" s="3444">
        <v>200</v>
      </c>
      <c r="AP75" s="3460">
        <v>300</v>
      </c>
      <c r="AQ75" s="3453">
        <v>750</v>
      </c>
      <c r="AR75" s="3454">
        <v>1500</v>
      </c>
      <c r="BH75" s="3466">
        <v>160</v>
      </c>
      <c r="BI75" s="3467">
        <v>4.4600000000000001E-2</v>
      </c>
    </row>
    <row r="76" spans="1:61" ht="15.75" thickBot="1">
      <c r="A76" s="1867"/>
      <c r="B76" s="3395" t="s">
        <v>2455</v>
      </c>
      <c r="C76" s="2581" t="s">
        <v>2467</v>
      </c>
      <c r="D76" s="2581"/>
      <c r="E76" s="2581"/>
      <c r="F76" s="2581"/>
      <c r="G76" s="2581"/>
      <c r="H76" s="2581"/>
      <c r="I76" s="2581"/>
      <c r="J76" s="2581"/>
      <c r="K76" s="2581"/>
      <c r="L76" s="2581"/>
      <c r="M76" s="2581"/>
      <c r="N76" s="2581"/>
      <c r="O76" s="2581"/>
      <c r="P76" s="2581"/>
      <c r="Q76" s="2581"/>
      <c r="R76" s="2581"/>
      <c r="S76" s="2581"/>
      <c r="T76" s="2581"/>
      <c r="U76" s="2581"/>
      <c r="V76" s="2581"/>
      <c r="W76" s="2581"/>
      <c r="X76" s="2581"/>
      <c r="Y76" s="2581"/>
      <c r="Z76" s="2581"/>
      <c r="AA76" s="2581"/>
      <c r="AB76" s="2581"/>
      <c r="AC76" s="2581"/>
      <c r="AD76" s="3393"/>
      <c r="AE76" s="2581"/>
      <c r="AF76" s="2581"/>
      <c r="AG76" s="2581"/>
      <c r="AH76" s="2581"/>
      <c r="AI76" s="2581"/>
      <c r="AJ76" s="2581"/>
      <c r="AK76" s="1867"/>
      <c r="AL76" s="3369"/>
      <c r="AM76" s="3370"/>
      <c r="AN76" s="3369"/>
      <c r="AO76" s="3444">
        <v>300</v>
      </c>
      <c r="AP76" s="3460">
        <v>400</v>
      </c>
      <c r="AQ76" s="3453">
        <v>1250</v>
      </c>
      <c r="AR76" s="3454">
        <v>2500</v>
      </c>
      <c r="BH76" s="3466">
        <v>161</v>
      </c>
      <c r="BI76" s="3467">
        <v>4.5100000000000001E-2</v>
      </c>
    </row>
    <row r="77" spans="1:61" ht="13.5" thickBot="1">
      <c r="A77" s="1867"/>
      <c r="B77" s="2581"/>
      <c r="C77" s="2581" t="s">
        <v>2468</v>
      </c>
      <c r="D77" s="2581"/>
      <c r="E77" s="2581"/>
      <c r="F77" s="2581"/>
      <c r="G77" s="2581"/>
      <c r="H77" s="2581"/>
      <c r="I77" s="2581"/>
      <c r="J77" s="2581"/>
      <c r="K77" s="2581"/>
      <c r="L77" s="2581"/>
      <c r="M77" s="2581"/>
      <c r="N77" s="2581"/>
      <c r="O77" s="2581"/>
      <c r="P77" s="2581"/>
      <c r="Q77" s="2581"/>
      <c r="R77" s="2581"/>
      <c r="S77" s="2581"/>
      <c r="T77" s="2581"/>
      <c r="U77" s="2581"/>
      <c r="V77" s="2581"/>
      <c r="W77" s="2581"/>
      <c r="X77" s="2581"/>
      <c r="Y77" s="2581"/>
      <c r="Z77" s="2581"/>
      <c r="AA77" s="2581"/>
      <c r="AB77" s="2581"/>
      <c r="AC77" s="2581"/>
      <c r="AD77" s="3392">
        <v>29</v>
      </c>
      <c r="AE77" s="4251" t="str">
        <f>IF(AM77&lt;&gt;"",AM77,IF(OR(AE14=0,AE69),"",MIN(AE72,AE74)))</f>
        <v/>
      </c>
      <c r="AF77" s="5093"/>
      <c r="AG77" s="5093"/>
      <c r="AH77" s="5093"/>
      <c r="AI77" s="5093"/>
      <c r="AJ77" s="5093"/>
      <c r="AK77" s="1867"/>
      <c r="AM77" s="3607"/>
      <c r="AO77" s="3446">
        <v>400</v>
      </c>
      <c r="AP77" s="3459" t="s">
        <v>1479</v>
      </c>
      <c r="AQ77" s="3455"/>
      <c r="AR77" s="3456"/>
      <c r="BH77" s="3466">
        <v>162</v>
      </c>
      <c r="BI77" s="3467">
        <v>4.5499999999999999E-2</v>
      </c>
    </row>
    <row r="78" spans="1:61" ht="18" customHeight="1" thickBot="1">
      <c r="A78" s="3371"/>
      <c r="B78" s="3372" t="s">
        <v>825</v>
      </c>
      <c r="C78" s="3373"/>
      <c r="D78" s="3373"/>
      <c r="E78" s="3373"/>
      <c r="F78" s="3373"/>
      <c r="G78" s="3373"/>
      <c r="H78" s="3373"/>
      <c r="I78" s="3373"/>
      <c r="J78" s="3373"/>
      <c r="K78" s="3373"/>
      <c r="L78" s="3373"/>
      <c r="M78" s="3373"/>
      <c r="N78" s="3373"/>
      <c r="O78" s="3373"/>
      <c r="P78" s="3373"/>
      <c r="Q78" s="55"/>
      <c r="R78" s="55"/>
      <c r="S78" s="55"/>
      <c r="T78" s="55"/>
      <c r="U78" s="3374"/>
      <c r="V78" s="55"/>
      <c r="W78" s="3374" t="s">
        <v>2469</v>
      </c>
      <c r="X78" s="55"/>
      <c r="Y78" s="55"/>
      <c r="Z78" s="55"/>
      <c r="AA78" s="55"/>
      <c r="AB78" s="55"/>
      <c r="AC78" s="55"/>
      <c r="AD78" s="55"/>
      <c r="AE78" s="55"/>
      <c r="AF78" s="55"/>
      <c r="AG78" s="55"/>
      <c r="AH78" s="3375" t="s">
        <v>2470</v>
      </c>
      <c r="AI78" s="55"/>
      <c r="AJ78" s="3375" t="str">
        <f>"("&amp;TaxYear&amp;")"</f>
        <v>(2014)</v>
      </c>
      <c r="AK78" s="1867"/>
      <c r="AO78" s="3445"/>
      <c r="AP78" s="3457"/>
      <c r="AQ78" s="3457" t="str">
        <f>IF(AE14=0,"",LOOKUP($AE$26,$AO$74:$AO$77,AQ74:AQ77))</f>
        <v/>
      </c>
      <c r="AR78" s="3458" t="str">
        <f>IF(AE14=0,"",LOOKUP($AE$26,$AO$74:$AO$77,AR74:AR77))</f>
        <v/>
      </c>
      <c r="BH78" s="3466">
        <v>163</v>
      </c>
      <c r="BI78" s="3467">
        <v>4.5999999999999999E-2</v>
      </c>
    </row>
    <row r="79" spans="1:61" ht="18" customHeight="1" thickBot="1">
      <c r="A79" s="1867"/>
      <c r="B79" s="3414" t="s">
        <v>2476</v>
      </c>
      <c r="C79" s="3414"/>
      <c r="D79" s="3414"/>
      <c r="E79" s="3414"/>
      <c r="F79" s="3414"/>
      <c r="G79" s="3414"/>
      <c r="H79" s="3414"/>
      <c r="I79" s="3414"/>
      <c r="J79" s="3414"/>
      <c r="K79" s="3414"/>
      <c r="L79" s="3414"/>
      <c r="M79" s="3414"/>
      <c r="N79" s="3414"/>
      <c r="O79" s="3414"/>
      <c r="P79" s="3414"/>
      <c r="Q79" s="3414"/>
      <c r="R79" s="3414"/>
      <c r="S79" s="3414"/>
      <c r="T79" s="3414"/>
      <c r="U79" s="3414"/>
      <c r="V79" s="3414"/>
      <c r="W79" s="3414"/>
      <c r="X79" s="3414"/>
      <c r="Y79" s="3414"/>
      <c r="Z79" s="3414"/>
      <c r="AA79" s="3414"/>
      <c r="AB79" s="3414"/>
      <c r="AC79" s="3414"/>
      <c r="AD79" s="3414"/>
      <c r="AE79" s="3414"/>
      <c r="AF79" s="3414"/>
      <c r="AG79" s="3414"/>
      <c r="AH79" s="3414"/>
      <c r="AI79" s="3415" t="s">
        <v>342</v>
      </c>
      <c r="AJ79" s="3416">
        <v>2</v>
      </c>
      <c r="AK79" s="1867"/>
      <c r="AO79" s="3440"/>
      <c r="AP79" s="3440"/>
      <c r="BH79" s="3466">
        <v>164</v>
      </c>
      <c r="BI79" s="3467">
        <v>4.6399999999999997E-2</v>
      </c>
    </row>
    <row r="80" spans="1:61" ht="17.25" customHeight="1" thickTop="1">
      <c r="A80" s="1867"/>
      <c r="B80" s="3413" t="s">
        <v>2477</v>
      </c>
      <c r="C80" s="3387"/>
      <c r="D80" s="3387"/>
      <c r="E80" s="3387"/>
      <c r="F80" s="3387"/>
      <c r="G80" s="3387"/>
      <c r="H80" s="3387"/>
      <c r="I80" s="3387"/>
      <c r="J80" s="3387"/>
      <c r="K80" s="3387"/>
      <c r="L80" s="3387"/>
      <c r="M80" s="3387"/>
      <c r="N80" s="3387"/>
      <c r="O80" s="3387"/>
      <c r="P80" s="3387"/>
      <c r="Q80" s="3387"/>
      <c r="R80" s="3387"/>
      <c r="S80" s="3387"/>
      <c r="T80" s="3387"/>
      <c r="U80" s="3387"/>
      <c r="V80" s="3387"/>
      <c r="W80" s="3387"/>
      <c r="X80" s="3387"/>
      <c r="Y80" s="3387"/>
      <c r="Z80" s="3387"/>
      <c r="AA80" s="3387"/>
      <c r="AB80" s="3387"/>
      <c r="AC80" s="3387"/>
      <c r="AD80" s="3387"/>
      <c r="AE80" s="3387"/>
      <c r="AF80" s="3387"/>
      <c r="AG80" s="3387"/>
      <c r="AH80" s="3387"/>
      <c r="AI80" s="3387"/>
      <c r="AJ80" s="3387"/>
      <c r="AK80" s="1867"/>
      <c r="AO80" s="3440"/>
      <c r="AP80" s="3440"/>
      <c r="BH80" s="3466">
        <v>165</v>
      </c>
      <c r="BI80" s="3467">
        <v>4.6899999999999997E-2</v>
      </c>
    </row>
    <row r="81" spans="1:61">
      <c r="A81" s="1867"/>
      <c r="B81" s="3389" t="s">
        <v>2478</v>
      </c>
      <c r="C81" s="3389"/>
      <c r="D81" s="3389"/>
      <c r="E81" s="3389"/>
      <c r="F81" s="3389"/>
      <c r="G81" s="3389"/>
      <c r="H81" s="3389"/>
      <c r="I81" s="3389"/>
      <c r="J81" s="3389"/>
      <c r="K81" s="3389"/>
      <c r="L81" s="3389"/>
      <c r="M81" s="3389"/>
      <c r="N81" s="3389"/>
      <c r="O81" s="3389"/>
      <c r="P81" s="3389"/>
      <c r="Q81" s="3389"/>
      <c r="R81" s="3389"/>
      <c r="S81" s="3389"/>
      <c r="T81" s="3389"/>
      <c r="U81" s="3389"/>
      <c r="V81" s="3389"/>
      <c r="W81" s="3389"/>
      <c r="X81" s="3389"/>
      <c r="Y81" s="3389"/>
      <c r="Z81" s="3389"/>
      <c r="AA81" s="3389"/>
      <c r="AB81" s="3389"/>
      <c r="AC81" s="3389"/>
      <c r="AD81" s="3389"/>
      <c r="AE81" s="3389"/>
      <c r="AF81" s="3389"/>
      <c r="AG81" s="3389"/>
      <c r="AH81" s="3389"/>
      <c r="AI81" s="3389"/>
      <c r="AJ81" s="3389"/>
      <c r="AK81" s="1867"/>
      <c r="AO81" s="3440"/>
      <c r="AP81" s="3440"/>
      <c r="BH81" s="3466">
        <v>166</v>
      </c>
      <c r="BI81" s="3467">
        <v>4.7399999999999998E-2</v>
      </c>
    </row>
    <row r="82" spans="1:61" ht="16.5" customHeight="1">
      <c r="A82" s="1867"/>
      <c r="B82" s="3417" t="s">
        <v>2479</v>
      </c>
      <c r="C82" s="3387"/>
      <c r="D82" s="3387"/>
      <c r="E82" s="3387"/>
      <c r="F82" s="3387"/>
      <c r="G82" s="3387"/>
      <c r="H82" s="3387"/>
      <c r="I82" s="3387"/>
      <c r="J82" s="3387"/>
      <c r="K82" s="3387"/>
      <c r="L82" s="3387"/>
      <c r="M82" s="3387"/>
      <c r="N82" s="3387"/>
      <c r="O82" s="3387"/>
      <c r="P82" s="3387"/>
      <c r="Q82" s="3387"/>
      <c r="R82" s="3387"/>
      <c r="S82" s="3387"/>
      <c r="T82" s="3387"/>
      <c r="U82" s="3387"/>
      <c r="V82" s="3387"/>
      <c r="W82" s="3387"/>
      <c r="X82" s="3387"/>
      <c r="Y82" s="3387"/>
      <c r="Z82" s="3387"/>
      <c r="AA82" s="3387"/>
      <c r="AB82" s="3387"/>
      <c r="AC82" s="3387"/>
      <c r="AD82" s="3387"/>
      <c r="AE82" s="3387"/>
      <c r="AF82" s="3387"/>
      <c r="AG82" s="3387"/>
      <c r="AH82" s="3387"/>
      <c r="AI82" s="3387"/>
      <c r="AJ82" s="3387"/>
      <c r="AK82" s="1867"/>
      <c r="AO82" s="3440"/>
      <c r="AP82" s="3440"/>
      <c r="BH82" s="3466">
        <v>167</v>
      </c>
      <c r="BI82" s="3467">
        <v>4.7800000000000002E-2</v>
      </c>
    </row>
    <row r="83" spans="1:61" ht="15">
      <c r="A83" s="1867"/>
      <c r="B83" s="3395" t="s">
        <v>2480</v>
      </c>
      <c r="C83" s="2581"/>
      <c r="D83" s="3418" t="s">
        <v>62</v>
      </c>
      <c r="E83" s="3419" t="s">
        <v>2481</v>
      </c>
      <c r="F83" s="3419"/>
      <c r="G83" s="3419"/>
      <c r="H83" s="3419"/>
      <c r="I83" s="3419"/>
      <c r="J83" s="3419"/>
      <c r="K83" s="3419"/>
      <c r="L83" s="3419"/>
      <c r="M83" s="3420"/>
      <c r="N83" s="3421" t="s">
        <v>85</v>
      </c>
      <c r="O83" s="3419" t="s">
        <v>2482</v>
      </c>
      <c r="P83" s="3419"/>
      <c r="Q83" s="3419"/>
      <c r="R83" s="3419"/>
      <c r="S83" s="3419"/>
      <c r="T83" s="3419"/>
      <c r="U83" s="3419"/>
      <c r="V83" s="3420"/>
      <c r="W83" s="3421" t="s">
        <v>86</v>
      </c>
      <c r="X83" s="3419" t="s">
        <v>2483</v>
      </c>
      <c r="Y83" s="3419"/>
      <c r="Z83" s="3419"/>
      <c r="AA83" s="3419"/>
      <c r="AB83" s="3419"/>
      <c r="AC83" s="3420"/>
      <c r="AD83" s="3421" t="s">
        <v>154</v>
      </c>
      <c r="AE83" s="3419" t="s">
        <v>2484</v>
      </c>
      <c r="AF83" s="3419"/>
      <c r="AG83" s="3419"/>
      <c r="AH83" s="3419"/>
      <c r="AI83" s="3419"/>
      <c r="AJ83" s="3419"/>
      <c r="AK83" s="1867"/>
      <c r="AO83" s="3440"/>
      <c r="AP83" s="3440"/>
      <c r="BH83" s="3466">
        <v>168</v>
      </c>
      <c r="BI83" s="3467">
        <v>4.8300000000000003E-2</v>
      </c>
    </row>
    <row r="84" spans="1:61" ht="15">
      <c r="A84" s="1867"/>
      <c r="B84" s="3395"/>
      <c r="C84" s="313"/>
      <c r="D84" s="5182"/>
      <c r="E84" s="5182"/>
      <c r="F84" s="5182"/>
      <c r="G84" s="5182"/>
      <c r="H84" s="5182"/>
      <c r="I84" s="5183"/>
      <c r="J84" s="5183"/>
      <c r="K84" s="5183"/>
      <c r="L84" s="5183"/>
      <c r="M84" s="5184"/>
      <c r="N84" s="5185"/>
      <c r="O84" s="5186"/>
      <c r="P84" s="5186"/>
      <c r="Q84" s="5186"/>
      <c r="R84" s="5186"/>
      <c r="S84" s="5187"/>
      <c r="T84" s="5187"/>
      <c r="U84" s="5187"/>
      <c r="V84" s="5188"/>
      <c r="W84" s="5181"/>
      <c r="X84" s="5182"/>
      <c r="Y84" s="5182"/>
      <c r="Z84" s="5182"/>
      <c r="AA84" s="5182"/>
      <c r="AB84" s="5183"/>
      <c r="AC84" s="5183"/>
      <c r="AD84" s="5181"/>
      <c r="AE84" s="5182"/>
      <c r="AF84" s="5182"/>
      <c r="AG84" s="5182"/>
      <c r="AH84" s="5182"/>
      <c r="AI84" s="5183"/>
      <c r="AJ84" s="5183"/>
      <c r="AK84" s="1867"/>
      <c r="AO84" s="3440"/>
      <c r="AP84" s="3440"/>
      <c r="BH84" s="3466">
        <v>169</v>
      </c>
      <c r="BI84" s="3467">
        <v>4.87E-2</v>
      </c>
    </row>
    <row r="85" spans="1:61">
      <c r="A85" s="1867"/>
      <c r="B85" s="2581"/>
      <c r="C85" s="2581"/>
      <c r="D85" s="5167" t="s">
        <v>2485</v>
      </c>
      <c r="E85" s="5168"/>
      <c r="F85" s="5168"/>
      <c r="G85" s="5168"/>
      <c r="H85" s="5168"/>
      <c r="I85" s="5169"/>
      <c r="J85" s="5174" t="s">
        <v>2486</v>
      </c>
      <c r="K85" s="5175"/>
      <c r="L85" s="5175"/>
      <c r="M85" s="5175"/>
      <c r="N85" s="5175"/>
      <c r="O85" s="5175"/>
      <c r="P85" s="5175"/>
      <c r="Q85" s="5175"/>
      <c r="R85" s="5176"/>
      <c r="S85" s="5174" t="s">
        <v>2487</v>
      </c>
      <c r="T85" s="5175"/>
      <c r="U85" s="5175"/>
      <c r="V85" s="5175"/>
      <c r="W85" s="5175"/>
      <c r="X85" s="5175"/>
      <c r="Y85" s="5175"/>
      <c r="Z85" s="5175"/>
      <c r="AA85" s="5176"/>
      <c r="AB85" s="5180" t="s">
        <v>2488</v>
      </c>
      <c r="AC85" s="5175"/>
      <c r="AD85" s="5175"/>
      <c r="AE85" s="5175"/>
      <c r="AF85" s="5175"/>
      <c r="AG85" s="5175"/>
      <c r="AH85" s="5175"/>
      <c r="AI85" s="5175"/>
      <c r="AJ85" s="5175"/>
      <c r="AK85" s="1867"/>
      <c r="AO85" s="3440"/>
      <c r="AP85" s="3440"/>
      <c r="BH85" s="3466">
        <v>170</v>
      </c>
      <c r="BI85" s="3467">
        <v>4.9200000000000001E-2</v>
      </c>
    </row>
    <row r="86" spans="1:61">
      <c r="A86" s="1867"/>
      <c r="B86" s="2581"/>
      <c r="C86" s="2581"/>
      <c r="D86" s="5170"/>
      <c r="E86" s="5170"/>
      <c r="F86" s="5170"/>
      <c r="G86" s="5170"/>
      <c r="H86" s="5170"/>
      <c r="I86" s="5171"/>
      <c r="J86" s="5177"/>
      <c r="K86" s="5178"/>
      <c r="L86" s="5178"/>
      <c r="M86" s="5178"/>
      <c r="N86" s="5178"/>
      <c r="O86" s="5178"/>
      <c r="P86" s="5178"/>
      <c r="Q86" s="5178"/>
      <c r="R86" s="5179"/>
      <c r="S86" s="5177"/>
      <c r="T86" s="5178"/>
      <c r="U86" s="5178"/>
      <c r="V86" s="5178"/>
      <c r="W86" s="5178"/>
      <c r="X86" s="5178"/>
      <c r="Y86" s="5178"/>
      <c r="Z86" s="5178"/>
      <c r="AA86" s="5179"/>
      <c r="AB86" s="5177"/>
      <c r="AC86" s="5178"/>
      <c r="AD86" s="5178"/>
      <c r="AE86" s="5178"/>
      <c r="AF86" s="5178"/>
      <c r="AG86" s="5178"/>
      <c r="AH86" s="5178"/>
      <c r="AI86" s="5178"/>
      <c r="AJ86" s="5178"/>
      <c r="AK86" s="1867"/>
      <c r="AO86" s="3440"/>
      <c r="AP86" s="3440"/>
      <c r="BH86" s="3466">
        <v>171</v>
      </c>
      <c r="BI86" s="3467">
        <v>4.9700000000000001E-2</v>
      </c>
    </row>
    <row r="87" spans="1:61">
      <c r="A87" s="1867"/>
      <c r="B87" s="2581"/>
      <c r="C87" s="2581"/>
      <c r="D87" s="5170"/>
      <c r="E87" s="5170"/>
      <c r="F87" s="5170"/>
      <c r="G87" s="5170"/>
      <c r="H87" s="5170"/>
      <c r="I87" s="5171"/>
      <c r="J87" s="5177"/>
      <c r="K87" s="5178"/>
      <c r="L87" s="5178"/>
      <c r="M87" s="5178"/>
      <c r="N87" s="5178"/>
      <c r="O87" s="5178"/>
      <c r="P87" s="5178"/>
      <c r="Q87" s="5178"/>
      <c r="R87" s="5179"/>
      <c r="S87" s="5177"/>
      <c r="T87" s="5178"/>
      <c r="U87" s="5178"/>
      <c r="V87" s="5178"/>
      <c r="W87" s="5178"/>
      <c r="X87" s="5178"/>
      <c r="Y87" s="5178"/>
      <c r="Z87" s="5178"/>
      <c r="AA87" s="5179"/>
      <c r="AB87" s="5177"/>
      <c r="AC87" s="5178"/>
      <c r="AD87" s="5178"/>
      <c r="AE87" s="5178"/>
      <c r="AF87" s="5178"/>
      <c r="AG87" s="5178"/>
      <c r="AH87" s="5178"/>
      <c r="AI87" s="5178"/>
      <c r="AJ87" s="5178"/>
      <c r="AK87" s="1867"/>
      <c r="AO87" s="3440"/>
      <c r="AP87" s="3440"/>
      <c r="BH87" s="3466">
        <v>172</v>
      </c>
      <c r="BI87" s="3467">
        <v>5.0099999999999999E-2</v>
      </c>
    </row>
    <row r="88" spans="1:61" ht="18" customHeight="1">
      <c r="A88" s="1867"/>
      <c r="B88" s="2581"/>
      <c r="C88" s="2581"/>
      <c r="D88" s="5170"/>
      <c r="E88" s="5170"/>
      <c r="F88" s="5170"/>
      <c r="G88" s="5170"/>
      <c r="H88" s="5170"/>
      <c r="I88" s="5171"/>
      <c r="J88" s="5177"/>
      <c r="K88" s="5178"/>
      <c r="L88" s="5178"/>
      <c r="M88" s="5178"/>
      <c r="N88" s="5178"/>
      <c r="O88" s="5178"/>
      <c r="P88" s="5178"/>
      <c r="Q88" s="5178"/>
      <c r="R88" s="5179"/>
      <c r="S88" s="5177"/>
      <c r="T88" s="5178"/>
      <c r="U88" s="5178"/>
      <c r="V88" s="5178"/>
      <c r="W88" s="5178"/>
      <c r="X88" s="5178"/>
      <c r="Y88" s="5178"/>
      <c r="Z88" s="5178"/>
      <c r="AA88" s="5179"/>
      <c r="AB88" s="5177"/>
      <c r="AC88" s="5178"/>
      <c r="AD88" s="5178"/>
      <c r="AE88" s="5178"/>
      <c r="AF88" s="5178"/>
      <c r="AG88" s="5178"/>
      <c r="AH88" s="5178"/>
      <c r="AI88" s="5178"/>
      <c r="AJ88" s="5178"/>
      <c r="AK88" s="1867"/>
      <c r="AO88" s="3440"/>
      <c r="AP88" s="3440"/>
      <c r="BH88" s="3466">
        <v>173</v>
      </c>
      <c r="BI88" s="3467">
        <v>5.0599999999999999E-2</v>
      </c>
    </row>
    <row r="89" spans="1:61">
      <c r="A89" s="1867"/>
      <c r="B89" s="3387"/>
      <c r="C89" s="3387"/>
      <c r="D89" s="5172"/>
      <c r="E89" s="5172"/>
      <c r="F89" s="5172"/>
      <c r="G89" s="5172"/>
      <c r="H89" s="5172"/>
      <c r="I89" s="5173"/>
      <c r="J89" s="5181"/>
      <c r="K89" s="5182"/>
      <c r="L89" s="5182"/>
      <c r="M89" s="5182"/>
      <c r="N89" s="5182"/>
      <c r="O89" s="5183"/>
      <c r="P89" s="5183"/>
      <c r="Q89" s="5183"/>
      <c r="R89" s="5184"/>
      <c r="S89" s="5181"/>
      <c r="T89" s="5182"/>
      <c r="U89" s="5182"/>
      <c r="V89" s="5182"/>
      <c r="W89" s="5182"/>
      <c r="X89" s="5183"/>
      <c r="Y89" s="5183"/>
      <c r="Z89" s="5183"/>
      <c r="AA89" s="5184"/>
      <c r="AB89" s="5182"/>
      <c r="AC89" s="5182"/>
      <c r="AD89" s="5182"/>
      <c r="AE89" s="5182"/>
      <c r="AF89" s="5182"/>
      <c r="AG89" s="5183"/>
      <c r="AH89" s="5183"/>
      <c r="AI89" s="5183"/>
      <c r="AJ89" s="5183"/>
      <c r="AK89" s="1867"/>
      <c r="AO89" s="3440"/>
      <c r="AP89" s="3440"/>
      <c r="BH89" s="3466">
        <v>174</v>
      </c>
      <c r="BI89" s="3467">
        <v>5.0999999999999997E-2</v>
      </c>
    </row>
    <row r="90" spans="1:61" ht="16.5" customHeight="1">
      <c r="A90" s="1867"/>
      <c r="B90" s="3417" t="s">
        <v>2492</v>
      </c>
      <c r="C90" s="3387"/>
      <c r="D90" s="3387"/>
      <c r="E90" s="3387"/>
      <c r="F90" s="3387"/>
      <c r="G90" s="3387"/>
      <c r="H90" s="3387"/>
      <c r="I90" s="3387"/>
      <c r="J90" s="3387"/>
      <c r="K90" s="3387"/>
      <c r="L90" s="3387"/>
      <c r="M90" s="3387"/>
      <c r="N90" s="3387"/>
      <c r="O90" s="3387"/>
      <c r="P90" s="3387"/>
      <c r="Q90" s="3387"/>
      <c r="R90" s="3387"/>
      <c r="S90" s="3387"/>
      <c r="T90" s="3387"/>
      <c r="U90" s="3387"/>
      <c r="V90" s="3387"/>
      <c r="W90" s="3387"/>
      <c r="X90" s="3387"/>
      <c r="Y90" s="3387"/>
      <c r="Z90" s="3387"/>
      <c r="AA90" s="3387"/>
      <c r="AB90" s="3387"/>
      <c r="AC90" s="3387"/>
      <c r="AD90" s="3387"/>
      <c r="AE90" s="3387"/>
      <c r="AF90" s="3387"/>
      <c r="AG90" s="3387"/>
      <c r="AH90" s="3387"/>
      <c r="AI90" s="3387"/>
      <c r="AJ90" s="3387"/>
      <c r="AK90" s="1867"/>
      <c r="AO90" s="3440"/>
      <c r="AP90" s="3440"/>
      <c r="BH90" s="3466">
        <v>175</v>
      </c>
      <c r="BI90" s="3467">
        <v>5.1499999999999997E-2</v>
      </c>
    </row>
    <row r="91" spans="1:61" ht="15">
      <c r="A91" s="1867"/>
      <c r="B91" s="3395" t="s">
        <v>2489</v>
      </c>
      <c r="C91" s="2581"/>
      <c r="D91" s="3418" t="s">
        <v>62</v>
      </c>
      <c r="E91" s="3419" t="s">
        <v>2481</v>
      </c>
      <c r="F91" s="3419"/>
      <c r="G91" s="3419"/>
      <c r="H91" s="3419"/>
      <c r="I91" s="3419"/>
      <c r="J91" s="3419"/>
      <c r="K91" s="3419"/>
      <c r="L91" s="3419"/>
      <c r="M91" s="3420"/>
      <c r="N91" s="3421" t="s">
        <v>85</v>
      </c>
      <c r="O91" s="3419" t="s">
        <v>2482</v>
      </c>
      <c r="P91" s="3419"/>
      <c r="Q91" s="3419"/>
      <c r="R91" s="3419"/>
      <c r="S91" s="3419"/>
      <c r="T91" s="3419"/>
      <c r="U91" s="3419"/>
      <c r="V91" s="3420"/>
      <c r="W91" s="3421" t="s">
        <v>86</v>
      </c>
      <c r="X91" s="3419" t="s">
        <v>2483</v>
      </c>
      <c r="Y91" s="3419"/>
      <c r="Z91" s="3419"/>
      <c r="AA91" s="3419"/>
      <c r="AB91" s="3419"/>
      <c r="AC91" s="3420"/>
      <c r="AD91" s="3421" t="s">
        <v>154</v>
      </c>
      <c r="AE91" s="3419" t="s">
        <v>2484</v>
      </c>
      <c r="AF91" s="3419"/>
      <c r="AG91" s="3419"/>
      <c r="AH91" s="3419"/>
      <c r="AI91" s="3419"/>
      <c r="AJ91" s="3419"/>
      <c r="AK91" s="1867"/>
      <c r="AO91" s="3440"/>
      <c r="AP91" s="3440"/>
      <c r="BH91" s="3466">
        <v>176</v>
      </c>
      <c r="BI91" s="3467">
        <v>5.1999999999999998E-2</v>
      </c>
    </row>
    <row r="92" spans="1:61" ht="15">
      <c r="A92" s="1867"/>
      <c r="B92" s="3395"/>
      <c r="C92" s="313"/>
      <c r="D92" s="5182"/>
      <c r="E92" s="5182"/>
      <c r="F92" s="5182"/>
      <c r="G92" s="5182"/>
      <c r="H92" s="5182"/>
      <c r="I92" s="5183"/>
      <c r="J92" s="5183"/>
      <c r="K92" s="5183"/>
      <c r="L92" s="5183"/>
      <c r="M92" s="5184"/>
      <c r="N92" s="5185"/>
      <c r="O92" s="5186"/>
      <c r="P92" s="5186"/>
      <c r="Q92" s="5186"/>
      <c r="R92" s="5186"/>
      <c r="S92" s="5187"/>
      <c r="T92" s="5187"/>
      <c r="U92" s="5187"/>
      <c r="V92" s="5188"/>
      <c r="W92" s="5181"/>
      <c r="X92" s="5182"/>
      <c r="Y92" s="5182"/>
      <c r="Z92" s="5182"/>
      <c r="AA92" s="5182"/>
      <c r="AB92" s="5183"/>
      <c r="AC92" s="5183"/>
      <c r="AD92" s="5181"/>
      <c r="AE92" s="5182"/>
      <c r="AF92" s="5182"/>
      <c r="AG92" s="5182"/>
      <c r="AH92" s="5182"/>
      <c r="AI92" s="5183"/>
      <c r="AJ92" s="5183"/>
      <c r="AK92" s="1867"/>
      <c r="AO92" s="3440"/>
      <c r="AP92" s="3440"/>
      <c r="BH92" s="3466">
        <v>177</v>
      </c>
      <c r="BI92" s="3467">
        <v>5.2400000000000002E-2</v>
      </c>
    </row>
    <row r="93" spans="1:61">
      <c r="A93" s="1867"/>
      <c r="B93" s="2581"/>
      <c r="C93" s="2581"/>
      <c r="D93" s="5167" t="s">
        <v>2485</v>
      </c>
      <c r="E93" s="5168"/>
      <c r="F93" s="5168"/>
      <c r="G93" s="5168"/>
      <c r="H93" s="5168"/>
      <c r="I93" s="5169"/>
      <c r="J93" s="5174" t="s">
        <v>2486</v>
      </c>
      <c r="K93" s="5175"/>
      <c r="L93" s="5175"/>
      <c r="M93" s="5175"/>
      <c r="N93" s="5175"/>
      <c r="O93" s="5175"/>
      <c r="P93" s="5175"/>
      <c r="Q93" s="5175"/>
      <c r="R93" s="5176"/>
      <c r="S93" s="5174" t="s">
        <v>2487</v>
      </c>
      <c r="T93" s="5175"/>
      <c r="U93" s="5175"/>
      <c r="V93" s="5175"/>
      <c r="W93" s="5175"/>
      <c r="X93" s="5175"/>
      <c r="Y93" s="5175"/>
      <c r="Z93" s="5175"/>
      <c r="AA93" s="5176"/>
      <c r="AB93" s="5180" t="s">
        <v>2488</v>
      </c>
      <c r="AC93" s="5175"/>
      <c r="AD93" s="5175"/>
      <c r="AE93" s="5175"/>
      <c r="AF93" s="5175"/>
      <c r="AG93" s="5175"/>
      <c r="AH93" s="5175"/>
      <c r="AI93" s="5175"/>
      <c r="AJ93" s="5175"/>
      <c r="AK93" s="1867"/>
      <c r="AO93" s="3440"/>
      <c r="AP93" s="3440"/>
      <c r="BH93" s="3466">
        <v>178</v>
      </c>
      <c r="BI93" s="3467">
        <v>5.2900000000000003E-2</v>
      </c>
    </row>
    <row r="94" spans="1:61">
      <c r="A94" s="1867"/>
      <c r="B94" s="2581"/>
      <c r="C94" s="2581"/>
      <c r="D94" s="5170"/>
      <c r="E94" s="5170"/>
      <c r="F94" s="5170"/>
      <c r="G94" s="5170"/>
      <c r="H94" s="5170"/>
      <c r="I94" s="5171"/>
      <c r="J94" s="5177"/>
      <c r="K94" s="5178"/>
      <c r="L94" s="5178"/>
      <c r="M94" s="5178"/>
      <c r="N94" s="5178"/>
      <c r="O94" s="5178"/>
      <c r="P94" s="5178"/>
      <c r="Q94" s="5178"/>
      <c r="R94" s="5179"/>
      <c r="S94" s="5177"/>
      <c r="T94" s="5178"/>
      <c r="U94" s="5178"/>
      <c r="V94" s="5178"/>
      <c r="W94" s="5178"/>
      <c r="X94" s="5178"/>
      <c r="Y94" s="5178"/>
      <c r="Z94" s="5178"/>
      <c r="AA94" s="5179"/>
      <c r="AB94" s="5177"/>
      <c r="AC94" s="5178"/>
      <c r="AD94" s="5178"/>
      <c r="AE94" s="5178"/>
      <c r="AF94" s="5178"/>
      <c r="AG94" s="5178"/>
      <c r="AH94" s="5178"/>
      <c r="AI94" s="5178"/>
      <c r="AJ94" s="5178"/>
      <c r="AK94" s="1867"/>
      <c r="AO94" s="3440"/>
      <c r="AP94" s="3440"/>
      <c r="BH94" s="3466">
        <v>179</v>
      </c>
      <c r="BI94" s="3467">
        <v>5.33E-2</v>
      </c>
    </row>
    <row r="95" spans="1:61">
      <c r="A95" s="1867"/>
      <c r="B95" s="2581"/>
      <c r="C95" s="2581"/>
      <c r="D95" s="5170"/>
      <c r="E95" s="5170"/>
      <c r="F95" s="5170"/>
      <c r="G95" s="5170"/>
      <c r="H95" s="5170"/>
      <c r="I95" s="5171"/>
      <c r="J95" s="5177"/>
      <c r="K95" s="5178"/>
      <c r="L95" s="5178"/>
      <c r="M95" s="5178"/>
      <c r="N95" s="5178"/>
      <c r="O95" s="5178"/>
      <c r="P95" s="5178"/>
      <c r="Q95" s="5178"/>
      <c r="R95" s="5179"/>
      <c r="S95" s="5177"/>
      <c r="T95" s="5178"/>
      <c r="U95" s="5178"/>
      <c r="V95" s="5178"/>
      <c r="W95" s="5178"/>
      <c r="X95" s="5178"/>
      <c r="Y95" s="5178"/>
      <c r="Z95" s="5178"/>
      <c r="AA95" s="5179"/>
      <c r="AB95" s="5177"/>
      <c r="AC95" s="5178"/>
      <c r="AD95" s="5178"/>
      <c r="AE95" s="5178"/>
      <c r="AF95" s="5178"/>
      <c r="AG95" s="5178"/>
      <c r="AH95" s="5178"/>
      <c r="AI95" s="5178"/>
      <c r="AJ95" s="5178"/>
      <c r="AK95" s="1867"/>
      <c r="AO95" s="3440"/>
      <c r="AP95" s="3440"/>
      <c r="BH95" s="3466">
        <v>180</v>
      </c>
      <c r="BI95" s="3467">
        <v>5.3800000000000001E-2</v>
      </c>
    </row>
    <row r="96" spans="1:61" ht="18" customHeight="1">
      <c r="A96" s="1867"/>
      <c r="B96" s="2581"/>
      <c r="C96" s="2581"/>
      <c r="D96" s="5170"/>
      <c r="E96" s="5170"/>
      <c r="F96" s="5170"/>
      <c r="G96" s="5170"/>
      <c r="H96" s="5170"/>
      <c r="I96" s="5171"/>
      <c r="J96" s="5177"/>
      <c r="K96" s="5178"/>
      <c r="L96" s="5178"/>
      <c r="M96" s="5178"/>
      <c r="N96" s="5178"/>
      <c r="O96" s="5178"/>
      <c r="P96" s="5178"/>
      <c r="Q96" s="5178"/>
      <c r="R96" s="5179"/>
      <c r="S96" s="5177"/>
      <c r="T96" s="5178"/>
      <c r="U96" s="5178"/>
      <c r="V96" s="5178"/>
      <c r="W96" s="5178"/>
      <c r="X96" s="5178"/>
      <c r="Y96" s="5178"/>
      <c r="Z96" s="5178"/>
      <c r="AA96" s="5179"/>
      <c r="AB96" s="5177"/>
      <c r="AC96" s="5178"/>
      <c r="AD96" s="5178"/>
      <c r="AE96" s="5178"/>
      <c r="AF96" s="5178"/>
      <c r="AG96" s="5178"/>
      <c r="AH96" s="5178"/>
      <c r="AI96" s="5178"/>
      <c r="AJ96" s="5178"/>
      <c r="AK96" s="1867"/>
      <c r="AO96" s="3440"/>
      <c r="AP96" s="3440"/>
      <c r="BH96" s="3466">
        <v>181</v>
      </c>
      <c r="BI96" s="3467">
        <v>5.4300000000000001E-2</v>
      </c>
    </row>
    <row r="97" spans="1:61">
      <c r="A97" s="1867"/>
      <c r="B97" s="3387"/>
      <c r="C97" s="3387"/>
      <c r="D97" s="5172"/>
      <c r="E97" s="5172"/>
      <c r="F97" s="5172"/>
      <c r="G97" s="5172"/>
      <c r="H97" s="5172"/>
      <c r="I97" s="5173"/>
      <c r="J97" s="5189"/>
      <c r="K97" s="5190"/>
      <c r="L97" s="5190"/>
      <c r="M97" s="5190"/>
      <c r="N97" s="5190"/>
      <c r="O97" s="5191"/>
      <c r="P97" s="5191"/>
      <c r="Q97" s="5191"/>
      <c r="R97" s="5192"/>
      <c r="S97" s="5189"/>
      <c r="T97" s="5190"/>
      <c r="U97" s="5190"/>
      <c r="V97" s="5190"/>
      <c r="W97" s="5190"/>
      <c r="X97" s="5191"/>
      <c r="Y97" s="5191"/>
      <c r="Z97" s="5191"/>
      <c r="AA97" s="5192"/>
      <c r="AB97" s="5190"/>
      <c r="AC97" s="5190"/>
      <c r="AD97" s="5190"/>
      <c r="AE97" s="5190"/>
      <c r="AF97" s="5190"/>
      <c r="AG97" s="5191"/>
      <c r="AH97" s="5191"/>
      <c r="AI97" s="5191"/>
      <c r="AJ97" s="5191"/>
      <c r="AK97" s="1867"/>
      <c r="AO97" s="3440"/>
      <c r="AP97" s="3440"/>
      <c r="BH97" s="3466">
        <v>182</v>
      </c>
      <c r="BI97" s="3467">
        <v>5.4699999999999999E-2</v>
      </c>
    </row>
    <row r="98" spans="1:61" ht="16.5" customHeight="1">
      <c r="A98" s="1867"/>
      <c r="B98" s="3417" t="s">
        <v>2493</v>
      </c>
      <c r="C98" s="3387"/>
      <c r="D98" s="3387"/>
      <c r="E98" s="3387"/>
      <c r="F98" s="3387"/>
      <c r="G98" s="3387"/>
      <c r="H98" s="3387"/>
      <c r="I98" s="3387"/>
      <c r="J98" s="3387"/>
      <c r="K98" s="3387"/>
      <c r="L98" s="3387"/>
      <c r="M98" s="3387"/>
      <c r="N98" s="3387"/>
      <c r="O98" s="3387"/>
      <c r="P98" s="3387"/>
      <c r="Q98" s="3387"/>
      <c r="R98" s="3387"/>
      <c r="S98" s="3387"/>
      <c r="T98" s="3387"/>
      <c r="U98" s="3387"/>
      <c r="V98" s="3387"/>
      <c r="W98" s="3387"/>
      <c r="X98" s="3387"/>
      <c r="Y98" s="3387"/>
      <c r="Z98" s="3387"/>
      <c r="AA98" s="3387"/>
      <c r="AB98" s="3387"/>
      <c r="AC98" s="3387"/>
      <c r="AD98" s="3387"/>
      <c r="AE98" s="3387"/>
      <c r="AF98" s="3387"/>
      <c r="AG98" s="3387"/>
      <c r="AH98" s="3387"/>
      <c r="AI98" s="3387"/>
      <c r="AJ98" s="3387"/>
      <c r="AK98" s="1867"/>
      <c r="AO98" s="3440"/>
      <c r="AP98" s="3440"/>
      <c r="BH98" s="3466">
        <v>183</v>
      </c>
      <c r="BI98" s="3467">
        <v>5.5199999999999999E-2</v>
      </c>
    </row>
    <row r="99" spans="1:61" ht="15">
      <c r="A99" s="1867"/>
      <c r="B99" s="3395" t="s">
        <v>2490</v>
      </c>
      <c r="C99" s="2581"/>
      <c r="D99" s="3418" t="s">
        <v>62</v>
      </c>
      <c r="E99" s="3419" t="s">
        <v>2481</v>
      </c>
      <c r="F99" s="3419"/>
      <c r="G99" s="3419"/>
      <c r="H99" s="3419"/>
      <c r="I99" s="3419"/>
      <c r="J99" s="3419"/>
      <c r="K99" s="3419"/>
      <c r="L99" s="3419"/>
      <c r="M99" s="3420"/>
      <c r="N99" s="3421" t="s">
        <v>85</v>
      </c>
      <c r="O99" s="3419" t="s">
        <v>2482</v>
      </c>
      <c r="P99" s="3419"/>
      <c r="Q99" s="3419"/>
      <c r="R99" s="3419"/>
      <c r="S99" s="3419"/>
      <c r="T99" s="3419"/>
      <c r="U99" s="3419"/>
      <c r="V99" s="3420"/>
      <c r="W99" s="3421" t="s">
        <v>86</v>
      </c>
      <c r="X99" s="3419" t="s">
        <v>2483</v>
      </c>
      <c r="Y99" s="3419"/>
      <c r="Z99" s="3419"/>
      <c r="AA99" s="3419"/>
      <c r="AB99" s="3419"/>
      <c r="AC99" s="3420"/>
      <c r="AD99" s="3421" t="s">
        <v>154</v>
      </c>
      <c r="AE99" s="3419" t="s">
        <v>2484</v>
      </c>
      <c r="AF99" s="3419"/>
      <c r="AG99" s="3419"/>
      <c r="AH99" s="3419"/>
      <c r="AI99" s="3419"/>
      <c r="AJ99" s="3419"/>
      <c r="AK99" s="1867"/>
      <c r="BH99" s="3466">
        <v>184</v>
      </c>
      <c r="BI99" s="3467">
        <v>5.5599999999999997E-2</v>
      </c>
    </row>
    <row r="100" spans="1:61" ht="15">
      <c r="A100" s="1867"/>
      <c r="B100" s="3395"/>
      <c r="C100" s="313"/>
      <c r="D100" s="5182"/>
      <c r="E100" s="5182"/>
      <c r="F100" s="5182"/>
      <c r="G100" s="5182"/>
      <c r="H100" s="5182"/>
      <c r="I100" s="5183"/>
      <c r="J100" s="5183"/>
      <c r="K100" s="5183"/>
      <c r="L100" s="5183"/>
      <c r="M100" s="5184"/>
      <c r="N100" s="5185"/>
      <c r="O100" s="5186"/>
      <c r="P100" s="5186"/>
      <c r="Q100" s="5186"/>
      <c r="R100" s="5186"/>
      <c r="S100" s="5187"/>
      <c r="T100" s="5187"/>
      <c r="U100" s="5187"/>
      <c r="V100" s="5188"/>
      <c r="W100" s="5181"/>
      <c r="X100" s="5182"/>
      <c r="Y100" s="5182"/>
      <c r="Z100" s="5182"/>
      <c r="AA100" s="5182"/>
      <c r="AB100" s="5183"/>
      <c r="AC100" s="5183"/>
      <c r="AD100" s="5181"/>
      <c r="AE100" s="5182"/>
      <c r="AF100" s="5182"/>
      <c r="AG100" s="5182"/>
      <c r="AH100" s="5182"/>
      <c r="AI100" s="5183"/>
      <c r="AJ100" s="5183"/>
      <c r="AK100" s="1867"/>
      <c r="BH100" s="3466">
        <v>185</v>
      </c>
      <c r="BI100" s="3467">
        <v>5.6099999999999997E-2</v>
      </c>
    </row>
    <row r="101" spans="1:61">
      <c r="A101" s="1867"/>
      <c r="B101" s="2581"/>
      <c r="C101" s="2581"/>
      <c r="D101" s="5167" t="s">
        <v>2485</v>
      </c>
      <c r="E101" s="5168"/>
      <c r="F101" s="5168"/>
      <c r="G101" s="5168"/>
      <c r="H101" s="5168"/>
      <c r="I101" s="5169"/>
      <c r="J101" s="5174" t="s">
        <v>2486</v>
      </c>
      <c r="K101" s="5175"/>
      <c r="L101" s="5175"/>
      <c r="M101" s="5175"/>
      <c r="N101" s="5175"/>
      <c r="O101" s="5175"/>
      <c r="P101" s="5175"/>
      <c r="Q101" s="5175"/>
      <c r="R101" s="5176"/>
      <c r="S101" s="5174" t="s">
        <v>2487</v>
      </c>
      <c r="T101" s="5175"/>
      <c r="U101" s="5175"/>
      <c r="V101" s="5175"/>
      <c r="W101" s="5175"/>
      <c r="X101" s="5175"/>
      <c r="Y101" s="5175"/>
      <c r="Z101" s="5175"/>
      <c r="AA101" s="5176"/>
      <c r="AB101" s="5180" t="s">
        <v>2488</v>
      </c>
      <c r="AC101" s="5175"/>
      <c r="AD101" s="5175"/>
      <c r="AE101" s="5175"/>
      <c r="AF101" s="5175"/>
      <c r="AG101" s="5175"/>
      <c r="AH101" s="5175"/>
      <c r="AI101" s="5175"/>
      <c r="AJ101" s="5175"/>
      <c r="AK101" s="1867"/>
      <c r="BH101" s="3466">
        <v>186</v>
      </c>
      <c r="BI101" s="3467">
        <v>5.6599999999999998E-2</v>
      </c>
    </row>
    <row r="102" spans="1:61">
      <c r="A102" s="1867"/>
      <c r="B102" s="2581"/>
      <c r="C102" s="2581"/>
      <c r="D102" s="5170"/>
      <c r="E102" s="5170"/>
      <c r="F102" s="5170"/>
      <c r="G102" s="5170"/>
      <c r="H102" s="5170"/>
      <c r="I102" s="5171"/>
      <c r="J102" s="5177"/>
      <c r="K102" s="5178"/>
      <c r="L102" s="5178"/>
      <c r="M102" s="5178"/>
      <c r="N102" s="5178"/>
      <c r="O102" s="5178"/>
      <c r="P102" s="5178"/>
      <c r="Q102" s="5178"/>
      <c r="R102" s="5179"/>
      <c r="S102" s="5177"/>
      <c r="T102" s="5178"/>
      <c r="U102" s="5178"/>
      <c r="V102" s="5178"/>
      <c r="W102" s="5178"/>
      <c r="X102" s="5178"/>
      <c r="Y102" s="5178"/>
      <c r="Z102" s="5178"/>
      <c r="AA102" s="5179"/>
      <c r="AB102" s="5177"/>
      <c r="AC102" s="5178"/>
      <c r="AD102" s="5178"/>
      <c r="AE102" s="5178"/>
      <c r="AF102" s="5178"/>
      <c r="AG102" s="5178"/>
      <c r="AH102" s="5178"/>
      <c r="AI102" s="5178"/>
      <c r="AJ102" s="5178"/>
      <c r="AK102" s="1867"/>
      <c r="BH102" s="3466">
        <v>187</v>
      </c>
      <c r="BI102" s="3467">
        <v>5.7000000000000002E-2</v>
      </c>
    </row>
    <row r="103" spans="1:61">
      <c r="A103" s="1867"/>
      <c r="B103" s="2581"/>
      <c r="C103" s="2581"/>
      <c r="D103" s="5170"/>
      <c r="E103" s="5170"/>
      <c r="F103" s="5170"/>
      <c r="G103" s="5170"/>
      <c r="H103" s="5170"/>
      <c r="I103" s="5171"/>
      <c r="J103" s="5177"/>
      <c r="K103" s="5178"/>
      <c r="L103" s="5178"/>
      <c r="M103" s="5178"/>
      <c r="N103" s="5178"/>
      <c r="O103" s="5178"/>
      <c r="P103" s="5178"/>
      <c r="Q103" s="5178"/>
      <c r="R103" s="5179"/>
      <c r="S103" s="5177"/>
      <c r="T103" s="5178"/>
      <c r="U103" s="5178"/>
      <c r="V103" s="5178"/>
      <c r="W103" s="5178"/>
      <c r="X103" s="5178"/>
      <c r="Y103" s="5178"/>
      <c r="Z103" s="5178"/>
      <c r="AA103" s="5179"/>
      <c r="AB103" s="5177"/>
      <c r="AC103" s="5178"/>
      <c r="AD103" s="5178"/>
      <c r="AE103" s="5178"/>
      <c r="AF103" s="5178"/>
      <c r="AG103" s="5178"/>
      <c r="AH103" s="5178"/>
      <c r="AI103" s="5178"/>
      <c r="AJ103" s="5178"/>
      <c r="AK103" s="1867"/>
      <c r="BH103" s="3466">
        <v>188</v>
      </c>
      <c r="BI103" s="3467">
        <v>5.7500000000000002E-2</v>
      </c>
    </row>
    <row r="104" spans="1:61" ht="18" customHeight="1">
      <c r="A104" s="1867"/>
      <c r="B104" s="2581"/>
      <c r="C104" s="2581"/>
      <c r="D104" s="5170"/>
      <c r="E104" s="5170"/>
      <c r="F104" s="5170"/>
      <c r="G104" s="5170"/>
      <c r="H104" s="5170"/>
      <c r="I104" s="5171"/>
      <c r="J104" s="5177"/>
      <c r="K104" s="5178"/>
      <c r="L104" s="5178"/>
      <c r="M104" s="5178"/>
      <c r="N104" s="5178"/>
      <c r="O104" s="5178"/>
      <c r="P104" s="5178"/>
      <c r="Q104" s="5178"/>
      <c r="R104" s="5179"/>
      <c r="S104" s="5177"/>
      <c r="T104" s="5178"/>
      <c r="U104" s="5178"/>
      <c r="V104" s="5178"/>
      <c r="W104" s="5178"/>
      <c r="X104" s="5178"/>
      <c r="Y104" s="5178"/>
      <c r="Z104" s="5178"/>
      <c r="AA104" s="5179"/>
      <c r="AB104" s="5177"/>
      <c r="AC104" s="5178"/>
      <c r="AD104" s="5178"/>
      <c r="AE104" s="5178"/>
      <c r="AF104" s="5178"/>
      <c r="AG104" s="5178"/>
      <c r="AH104" s="5178"/>
      <c r="AI104" s="5178"/>
      <c r="AJ104" s="5178"/>
      <c r="AK104" s="1867"/>
      <c r="BH104" s="3466">
        <v>189</v>
      </c>
      <c r="BI104" s="3467">
        <v>5.79E-2</v>
      </c>
    </row>
    <row r="105" spans="1:61">
      <c r="A105" s="1867"/>
      <c r="B105" s="3387"/>
      <c r="C105" s="3387"/>
      <c r="D105" s="5172"/>
      <c r="E105" s="5172"/>
      <c r="F105" s="5172"/>
      <c r="G105" s="5172"/>
      <c r="H105" s="5172"/>
      <c r="I105" s="5173"/>
      <c r="J105" s="5189"/>
      <c r="K105" s="5190"/>
      <c r="L105" s="5190"/>
      <c r="M105" s="5190"/>
      <c r="N105" s="5190"/>
      <c r="O105" s="5191"/>
      <c r="P105" s="5191"/>
      <c r="Q105" s="5191"/>
      <c r="R105" s="5192"/>
      <c r="S105" s="5189"/>
      <c r="T105" s="5190"/>
      <c r="U105" s="5190"/>
      <c r="V105" s="5190"/>
      <c r="W105" s="5190"/>
      <c r="X105" s="5191"/>
      <c r="Y105" s="5191"/>
      <c r="Z105" s="5191"/>
      <c r="AA105" s="5192"/>
      <c r="AB105" s="5190"/>
      <c r="AC105" s="5190"/>
      <c r="AD105" s="5190"/>
      <c r="AE105" s="5190"/>
      <c r="AF105" s="5190"/>
      <c r="AG105" s="5191"/>
      <c r="AH105" s="5191"/>
      <c r="AI105" s="5191"/>
      <c r="AJ105" s="5191"/>
      <c r="AK105" s="1867"/>
      <c r="BH105" s="3466">
        <v>190</v>
      </c>
      <c r="BI105" s="3467">
        <v>5.8400000000000001E-2</v>
      </c>
    </row>
    <row r="106" spans="1:61" ht="16.5" customHeight="1">
      <c r="A106" s="1867"/>
      <c r="B106" s="3417" t="s">
        <v>2494</v>
      </c>
      <c r="C106" s="3387"/>
      <c r="D106" s="3387"/>
      <c r="E106" s="3387"/>
      <c r="F106" s="3387"/>
      <c r="G106" s="3387"/>
      <c r="H106" s="3387"/>
      <c r="I106" s="3387"/>
      <c r="J106" s="3387"/>
      <c r="K106" s="3387"/>
      <c r="L106" s="3387"/>
      <c r="M106" s="3387"/>
      <c r="N106" s="3387"/>
      <c r="O106" s="3387"/>
      <c r="P106" s="3387"/>
      <c r="Q106" s="3387"/>
      <c r="R106" s="3387"/>
      <c r="S106" s="3387"/>
      <c r="T106" s="3387"/>
      <c r="U106" s="3387"/>
      <c r="V106" s="3387"/>
      <c r="W106" s="3387"/>
      <c r="X106" s="3387"/>
      <c r="Y106" s="3387"/>
      <c r="Z106" s="3387"/>
      <c r="AA106" s="3387"/>
      <c r="AB106" s="3387"/>
      <c r="AC106" s="3387"/>
      <c r="AD106" s="3387"/>
      <c r="AE106" s="3387"/>
      <c r="AF106" s="3387"/>
      <c r="AG106" s="3387"/>
      <c r="AH106" s="3387"/>
      <c r="AI106" s="3387"/>
      <c r="AJ106" s="3387"/>
      <c r="AK106" s="1867"/>
      <c r="BH106" s="3466">
        <v>191</v>
      </c>
      <c r="BI106" s="3467">
        <v>5.8900000000000001E-2</v>
      </c>
    </row>
    <row r="107" spans="1:61" ht="15">
      <c r="A107" s="1867"/>
      <c r="B107" s="3395" t="s">
        <v>2491</v>
      </c>
      <c r="C107" s="2581"/>
      <c r="D107" s="3418" t="s">
        <v>62</v>
      </c>
      <c r="E107" s="3419" t="s">
        <v>2481</v>
      </c>
      <c r="F107" s="3419"/>
      <c r="G107" s="3419"/>
      <c r="H107" s="3419"/>
      <c r="I107" s="3419"/>
      <c r="J107" s="3419"/>
      <c r="K107" s="3419"/>
      <c r="L107" s="3419"/>
      <c r="M107" s="3420"/>
      <c r="N107" s="3421" t="s">
        <v>85</v>
      </c>
      <c r="O107" s="3419" t="s">
        <v>2482</v>
      </c>
      <c r="P107" s="3419"/>
      <c r="Q107" s="3419"/>
      <c r="R107" s="3419"/>
      <c r="S107" s="3419"/>
      <c r="T107" s="3419"/>
      <c r="U107" s="3419"/>
      <c r="V107" s="3420"/>
      <c r="W107" s="3421" t="s">
        <v>86</v>
      </c>
      <c r="X107" s="3419" t="s">
        <v>2483</v>
      </c>
      <c r="Y107" s="3419"/>
      <c r="Z107" s="3419"/>
      <c r="AA107" s="3419"/>
      <c r="AB107" s="3419"/>
      <c r="AC107" s="3420"/>
      <c r="AD107" s="3421" t="s">
        <v>154</v>
      </c>
      <c r="AE107" s="3419" t="s">
        <v>2484</v>
      </c>
      <c r="AF107" s="3419"/>
      <c r="AG107" s="3419"/>
      <c r="AH107" s="3419"/>
      <c r="AI107" s="3419"/>
      <c r="AJ107" s="3419"/>
      <c r="AK107" s="1867"/>
      <c r="BH107" s="3466">
        <v>192</v>
      </c>
      <c r="BI107" s="3467">
        <v>5.9299999999999999E-2</v>
      </c>
    </row>
    <row r="108" spans="1:61" ht="15">
      <c r="A108" s="1867"/>
      <c r="B108" s="3395"/>
      <c r="C108" s="313"/>
      <c r="D108" s="5182"/>
      <c r="E108" s="5182"/>
      <c r="F108" s="5182"/>
      <c r="G108" s="5182"/>
      <c r="H108" s="5182"/>
      <c r="I108" s="5183"/>
      <c r="J108" s="5183"/>
      <c r="K108" s="5183"/>
      <c r="L108" s="5183"/>
      <c r="M108" s="5184"/>
      <c r="N108" s="5185"/>
      <c r="O108" s="5186"/>
      <c r="P108" s="5186"/>
      <c r="Q108" s="5186"/>
      <c r="R108" s="5186"/>
      <c r="S108" s="5187"/>
      <c r="T108" s="5187"/>
      <c r="U108" s="5187"/>
      <c r="V108" s="5188"/>
      <c r="W108" s="5181"/>
      <c r="X108" s="5182"/>
      <c r="Y108" s="5182"/>
      <c r="Z108" s="5182"/>
      <c r="AA108" s="5182"/>
      <c r="AB108" s="5183"/>
      <c r="AC108" s="5183"/>
      <c r="AD108" s="5181"/>
      <c r="AE108" s="5182"/>
      <c r="AF108" s="5182"/>
      <c r="AG108" s="5182"/>
      <c r="AH108" s="5182"/>
      <c r="AI108" s="5183"/>
      <c r="AJ108" s="5183"/>
      <c r="AK108" s="1867"/>
      <c r="BH108" s="3466">
        <v>193</v>
      </c>
      <c r="BI108" s="3467">
        <v>5.9799999999999999E-2</v>
      </c>
    </row>
    <row r="109" spans="1:61">
      <c r="A109" s="1867"/>
      <c r="B109" s="2581"/>
      <c r="C109" s="2581"/>
      <c r="D109" s="5167" t="s">
        <v>2485</v>
      </c>
      <c r="E109" s="5168"/>
      <c r="F109" s="5168"/>
      <c r="G109" s="5168"/>
      <c r="H109" s="5168"/>
      <c r="I109" s="5169"/>
      <c r="J109" s="5174" t="s">
        <v>2486</v>
      </c>
      <c r="K109" s="5175"/>
      <c r="L109" s="5175"/>
      <c r="M109" s="5175"/>
      <c r="N109" s="5175"/>
      <c r="O109" s="5175"/>
      <c r="P109" s="5175"/>
      <c r="Q109" s="5175"/>
      <c r="R109" s="5176"/>
      <c r="S109" s="5174" t="s">
        <v>2487</v>
      </c>
      <c r="T109" s="5175"/>
      <c r="U109" s="5175"/>
      <c r="V109" s="5175"/>
      <c r="W109" s="5175"/>
      <c r="X109" s="5175"/>
      <c r="Y109" s="5175"/>
      <c r="Z109" s="5175"/>
      <c r="AA109" s="5176"/>
      <c r="AB109" s="5180" t="s">
        <v>2488</v>
      </c>
      <c r="AC109" s="5175"/>
      <c r="AD109" s="5175"/>
      <c r="AE109" s="5175"/>
      <c r="AF109" s="5175"/>
      <c r="AG109" s="5175"/>
      <c r="AH109" s="5175"/>
      <c r="AI109" s="5175"/>
      <c r="AJ109" s="5175"/>
      <c r="AK109" s="1867"/>
      <c r="BH109" s="3466">
        <v>194</v>
      </c>
      <c r="BI109" s="3467">
        <v>6.0199999999999997E-2</v>
      </c>
    </row>
    <row r="110" spans="1:61">
      <c r="A110" s="1867"/>
      <c r="B110" s="2581"/>
      <c r="C110" s="2581"/>
      <c r="D110" s="5170"/>
      <c r="E110" s="5170"/>
      <c r="F110" s="5170"/>
      <c r="G110" s="5170"/>
      <c r="H110" s="5170"/>
      <c r="I110" s="5171"/>
      <c r="J110" s="5177"/>
      <c r="K110" s="5178"/>
      <c r="L110" s="5178"/>
      <c r="M110" s="5178"/>
      <c r="N110" s="5178"/>
      <c r="O110" s="5178"/>
      <c r="P110" s="5178"/>
      <c r="Q110" s="5178"/>
      <c r="R110" s="5179"/>
      <c r="S110" s="5177"/>
      <c r="T110" s="5178"/>
      <c r="U110" s="5178"/>
      <c r="V110" s="5178"/>
      <c r="W110" s="5178"/>
      <c r="X110" s="5178"/>
      <c r="Y110" s="5178"/>
      <c r="Z110" s="5178"/>
      <c r="AA110" s="5179"/>
      <c r="AB110" s="5177"/>
      <c r="AC110" s="5178"/>
      <c r="AD110" s="5178"/>
      <c r="AE110" s="5178"/>
      <c r="AF110" s="5178"/>
      <c r="AG110" s="5178"/>
      <c r="AH110" s="5178"/>
      <c r="AI110" s="5178"/>
      <c r="AJ110" s="5178"/>
      <c r="AK110" s="1867"/>
      <c r="BH110" s="3466">
        <v>195</v>
      </c>
      <c r="BI110" s="3467">
        <v>6.0699999999999997E-2</v>
      </c>
    </row>
    <row r="111" spans="1:61">
      <c r="A111" s="1867"/>
      <c r="B111" s="2581"/>
      <c r="C111" s="2581"/>
      <c r="D111" s="5170"/>
      <c r="E111" s="5170"/>
      <c r="F111" s="5170"/>
      <c r="G111" s="5170"/>
      <c r="H111" s="5170"/>
      <c r="I111" s="5171"/>
      <c r="J111" s="5177"/>
      <c r="K111" s="5178"/>
      <c r="L111" s="5178"/>
      <c r="M111" s="5178"/>
      <c r="N111" s="5178"/>
      <c r="O111" s="5178"/>
      <c r="P111" s="5178"/>
      <c r="Q111" s="5178"/>
      <c r="R111" s="5179"/>
      <c r="S111" s="5177"/>
      <c r="T111" s="5178"/>
      <c r="U111" s="5178"/>
      <c r="V111" s="5178"/>
      <c r="W111" s="5178"/>
      <c r="X111" s="5178"/>
      <c r="Y111" s="5178"/>
      <c r="Z111" s="5178"/>
      <c r="AA111" s="5179"/>
      <c r="AB111" s="5177"/>
      <c r="AC111" s="5178"/>
      <c r="AD111" s="5178"/>
      <c r="AE111" s="5178"/>
      <c r="AF111" s="5178"/>
      <c r="AG111" s="5178"/>
      <c r="AH111" s="5178"/>
      <c r="AI111" s="5178"/>
      <c r="AJ111" s="5178"/>
      <c r="AK111" s="1867"/>
      <c r="BH111" s="3466">
        <v>196</v>
      </c>
      <c r="BI111" s="3467">
        <v>6.1199999999999997E-2</v>
      </c>
    </row>
    <row r="112" spans="1:61">
      <c r="A112" s="1867"/>
      <c r="B112" s="2581"/>
      <c r="C112" s="2581"/>
      <c r="D112" s="5170"/>
      <c r="E112" s="5170"/>
      <c r="F112" s="5170"/>
      <c r="G112" s="5170"/>
      <c r="H112" s="5170"/>
      <c r="I112" s="5171"/>
      <c r="J112" s="5177"/>
      <c r="K112" s="5178"/>
      <c r="L112" s="5178"/>
      <c r="M112" s="5178"/>
      <c r="N112" s="5178"/>
      <c r="O112" s="5178"/>
      <c r="P112" s="5178"/>
      <c r="Q112" s="5178"/>
      <c r="R112" s="5179"/>
      <c r="S112" s="5177"/>
      <c r="T112" s="5178"/>
      <c r="U112" s="5178"/>
      <c r="V112" s="5178"/>
      <c r="W112" s="5178"/>
      <c r="X112" s="5178"/>
      <c r="Y112" s="5178"/>
      <c r="Z112" s="5178"/>
      <c r="AA112" s="5179"/>
      <c r="AB112" s="5177"/>
      <c r="AC112" s="5178"/>
      <c r="AD112" s="5178"/>
      <c r="AE112" s="5178"/>
      <c r="AF112" s="5178"/>
      <c r="AG112" s="5178"/>
      <c r="AH112" s="5178"/>
      <c r="AI112" s="5178"/>
      <c r="AJ112" s="5178"/>
      <c r="AK112" s="1867"/>
      <c r="BH112" s="3466">
        <v>197</v>
      </c>
      <c r="BI112" s="3467">
        <v>6.1600000000000002E-2</v>
      </c>
    </row>
    <row r="113" spans="1:61">
      <c r="A113" s="1867"/>
      <c r="B113" s="3387"/>
      <c r="C113" s="3387"/>
      <c r="D113" s="5172"/>
      <c r="E113" s="5172"/>
      <c r="F113" s="5172"/>
      <c r="G113" s="5172"/>
      <c r="H113" s="5172"/>
      <c r="I113" s="5173"/>
      <c r="J113" s="5181"/>
      <c r="K113" s="5182"/>
      <c r="L113" s="5182"/>
      <c r="M113" s="5182"/>
      <c r="N113" s="5182"/>
      <c r="O113" s="5183"/>
      <c r="P113" s="5183"/>
      <c r="Q113" s="5183"/>
      <c r="R113" s="5184"/>
      <c r="S113" s="5181"/>
      <c r="T113" s="5182"/>
      <c r="U113" s="5182"/>
      <c r="V113" s="5182"/>
      <c r="W113" s="5182"/>
      <c r="X113" s="5183"/>
      <c r="Y113" s="5183"/>
      <c r="Z113" s="5183"/>
      <c r="AA113" s="5184"/>
      <c r="AB113" s="5182"/>
      <c r="AC113" s="5182"/>
      <c r="AD113" s="5182"/>
      <c r="AE113" s="5182"/>
      <c r="AF113" s="5182"/>
      <c r="AG113" s="5183"/>
      <c r="AH113" s="5183"/>
      <c r="AI113" s="5183"/>
      <c r="AJ113" s="5183"/>
      <c r="AK113" s="1867"/>
      <c r="BH113" s="3466">
        <v>198</v>
      </c>
      <c r="BI113" s="3467">
        <v>6.2100000000000002E-2</v>
      </c>
    </row>
    <row r="114" spans="1:61" ht="15">
      <c r="A114" s="1867"/>
      <c r="B114" s="3395" t="s">
        <v>2495</v>
      </c>
      <c r="C114" s="2581" t="s">
        <v>2496</v>
      </c>
      <c r="D114" s="2581"/>
      <c r="E114" s="2581"/>
      <c r="F114" s="2581"/>
      <c r="G114" s="2581"/>
      <c r="H114" s="2581"/>
      <c r="I114" s="2581"/>
      <c r="J114" s="2581"/>
      <c r="K114" s="2581"/>
      <c r="L114" s="2581"/>
      <c r="M114" s="2581"/>
      <c r="N114" s="2581"/>
      <c r="O114" s="2581"/>
      <c r="P114" s="2581"/>
      <c r="Q114" s="2581"/>
      <c r="R114" s="2581"/>
      <c r="S114" s="2581"/>
      <c r="T114" s="2581"/>
      <c r="U114" s="2581"/>
      <c r="V114" s="2581"/>
      <c r="W114" s="2581"/>
      <c r="X114" s="2581"/>
      <c r="Y114" s="2581"/>
      <c r="Z114" s="2581"/>
      <c r="AA114" s="2581"/>
      <c r="AB114" s="2581"/>
      <c r="AC114" s="2581"/>
      <c r="AD114" s="2581"/>
      <c r="AE114" s="2581"/>
      <c r="AF114" s="2581"/>
      <c r="AG114" s="2581"/>
      <c r="AH114" s="2581"/>
      <c r="AI114" s="2581"/>
      <c r="AJ114" s="2581"/>
      <c r="AK114" s="1867"/>
      <c r="BH114" s="3466">
        <v>199</v>
      </c>
      <c r="BI114" s="3467">
        <v>6.25E-2</v>
      </c>
    </row>
    <row r="115" spans="1:61" ht="15.75">
      <c r="A115" s="1867"/>
      <c r="B115" s="2581"/>
      <c r="C115" s="3376"/>
      <c r="D115" s="3422" t="s">
        <v>2500</v>
      </c>
      <c r="E115" s="2581"/>
      <c r="F115" s="2581"/>
      <c r="G115" s="2581"/>
      <c r="H115" s="2581"/>
      <c r="I115" s="2581"/>
      <c r="J115" s="2581"/>
      <c r="K115" s="2581"/>
      <c r="L115" s="2581"/>
      <c r="M115" s="2581"/>
      <c r="N115" s="2581"/>
      <c r="O115" s="2581"/>
      <c r="P115" s="2581"/>
      <c r="Q115" s="2581"/>
      <c r="R115" s="2581"/>
      <c r="S115" s="2581"/>
      <c r="T115" s="2581"/>
      <c r="U115" s="2581"/>
      <c r="V115" s="2581"/>
      <c r="W115" s="2581"/>
      <c r="X115" s="2581"/>
      <c r="Y115" s="2581"/>
      <c r="Z115" s="2581"/>
      <c r="AA115" s="2581"/>
      <c r="AB115" s="2581"/>
      <c r="AC115" s="2581"/>
      <c r="AD115" s="2581"/>
      <c r="AE115" s="2581"/>
      <c r="AF115" s="2581"/>
      <c r="AG115" s="2581"/>
      <c r="AH115" s="2581"/>
      <c r="AI115" s="2581"/>
      <c r="AJ115" s="2581"/>
      <c r="AK115" s="1867"/>
      <c r="BH115" s="3466">
        <v>200</v>
      </c>
      <c r="BI115" s="3467">
        <v>6.3E-2</v>
      </c>
    </row>
    <row r="116" spans="1:61">
      <c r="A116" s="1867"/>
      <c r="B116" s="2581"/>
      <c r="C116" s="2581" t="s">
        <v>2497</v>
      </c>
      <c r="D116" s="2581"/>
      <c r="E116" s="2581"/>
      <c r="F116" s="2581"/>
      <c r="G116" s="2581"/>
      <c r="H116" s="2581"/>
      <c r="I116" s="2581"/>
      <c r="J116" s="2581"/>
      <c r="K116" s="2581"/>
      <c r="L116" s="2581"/>
      <c r="M116" s="2581"/>
      <c r="N116" s="2581"/>
      <c r="O116" s="2581"/>
      <c r="P116" s="2581"/>
      <c r="Q116" s="2581"/>
      <c r="R116" s="2581"/>
      <c r="S116" s="2581"/>
      <c r="T116" s="2581"/>
      <c r="U116" s="2581"/>
      <c r="V116" s="2581"/>
      <c r="W116" s="2581"/>
      <c r="X116" s="2581"/>
      <c r="Y116" s="2581"/>
      <c r="Z116" s="2581"/>
      <c r="AA116" s="2581"/>
      <c r="AB116" s="2581"/>
      <c r="AC116" s="2581"/>
      <c r="AD116" s="2581"/>
      <c r="AE116" s="2581"/>
      <c r="AF116" s="2581"/>
      <c r="AG116" s="2581"/>
      <c r="AH116" s="2581"/>
      <c r="AI116" s="2581"/>
      <c r="AJ116" s="2581"/>
      <c r="AK116" s="1867"/>
      <c r="BH116" s="3466">
        <v>201</v>
      </c>
      <c r="BI116" s="3467">
        <v>6.3399999999999998E-2</v>
      </c>
    </row>
    <row r="117" spans="1:61">
      <c r="A117" s="1867"/>
      <c r="B117" s="2581"/>
      <c r="C117" s="2581" t="s">
        <v>2498</v>
      </c>
      <c r="D117" s="2581"/>
      <c r="E117" s="2581"/>
      <c r="F117" s="2581"/>
      <c r="G117" s="2581"/>
      <c r="H117" s="2581"/>
      <c r="I117" s="2581"/>
      <c r="J117" s="2581"/>
      <c r="K117" s="2581"/>
      <c r="L117" s="2581"/>
      <c r="M117" s="2581"/>
      <c r="N117" s="2581"/>
      <c r="O117" s="2581"/>
      <c r="P117" s="2581"/>
      <c r="Q117" s="2581"/>
      <c r="R117" s="2581"/>
      <c r="S117" s="2581"/>
      <c r="T117" s="2581"/>
      <c r="U117" s="2581"/>
      <c r="V117" s="2581"/>
      <c r="W117" s="2581"/>
      <c r="X117" s="2581"/>
      <c r="Y117" s="2581"/>
      <c r="Z117" s="2581"/>
      <c r="AA117" s="2581"/>
      <c r="AB117" s="2581"/>
      <c r="AC117" s="2581"/>
      <c r="AD117" s="2581"/>
      <c r="AE117" s="2581"/>
      <c r="AF117" s="2581"/>
      <c r="AG117" s="2581"/>
      <c r="AH117" s="2581"/>
      <c r="AI117" s="2581"/>
      <c r="AJ117" s="2581"/>
      <c r="AK117" s="1867"/>
      <c r="BH117" s="3466">
        <v>202</v>
      </c>
      <c r="BI117" s="3467">
        <v>6.3700000000000007E-2</v>
      </c>
    </row>
    <row r="118" spans="1:61">
      <c r="A118" s="1867"/>
      <c r="B118" s="2581"/>
      <c r="C118" s="2581"/>
      <c r="D118" s="2581"/>
      <c r="E118" s="2581"/>
      <c r="F118" s="2581"/>
      <c r="G118" s="2581"/>
      <c r="H118" s="2581"/>
      <c r="I118" s="2581"/>
      <c r="J118" s="2581"/>
      <c r="K118" s="2581"/>
      <c r="L118" s="2581"/>
      <c r="M118" s="2581"/>
      <c r="N118" s="2581"/>
      <c r="O118" s="2581"/>
      <c r="P118" s="2581"/>
      <c r="Q118" s="2581"/>
      <c r="R118" s="2581"/>
      <c r="S118" s="2581"/>
      <c r="T118" s="2581"/>
      <c r="U118" s="2581"/>
      <c r="V118" s="2581"/>
      <c r="W118" s="2581"/>
      <c r="X118" s="2581"/>
      <c r="Y118" s="2581"/>
      <c r="Z118" s="2581"/>
      <c r="AA118" s="2581"/>
      <c r="AB118" s="2581"/>
      <c r="AC118" s="2581"/>
      <c r="AD118" s="2581"/>
      <c r="AE118" s="2581"/>
      <c r="AF118" s="2581"/>
      <c r="AG118" s="2581"/>
      <c r="AH118" s="2581"/>
      <c r="AI118" s="2581"/>
      <c r="AJ118" s="2581"/>
      <c r="AK118" s="1867"/>
      <c r="BH118" s="3466">
        <v>203</v>
      </c>
      <c r="BI118" s="3467">
        <v>6.4100000000000004E-2</v>
      </c>
    </row>
    <row r="119" spans="1:61">
      <c r="A119" s="1867"/>
      <c r="B119" s="2581"/>
      <c r="C119" s="2581"/>
      <c r="D119" s="2581"/>
      <c r="E119" s="2581"/>
      <c r="F119" s="2581"/>
      <c r="G119" s="2581"/>
      <c r="H119" s="2581"/>
      <c r="I119" s="2581"/>
      <c r="J119" s="2581"/>
      <c r="K119" s="2581"/>
      <c r="L119" s="2581"/>
      <c r="M119" s="2581"/>
      <c r="N119" s="2581"/>
      <c r="O119" s="2581"/>
      <c r="P119" s="2581"/>
      <c r="Q119" s="2581"/>
      <c r="R119" s="2581"/>
      <c r="S119" s="2581"/>
      <c r="T119" s="2581"/>
      <c r="U119" s="2581"/>
      <c r="V119" s="2581"/>
      <c r="W119" s="2581"/>
      <c r="X119" s="2581"/>
      <c r="Y119" s="2581"/>
      <c r="Z119" s="2581"/>
      <c r="AA119" s="2581"/>
      <c r="AB119" s="2581"/>
      <c r="AC119" s="2581"/>
      <c r="AD119" s="2581"/>
      <c r="AE119" s="2581"/>
      <c r="AF119" s="2581"/>
      <c r="AG119" s="2581"/>
      <c r="AH119" s="2581"/>
      <c r="AI119" s="2581"/>
      <c r="AJ119" s="2581"/>
      <c r="AK119" s="1867"/>
      <c r="BH119" s="3466">
        <v>204</v>
      </c>
      <c r="BI119" s="3467">
        <v>6.4399999999999999E-2</v>
      </c>
    </row>
    <row r="120" spans="1:61" ht="18" customHeight="1">
      <c r="A120" s="1867"/>
      <c r="B120" s="2581"/>
      <c r="C120" s="3376"/>
      <c r="D120" s="3422" t="s">
        <v>2499</v>
      </c>
      <c r="E120" s="2581"/>
      <c r="F120" s="2581"/>
      <c r="G120" s="2581"/>
      <c r="H120" s="2581"/>
      <c r="I120" s="2581"/>
      <c r="J120" s="2581"/>
      <c r="K120" s="2581"/>
      <c r="L120" s="2581"/>
      <c r="M120" s="2581"/>
      <c r="N120" s="2581"/>
      <c r="O120" s="2581"/>
      <c r="P120" s="2581"/>
      <c r="Q120" s="2581"/>
      <c r="R120" s="2581"/>
      <c r="S120" s="2581"/>
      <c r="T120" s="2581"/>
      <c r="U120" s="2581"/>
      <c r="V120" s="2581"/>
      <c r="W120" s="2581"/>
      <c r="X120" s="2581"/>
      <c r="Y120" s="2581"/>
      <c r="Z120" s="2581"/>
      <c r="AA120" s="2581"/>
      <c r="AB120" s="2581"/>
      <c r="AC120" s="2581"/>
      <c r="AD120" s="2581"/>
      <c r="AE120" s="2581"/>
      <c r="AF120" s="2581"/>
      <c r="AG120" s="2581"/>
      <c r="AH120" s="2581"/>
      <c r="AI120" s="2581"/>
      <c r="AJ120" s="2581"/>
      <c r="AK120" s="1867"/>
      <c r="BH120" s="3466">
        <v>205</v>
      </c>
      <c r="BI120" s="3467">
        <v>6.4799999999999996E-2</v>
      </c>
    </row>
    <row r="121" spans="1:61" ht="13.5" thickBot="1">
      <c r="A121" s="1867"/>
      <c r="B121" s="2581"/>
      <c r="C121" s="2581"/>
      <c r="D121" s="2581"/>
      <c r="E121" s="2581"/>
      <c r="F121" s="2581"/>
      <c r="G121" s="2581"/>
      <c r="H121" s="2581"/>
      <c r="I121" s="2581"/>
      <c r="J121" s="2581"/>
      <c r="K121" s="2581"/>
      <c r="L121" s="2581"/>
      <c r="M121" s="2581"/>
      <c r="N121" s="2581"/>
      <c r="O121" s="2581"/>
      <c r="P121" s="2581"/>
      <c r="Q121" s="2581"/>
      <c r="R121" s="2581"/>
      <c r="S121" s="2581"/>
      <c r="T121" s="2581"/>
      <c r="U121" s="2581"/>
      <c r="V121" s="2581"/>
      <c r="W121" s="2581"/>
      <c r="X121" s="2581"/>
      <c r="Y121" s="2581"/>
      <c r="Z121" s="2581"/>
      <c r="AA121" s="2581"/>
      <c r="AB121" s="2581"/>
      <c r="AC121" s="2581"/>
      <c r="AD121" s="2581"/>
      <c r="AE121" s="2581"/>
      <c r="AF121" s="2581"/>
      <c r="AG121" s="2581"/>
      <c r="AH121" s="2581"/>
      <c r="AI121" s="2581"/>
      <c r="AJ121" s="2581"/>
      <c r="AK121" s="1867"/>
      <c r="BH121" s="3466">
        <v>206</v>
      </c>
      <c r="BI121" s="3467">
        <v>6.5100000000000005E-2</v>
      </c>
    </row>
    <row r="122" spans="1:61" ht="15.75">
      <c r="A122" s="1867"/>
      <c r="B122" s="3423" t="s">
        <v>2501</v>
      </c>
      <c r="C122" s="3424"/>
      <c r="D122" s="3424"/>
      <c r="E122" s="3424"/>
      <c r="F122" s="3424"/>
      <c r="G122" s="3424"/>
      <c r="H122" s="3424"/>
      <c r="I122" s="3424"/>
      <c r="J122" s="3424"/>
      <c r="K122" s="3424"/>
      <c r="L122" s="3424"/>
      <c r="M122" s="3424"/>
      <c r="N122" s="3424"/>
      <c r="O122" s="3424"/>
      <c r="P122" s="3424"/>
      <c r="Q122" s="3424"/>
      <c r="R122" s="3424"/>
      <c r="S122" s="3424"/>
      <c r="T122" s="3424"/>
      <c r="U122" s="3424"/>
      <c r="V122" s="3424"/>
      <c r="W122" s="3424"/>
      <c r="X122" s="3424"/>
      <c r="Y122" s="3424"/>
      <c r="Z122" s="3424"/>
      <c r="AA122" s="3424"/>
      <c r="AB122" s="3424"/>
      <c r="AC122" s="3424"/>
      <c r="AD122" s="3424"/>
      <c r="AE122" s="3424"/>
      <c r="AF122" s="3424"/>
      <c r="AG122" s="3424"/>
      <c r="AH122" s="3424"/>
      <c r="AI122" s="3424"/>
      <c r="AJ122" s="3424"/>
      <c r="AK122" s="1867"/>
      <c r="BH122" s="3466">
        <v>207</v>
      </c>
      <c r="BI122" s="3467">
        <v>6.5500000000000003E-2</v>
      </c>
    </row>
    <row r="123" spans="1:61">
      <c r="A123" s="1867"/>
      <c r="B123" s="2581" t="s">
        <v>2502</v>
      </c>
      <c r="C123" s="2581"/>
      <c r="D123" s="2581"/>
      <c r="E123" s="2581"/>
      <c r="F123" s="2581"/>
      <c r="G123" s="2581"/>
      <c r="H123" s="2581"/>
      <c r="I123" s="2581"/>
      <c r="J123" s="2581"/>
      <c r="K123" s="2581"/>
      <c r="L123" s="2581"/>
      <c r="M123" s="2581"/>
      <c r="N123" s="2581"/>
      <c r="O123" s="2581"/>
      <c r="P123" s="2581"/>
      <c r="Q123" s="2581"/>
      <c r="R123" s="2581"/>
      <c r="S123" s="2581"/>
      <c r="T123" s="2581"/>
      <c r="U123" s="2581"/>
      <c r="V123" s="2581"/>
      <c r="W123" s="2581"/>
      <c r="X123" s="2581"/>
      <c r="Y123" s="2581"/>
      <c r="Z123" s="2581"/>
      <c r="AA123" s="2581"/>
      <c r="AB123" s="2581"/>
      <c r="AC123" s="2581"/>
      <c r="AD123" s="2581"/>
      <c r="AE123" s="2581"/>
      <c r="AF123" s="2581"/>
      <c r="AG123" s="2581"/>
      <c r="AH123" s="2581"/>
      <c r="AI123" s="2581"/>
      <c r="AJ123" s="2581"/>
      <c r="AK123" s="1867"/>
      <c r="BH123" s="3466">
        <v>208</v>
      </c>
      <c r="BI123" s="3467">
        <v>6.5799999999999997E-2</v>
      </c>
    </row>
    <row r="124" spans="1:61" ht="16.5" customHeight="1">
      <c r="A124" s="1867"/>
      <c r="B124" s="3387" t="s">
        <v>2503</v>
      </c>
      <c r="C124" s="3387"/>
      <c r="D124" s="3387"/>
      <c r="E124" s="3387"/>
      <c r="F124" s="3387"/>
      <c r="G124" s="3387"/>
      <c r="H124" s="3387"/>
      <c r="I124" s="3387"/>
      <c r="J124" s="3387"/>
      <c r="K124" s="3387"/>
      <c r="L124" s="3387"/>
      <c r="M124" s="3387"/>
      <c r="N124" s="3387"/>
      <c r="O124" s="3387"/>
      <c r="P124" s="3387"/>
      <c r="Q124" s="3387"/>
      <c r="R124" s="3387"/>
      <c r="S124" s="3387"/>
      <c r="T124" s="3387"/>
      <c r="U124" s="3387"/>
      <c r="V124" s="3387"/>
      <c r="W124" s="3387"/>
      <c r="X124" s="3387"/>
      <c r="Y124" s="3387"/>
      <c r="Z124" s="3387"/>
      <c r="AA124" s="3387"/>
      <c r="AB124" s="3387"/>
      <c r="AC124" s="3387"/>
      <c r="AD124" s="3387"/>
      <c r="AE124" s="3387"/>
      <c r="AF124" s="3387"/>
      <c r="AG124" s="3387"/>
      <c r="AH124" s="3387"/>
      <c r="AI124" s="3387"/>
      <c r="AJ124" s="3387"/>
      <c r="AK124" s="1867"/>
      <c r="BH124" s="3466">
        <v>209</v>
      </c>
      <c r="BI124" s="3467">
        <v>6.6199999999999995E-2</v>
      </c>
    </row>
    <row r="125" spans="1:61" ht="15">
      <c r="A125" s="1867"/>
      <c r="B125" s="3395" t="s">
        <v>2510</v>
      </c>
      <c r="C125" s="5193" t="s">
        <v>2508</v>
      </c>
      <c r="D125" s="5194"/>
      <c r="E125" s="5194"/>
      <c r="F125" s="5194"/>
      <c r="G125" s="5194"/>
      <c r="H125" s="5195"/>
      <c r="I125" s="3418" t="s">
        <v>62</v>
      </c>
      <c r="J125" s="5198" t="s">
        <v>2504</v>
      </c>
      <c r="K125" s="5198"/>
      <c r="L125" s="5198"/>
      <c r="M125" s="5198"/>
      <c r="N125" s="5198"/>
      <c r="O125" s="5199"/>
      <c r="P125" s="3421" t="s">
        <v>85</v>
      </c>
      <c r="Q125" s="5198" t="s">
        <v>2505</v>
      </c>
      <c r="R125" s="5198"/>
      <c r="S125" s="5198"/>
      <c r="T125" s="5198"/>
      <c r="U125" s="5198"/>
      <c r="V125" s="5199"/>
      <c r="W125" s="3421" t="s">
        <v>86</v>
      </c>
      <c r="X125" s="5198" t="s">
        <v>2506</v>
      </c>
      <c r="Y125" s="5198"/>
      <c r="Z125" s="5198"/>
      <c r="AA125" s="5198"/>
      <c r="AB125" s="5198"/>
      <c r="AC125" s="5199"/>
      <c r="AD125" s="3421" t="s">
        <v>154</v>
      </c>
      <c r="AE125" s="5198" t="s">
        <v>2507</v>
      </c>
      <c r="AF125" s="5198"/>
      <c r="AG125" s="5198"/>
      <c r="AH125" s="5198"/>
      <c r="AI125" s="5198"/>
      <c r="AJ125" s="5198"/>
      <c r="AK125" s="1867"/>
      <c r="BH125" s="3466">
        <v>210</v>
      </c>
      <c r="BI125" s="3467">
        <v>6.6500000000000004E-2</v>
      </c>
    </row>
    <row r="126" spans="1:61" ht="27" customHeight="1">
      <c r="A126" s="1867"/>
      <c r="B126" s="3425"/>
      <c r="C126" s="5196"/>
      <c r="D126" s="5196"/>
      <c r="E126" s="5196"/>
      <c r="F126" s="5196"/>
      <c r="G126" s="5196"/>
      <c r="H126" s="5197"/>
      <c r="I126" s="5181"/>
      <c r="J126" s="5182"/>
      <c r="K126" s="5182"/>
      <c r="L126" s="5182"/>
      <c r="M126" s="5182"/>
      <c r="N126" s="5183"/>
      <c r="O126" s="5183"/>
      <c r="P126" s="5181"/>
      <c r="Q126" s="5182"/>
      <c r="R126" s="5182"/>
      <c r="S126" s="5182"/>
      <c r="T126" s="5182"/>
      <c r="U126" s="5183"/>
      <c r="V126" s="5183"/>
      <c r="W126" s="5181"/>
      <c r="X126" s="5182"/>
      <c r="Y126" s="5182"/>
      <c r="Z126" s="5182"/>
      <c r="AA126" s="5182"/>
      <c r="AB126" s="5183"/>
      <c r="AC126" s="5183"/>
      <c r="AD126" s="5181"/>
      <c r="AE126" s="5182"/>
      <c r="AF126" s="5182"/>
      <c r="AG126" s="5182"/>
      <c r="AH126" s="5182"/>
      <c r="AI126" s="5183"/>
      <c r="AJ126" s="5183"/>
      <c r="AK126" s="1867"/>
      <c r="BH126" s="3466">
        <v>211</v>
      </c>
      <c r="BI126" s="3467">
        <v>6.6900000000000001E-2</v>
      </c>
    </row>
    <row r="127" spans="1:61" ht="15">
      <c r="A127" s="1867"/>
      <c r="B127" s="3395" t="s">
        <v>2511</v>
      </c>
      <c r="C127" s="5193" t="s">
        <v>2509</v>
      </c>
      <c r="D127" s="5194"/>
      <c r="E127" s="5194"/>
      <c r="F127" s="5194"/>
      <c r="G127" s="5194"/>
      <c r="H127" s="5195"/>
      <c r="I127" s="3418" t="s">
        <v>62</v>
      </c>
      <c r="J127" s="5198" t="s">
        <v>2504</v>
      </c>
      <c r="K127" s="5198"/>
      <c r="L127" s="5198"/>
      <c r="M127" s="5198"/>
      <c r="N127" s="5198"/>
      <c r="O127" s="5199"/>
      <c r="P127" s="3421" t="s">
        <v>85</v>
      </c>
      <c r="Q127" s="5198" t="s">
        <v>2505</v>
      </c>
      <c r="R127" s="5198"/>
      <c r="S127" s="5198"/>
      <c r="T127" s="5198"/>
      <c r="U127" s="5198"/>
      <c r="V127" s="5199"/>
      <c r="W127" s="3421" t="s">
        <v>86</v>
      </c>
      <c r="X127" s="5198" t="s">
        <v>2506</v>
      </c>
      <c r="Y127" s="5198"/>
      <c r="Z127" s="5198"/>
      <c r="AA127" s="5198"/>
      <c r="AB127" s="5198"/>
      <c r="AC127" s="5199"/>
      <c r="AD127" s="3421" t="s">
        <v>154</v>
      </c>
      <c r="AE127" s="5198" t="s">
        <v>2507</v>
      </c>
      <c r="AF127" s="5198"/>
      <c r="AG127" s="5198"/>
      <c r="AH127" s="5198"/>
      <c r="AI127" s="5198"/>
      <c r="AJ127" s="5198"/>
      <c r="AK127" s="1867"/>
      <c r="AL127" s="3369"/>
      <c r="AM127" s="3370"/>
      <c r="AN127" s="3369"/>
      <c r="BH127" s="3466">
        <v>212</v>
      </c>
      <c r="BI127" s="3467">
        <v>6.7199999999999996E-2</v>
      </c>
    </row>
    <row r="128" spans="1:61" ht="20.25" customHeight="1">
      <c r="A128" s="1867"/>
      <c r="B128" s="3425"/>
      <c r="C128" s="5196"/>
      <c r="D128" s="5196"/>
      <c r="E128" s="5196"/>
      <c r="F128" s="5196"/>
      <c r="G128" s="5196"/>
      <c r="H128" s="5197"/>
      <c r="I128" s="5181"/>
      <c r="J128" s="5182"/>
      <c r="K128" s="5182"/>
      <c r="L128" s="5182"/>
      <c r="M128" s="5182"/>
      <c r="N128" s="5183"/>
      <c r="O128" s="5183"/>
      <c r="P128" s="5181"/>
      <c r="Q128" s="5182"/>
      <c r="R128" s="5182"/>
      <c r="S128" s="5182"/>
      <c r="T128" s="5182"/>
      <c r="U128" s="5183"/>
      <c r="V128" s="5183"/>
      <c r="W128" s="5181"/>
      <c r="X128" s="5182"/>
      <c r="Y128" s="5182"/>
      <c r="Z128" s="5182"/>
      <c r="AA128" s="5182"/>
      <c r="AB128" s="5183"/>
      <c r="AC128" s="5183"/>
      <c r="AD128" s="5181"/>
      <c r="AE128" s="5182"/>
      <c r="AF128" s="5182"/>
      <c r="AG128" s="5182"/>
      <c r="AH128" s="5182"/>
      <c r="AI128" s="5183"/>
      <c r="AJ128" s="5183"/>
      <c r="AK128" s="1867"/>
      <c r="BH128" s="3466">
        <v>213</v>
      </c>
      <c r="BI128" s="3467">
        <v>6.7599999999999993E-2</v>
      </c>
    </row>
    <row r="129" spans="1:61" ht="16.5" thickBot="1">
      <c r="A129" s="3371"/>
      <c r="B129" s="3372"/>
      <c r="C129" s="3373"/>
      <c r="D129" s="3373"/>
      <c r="E129" s="3373"/>
      <c r="F129" s="3373"/>
      <c r="G129" s="3373"/>
      <c r="H129" s="3373"/>
      <c r="I129" s="3373"/>
      <c r="J129" s="3373"/>
      <c r="K129" s="3373"/>
      <c r="L129" s="3373"/>
      <c r="M129" s="3373"/>
      <c r="N129" s="3373"/>
      <c r="O129" s="3373"/>
      <c r="P129" s="3373"/>
      <c r="Q129" s="55"/>
      <c r="R129" s="55"/>
      <c r="S129" s="55"/>
      <c r="T129" s="55"/>
      <c r="U129" s="3374"/>
      <c r="V129" s="55"/>
      <c r="W129" s="3374"/>
      <c r="X129" s="55"/>
      <c r="Y129" s="55"/>
      <c r="Z129" s="55"/>
      <c r="AA129" s="55"/>
      <c r="AB129" s="55"/>
      <c r="AC129" s="55"/>
      <c r="AD129" s="55"/>
      <c r="AE129" s="55"/>
      <c r="AF129" s="55"/>
      <c r="AG129" s="55"/>
      <c r="AH129" s="3375" t="s">
        <v>2470</v>
      </c>
      <c r="AI129" s="55"/>
      <c r="AJ129" s="3375" t="str">
        <f>"("&amp;TaxYear&amp;")"</f>
        <v>(2014)</v>
      </c>
      <c r="AK129" s="1867"/>
      <c r="BH129" s="3466">
        <v>214</v>
      </c>
      <c r="BI129" s="3467">
        <v>6.7900000000000002E-2</v>
      </c>
    </row>
    <row r="130" spans="1:61">
      <c r="A130" s="1867"/>
      <c r="B130" s="1867"/>
      <c r="C130" s="1867"/>
      <c r="D130" s="1867"/>
      <c r="E130" s="1867"/>
      <c r="F130" s="1867"/>
      <c r="G130" s="1867"/>
      <c r="H130" s="1867"/>
      <c r="I130" s="1867"/>
      <c r="J130" s="1867"/>
      <c r="K130" s="1867"/>
      <c r="L130" s="1867"/>
      <c r="M130" s="1867"/>
      <c r="N130" s="1867"/>
      <c r="O130" s="1867"/>
      <c r="P130" s="1867"/>
      <c r="Q130" s="1867"/>
      <c r="R130" s="1867"/>
      <c r="S130" s="1867"/>
      <c r="T130" s="1867"/>
      <c r="U130" s="1867"/>
      <c r="V130" s="1867"/>
      <c r="W130" s="1867"/>
      <c r="X130" s="1867"/>
      <c r="Y130" s="1867"/>
      <c r="Z130" s="1867"/>
      <c r="AA130" s="1867"/>
      <c r="AB130" s="1867"/>
      <c r="AC130" s="1867"/>
      <c r="AD130" s="1867"/>
      <c r="AE130" s="1867"/>
      <c r="AF130" s="1867"/>
      <c r="AG130" s="1867"/>
      <c r="AH130" s="1867"/>
      <c r="AI130" s="1867"/>
      <c r="AJ130" s="1867"/>
      <c r="AK130" s="1867"/>
      <c r="BH130" s="3466">
        <v>215</v>
      </c>
      <c r="BI130" s="3467">
        <v>6.83E-2</v>
      </c>
    </row>
    <row r="131" spans="1:61">
      <c r="BH131" s="3466">
        <v>216</v>
      </c>
      <c r="BI131" s="3467">
        <v>6.8599999999999994E-2</v>
      </c>
    </row>
    <row r="132" spans="1:61">
      <c r="BH132" s="3466">
        <v>217</v>
      </c>
      <c r="BI132" s="3467">
        <v>6.9000000000000006E-2</v>
      </c>
    </row>
    <row r="133" spans="1:61">
      <c r="BH133" s="3466">
        <v>218</v>
      </c>
      <c r="BI133" s="3467">
        <v>6.93E-2</v>
      </c>
    </row>
    <row r="134" spans="1:61">
      <c r="BH134" s="3466">
        <v>219</v>
      </c>
      <c r="BI134" s="3467">
        <v>6.9699999999999998E-2</v>
      </c>
    </row>
    <row r="135" spans="1:61">
      <c r="BH135" s="3466">
        <v>220</v>
      </c>
      <c r="BI135" s="3467">
        <v>7.0000000000000007E-2</v>
      </c>
    </row>
    <row r="136" spans="1:61">
      <c r="BH136" s="3466">
        <v>221</v>
      </c>
      <c r="BI136" s="3467">
        <v>7.0400000000000004E-2</v>
      </c>
    </row>
    <row r="137" spans="1:61">
      <c r="BH137" s="3466">
        <v>222</v>
      </c>
      <c r="BI137" s="3467">
        <v>7.0699999999999999E-2</v>
      </c>
    </row>
    <row r="138" spans="1:61">
      <c r="BH138" s="3466">
        <v>223</v>
      </c>
      <c r="BI138" s="3467">
        <v>7.1099999999999997E-2</v>
      </c>
    </row>
    <row r="139" spans="1:61">
      <c r="BH139" s="3466">
        <v>224</v>
      </c>
      <c r="BI139" s="3467">
        <v>7.1400000000000005E-2</v>
      </c>
    </row>
    <row r="140" spans="1:61">
      <c r="BH140" s="3466">
        <v>225</v>
      </c>
      <c r="BI140" s="3467">
        <v>7.1800000000000003E-2</v>
      </c>
    </row>
    <row r="141" spans="1:61">
      <c r="BH141" s="3466">
        <v>226</v>
      </c>
      <c r="BI141" s="3467">
        <v>7.2099999999999997E-2</v>
      </c>
    </row>
    <row r="142" spans="1:61">
      <c r="BH142" s="3466">
        <v>227</v>
      </c>
      <c r="BI142" s="3467">
        <v>7.2499999999999995E-2</v>
      </c>
    </row>
    <row r="143" spans="1:61">
      <c r="BH143" s="3466">
        <v>228</v>
      </c>
      <c r="BI143" s="3467">
        <v>7.2800000000000004E-2</v>
      </c>
    </row>
    <row r="144" spans="1:61">
      <c r="BH144" s="3466">
        <v>229</v>
      </c>
      <c r="BI144" s="3467">
        <v>7.3200000000000001E-2</v>
      </c>
    </row>
    <row r="145" spans="60:61">
      <c r="BH145" s="3466">
        <v>230</v>
      </c>
      <c r="BI145" s="3467">
        <v>7.3499999999999996E-2</v>
      </c>
    </row>
    <row r="146" spans="60:61">
      <c r="BH146" s="3466">
        <v>231</v>
      </c>
      <c r="BI146" s="3467">
        <v>7.3899999999999993E-2</v>
      </c>
    </row>
    <row r="147" spans="60:61">
      <c r="BH147" s="3466">
        <v>232</v>
      </c>
      <c r="BI147" s="3467">
        <v>7.4200000000000002E-2</v>
      </c>
    </row>
    <row r="148" spans="60:61">
      <c r="BH148" s="3466">
        <v>233</v>
      </c>
      <c r="BI148" s="3467">
        <v>7.46E-2</v>
      </c>
    </row>
    <row r="149" spans="60:61">
      <c r="BH149" s="3466">
        <v>234</v>
      </c>
      <c r="BI149" s="3467">
        <v>7.4899999999999994E-2</v>
      </c>
    </row>
    <row r="150" spans="60:61">
      <c r="BH150" s="3466">
        <v>235</v>
      </c>
      <c r="BI150" s="3467">
        <v>7.5300000000000006E-2</v>
      </c>
    </row>
    <row r="151" spans="60:61">
      <c r="BH151" s="3466">
        <v>236</v>
      </c>
      <c r="BI151" s="3467">
        <v>7.5600000000000001E-2</v>
      </c>
    </row>
    <row r="152" spans="60:61">
      <c r="BH152" s="3466">
        <v>237</v>
      </c>
      <c r="BI152" s="3467">
        <v>7.5999999999999998E-2</v>
      </c>
    </row>
    <row r="153" spans="60:61">
      <c r="BH153" s="3466">
        <v>238</v>
      </c>
      <c r="BI153" s="3467">
        <v>7.6300000000000007E-2</v>
      </c>
    </row>
    <row r="154" spans="60:61">
      <c r="BH154" s="3466">
        <v>239</v>
      </c>
      <c r="BI154" s="3467">
        <v>7.6700000000000004E-2</v>
      </c>
    </row>
    <row r="155" spans="60:61">
      <c r="BH155" s="3466">
        <v>240</v>
      </c>
      <c r="BI155" s="3467">
        <v>7.6999999999999999E-2</v>
      </c>
    </row>
    <row r="156" spans="60:61">
      <c r="BH156" s="3466">
        <v>241</v>
      </c>
      <c r="BI156" s="3467">
        <v>7.7399999999999997E-2</v>
      </c>
    </row>
    <row r="157" spans="60:61">
      <c r="BH157" s="3466">
        <v>242</v>
      </c>
      <c r="BI157" s="3467">
        <v>7.7700000000000005E-2</v>
      </c>
    </row>
    <row r="158" spans="60:61">
      <c r="BH158" s="3466">
        <v>243</v>
      </c>
      <c r="BI158" s="3467">
        <v>7.8100000000000003E-2</v>
      </c>
    </row>
    <row r="159" spans="60:61">
      <c r="BH159" s="3466">
        <v>244</v>
      </c>
      <c r="BI159" s="3467">
        <v>7.8399999999999997E-2</v>
      </c>
    </row>
    <row r="160" spans="60:61">
      <c r="BH160" s="3466">
        <v>245</v>
      </c>
      <c r="BI160" s="3467">
        <v>7.8799999999999995E-2</v>
      </c>
    </row>
    <row r="161" spans="60:61">
      <c r="BH161" s="3466">
        <v>246</v>
      </c>
      <c r="BI161" s="3467">
        <v>7.9100000000000004E-2</v>
      </c>
    </row>
    <row r="162" spans="60:61">
      <c r="BH162" s="3466">
        <v>247</v>
      </c>
      <c r="BI162" s="3467">
        <v>7.9500000000000001E-2</v>
      </c>
    </row>
    <row r="163" spans="60:61">
      <c r="BH163" s="3466">
        <v>248</v>
      </c>
      <c r="BI163" s="3467">
        <v>7.9799999999999996E-2</v>
      </c>
    </row>
    <row r="164" spans="60:61">
      <c r="BH164" s="3466">
        <v>249</v>
      </c>
      <c r="BI164" s="3467">
        <v>8.0199999999999994E-2</v>
      </c>
    </row>
    <row r="165" spans="60:61">
      <c r="BH165" s="3466">
        <v>250</v>
      </c>
      <c r="BI165" s="3467">
        <v>8.0500000000000002E-2</v>
      </c>
    </row>
    <row r="166" spans="60:61">
      <c r="BH166" s="3466">
        <v>251</v>
      </c>
      <c r="BI166" s="3467">
        <v>8.0799999999999997E-2</v>
      </c>
    </row>
    <row r="167" spans="60:61">
      <c r="BH167" s="3466">
        <v>252</v>
      </c>
      <c r="BI167" s="3467">
        <v>8.1100000000000005E-2</v>
      </c>
    </row>
    <row r="168" spans="60:61">
      <c r="BH168" s="3466">
        <v>253</v>
      </c>
      <c r="BI168" s="3467">
        <v>8.14E-2</v>
      </c>
    </row>
    <row r="169" spans="60:61">
      <c r="BH169" s="3466">
        <v>254</v>
      </c>
      <c r="BI169" s="3467">
        <v>8.1699999999999995E-2</v>
      </c>
    </row>
    <row r="170" spans="60:61">
      <c r="BH170" s="3466">
        <v>255</v>
      </c>
      <c r="BI170" s="3467">
        <v>8.2000000000000003E-2</v>
      </c>
    </row>
    <row r="171" spans="60:61">
      <c r="BH171" s="3466">
        <v>256</v>
      </c>
      <c r="BI171" s="3467">
        <v>8.2199999999999995E-2</v>
      </c>
    </row>
    <row r="172" spans="60:61">
      <c r="BH172" s="3466">
        <v>257</v>
      </c>
      <c r="BI172" s="3467">
        <v>8.2500000000000004E-2</v>
      </c>
    </row>
    <row r="173" spans="60:61">
      <c r="BH173" s="3466">
        <v>258</v>
      </c>
      <c r="BI173" s="3467">
        <v>8.2799999999999999E-2</v>
      </c>
    </row>
    <row r="174" spans="60:61">
      <c r="BH174" s="3466">
        <v>259</v>
      </c>
      <c r="BI174" s="3467">
        <v>8.3099999999999993E-2</v>
      </c>
    </row>
    <row r="175" spans="60:61">
      <c r="BH175" s="3466">
        <v>260</v>
      </c>
      <c r="BI175" s="3467">
        <v>8.3400000000000002E-2</v>
      </c>
    </row>
    <row r="176" spans="60:61">
      <c r="BH176" s="3466">
        <v>261</v>
      </c>
      <c r="BI176" s="3467">
        <v>8.3699999999999997E-2</v>
      </c>
    </row>
    <row r="177" spans="60:61">
      <c r="BH177" s="3466">
        <v>262</v>
      </c>
      <c r="BI177" s="3467">
        <v>8.4000000000000005E-2</v>
      </c>
    </row>
    <row r="178" spans="60:61">
      <c r="BH178" s="3466">
        <v>263</v>
      </c>
      <c r="BI178" s="3467">
        <v>8.43E-2</v>
      </c>
    </row>
    <row r="179" spans="60:61">
      <c r="BH179" s="3466">
        <v>264</v>
      </c>
      <c r="BI179" s="3467">
        <v>8.4599999999999995E-2</v>
      </c>
    </row>
    <row r="180" spans="60:61">
      <c r="BH180" s="3466">
        <v>265</v>
      </c>
      <c r="BI180" s="3467">
        <v>8.4900000000000003E-2</v>
      </c>
    </row>
    <row r="181" spans="60:61">
      <c r="BH181" s="3466">
        <v>266</v>
      </c>
      <c r="BI181" s="3467">
        <v>8.5099999999999995E-2</v>
      </c>
    </row>
    <row r="182" spans="60:61">
      <c r="BH182" s="3466">
        <v>267</v>
      </c>
      <c r="BI182" s="3467">
        <v>8.5400000000000004E-2</v>
      </c>
    </row>
    <row r="183" spans="60:61">
      <c r="BH183" s="3466">
        <v>268</v>
      </c>
      <c r="BI183" s="3467">
        <v>8.5699999999999998E-2</v>
      </c>
    </row>
    <row r="184" spans="60:61">
      <c r="BH184" s="3466">
        <v>269</v>
      </c>
      <c r="BI184" s="3467">
        <v>8.5999999999999993E-2</v>
      </c>
    </row>
    <row r="185" spans="60:61">
      <c r="BH185" s="3466">
        <v>270</v>
      </c>
      <c r="BI185" s="3467">
        <v>8.6300000000000002E-2</v>
      </c>
    </row>
    <row r="186" spans="60:61">
      <c r="BH186" s="3466">
        <v>271</v>
      </c>
      <c r="BI186" s="3467">
        <v>8.6599999999999996E-2</v>
      </c>
    </row>
    <row r="187" spans="60:61">
      <c r="BH187" s="3466">
        <v>272</v>
      </c>
      <c r="BI187" s="3467">
        <v>8.6900000000000005E-2</v>
      </c>
    </row>
    <row r="188" spans="60:61">
      <c r="BH188" s="3466">
        <v>273</v>
      </c>
      <c r="BI188" s="3467">
        <v>8.72E-2</v>
      </c>
    </row>
    <row r="189" spans="60:61">
      <c r="BH189" s="3466">
        <v>274</v>
      </c>
      <c r="BI189" s="3467">
        <v>8.7499999999999994E-2</v>
      </c>
    </row>
    <row r="190" spans="60:61">
      <c r="BH190" s="3466">
        <v>275</v>
      </c>
      <c r="BI190" s="3467">
        <v>8.7800000000000003E-2</v>
      </c>
    </row>
    <row r="191" spans="60:61">
      <c r="BH191" s="3466">
        <v>276</v>
      </c>
      <c r="BI191" s="3467">
        <v>8.7999999999999995E-2</v>
      </c>
    </row>
    <row r="192" spans="60:61">
      <c r="BH192" s="3466">
        <v>277</v>
      </c>
      <c r="BI192" s="3467">
        <v>8.8300000000000003E-2</v>
      </c>
    </row>
    <row r="193" spans="60:61">
      <c r="BH193" s="3466">
        <v>278</v>
      </c>
      <c r="BI193" s="3467">
        <v>8.8599999999999998E-2</v>
      </c>
    </row>
    <row r="194" spans="60:61">
      <c r="BH194" s="3466">
        <v>279</v>
      </c>
      <c r="BI194" s="3467">
        <v>8.8900000000000007E-2</v>
      </c>
    </row>
    <row r="195" spans="60:61">
      <c r="BH195" s="3466">
        <v>280</v>
      </c>
      <c r="BI195" s="3467">
        <v>8.9200000000000002E-2</v>
      </c>
    </row>
    <row r="196" spans="60:61">
      <c r="BH196" s="3466">
        <v>281</v>
      </c>
      <c r="BI196" s="3467">
        <v>8.9499999999999996E-2</v>
      </c>
    </row>
    <row r="197" spans="60:61">
      <c r="BH197" s="3466">
        <v>282</v>
      </c>
      <c r="BI197" s="3467">
        <v>8.9800000000000005E-2</v>
      </c>
    </row>
    <row r="198" spans="60:61">
      <c r="BH198" s="3466">
        <v>283</v>
      </c>
      <c r="BI198" s="3467">
        <v>9.01E-2</v>
      </c>
    </row>
    <row r="199" spans="60:61">
      <c r="BH199" s="3466">
        <v>284</v>
      </c>
      <c r="BI199" s="3467">
        <v>9.0399999999999994E-2</v>
      </c>
    </row>
    <row r="200" spans="60:61">
      <c r="BH200" s="3466">
        <v>285</v>
      </c>
      <c r="BI200" s="3467">
        <v>9.0700000000000003E-2</v>
      </c>
    </row>
    <row r="201" spans="60:61">
      <c r="BH201" s="3466">
        <v>286</v>
      </c>
      <c r="BI201" s="3467">
        <v>9.0899999999999995E-2</v>
      </c>
    </row>
    <row r="202" spans="60:61">
      <c r="BH202" s="3466">
        <v>287</v>
      </c>
      <c r="BI202" s="3467">
        <v>9.1200000000000003E-2</v>
      </c>
    </row>
    <row r="203" spans="60:61">
      <c r="BH203" s="3466">
        <v>288</v>
      </c>
      <c r="BI203" s="3467">
        <v>9.1499999999999998E-2</v>
      </c>
    </row>
    <row r="204" spans="60:61">
      <c r="BH204" s="3466">
        <v>289</v>
      </c>
      <c r="BI204" s="3467">
        <v>9.1800000000000007E-2</v>
      </c>
    </row>
    <row r="205" spans="60:61">
      <c r="BH205" s="3466">
        <v>290</v>
      </c>
      <c r="BI205" s="3467">
        <v>9.2100000000000001E-2</v>
      </c>
    </row>
    <row r="206" spans="60:61">
      <c r="BH206" s="3466">
        <v>291</v>
      </c>
      <c r="BI206" s="3467">
        <v>9.2399999999999996E-2</v>
      </c>
    </row>
    <row r="207" spans="60:61">
      <c r="BH207" s="3466">
        <v>292</v>
      </c>
      <c r="BI207" s="3467">
        <v>9.2700000000000005E-2</v>
      </c>
    </row>
    <row r="208" spans="60:61">
      <c r="BH208" s="3466">
        <v>293</v>
      </c>
      <c r="BI208" s="3467">
        <v>9.2999999999999999E-2</v>
      </c>
    </row>
    <row r="209" spans="60:61">
      <c r="BH209" s="3466">
        <v>294</v>
      </c>
      <c r="BI209" s="3467">
        <v>9.3299999999999994E-2</v>
      </c>
    </row>
    <row r="210" spans="60:61">
      <c r="BH210" s="3466">
        <v>295</v>
      </c>
      <c r="BI210" s="3467">
        <v>9.3600000000000003E-2</v>
      </c>
    </row>
    <row r="211" spans="60:61">
      <c r="BH211" s="3466">
        <v>296</v>
      </c>
      <c r="BI211" s="3467">
        <v>9.3799999999999994E-2</v>
      </c>
    </row>
    <row r="212" spans="60:61">
      <c r="BH212" s="3466">
        <v>297</v>
      </c>
      <c r="BI212" s="3467">
        <v>9.4100000000000003E-2</v>
      </c>
    </row>
    <row r="213" spans="60:61">
      <c r="BH213" s="3466">
        <v>298</v>
      </c>
      <c r="BI213" s="3467">
        <v>9.4399999999999998E-2</v>
      </c>
    </row>
    <row r="214" spans="60:61">
      <c r="BH214" s="3466">
        <v>299</v>
      </c>
      <c r="BI214" s="3467">
        <v>9.4700000000000006E-2</v>
      </c>
    </row>
    <row r="215" spans="60:61">
      <c r="BH215" s="3466">
        <v>300</v>
      </c>
      <c r="BI215" s="3467">
        <v>9.5000000000000001E-2</v>
      </c>
    </row>
    <row r="216" spans="60:61">
      <c r="BH216" s="3468">
        <v>400</v>
      </c>
      <c r="BI216" s="3469">
        <v>1</v>
      </c>
    </row>
  </sheetData>
  <sheetProtection password="F07E" sheet="1" objects="1" scenarios="1"/>
  <mergeCells count="204">
    <mergeCell ref="C125:H126"/>
    <mergeCell ref="C127:H128"/>
    <mergeCell ref="J127:O127"/>
    <mergeCell ref="Q127:V127"/>
    <mergeCell ref="X127:AC127"/>
    <mergeCell ref="AE127:AJ127"/>
    <mergeCell ref="I128:O128"/>
    <mergeCell ref="P128:V128"/>
    <mergeCell ref="W128:AC128"/>
    <mergeCell ref="AD128:AJ128"/>
    <mergeCell ref="I126:O126"/>
    <mergeCell ref="P126:V126"/>
    <mergeCell ref="W126:AC126"/>
    <mergeCell ref="AD126:AJ126"/>
    <mergeCell ref="J125:O125"/>
    <mergeCell ref="Q125:V125"/>
    <mergeCell ref="X125:AC125"/>
    <mergeCell ref="AE125:AJ125"/>
    <mergeCell ref="D108:M108"/>
    <mergeCell ref="N108:V108"/>
    <mergeCell ref="W108:AC108"/>
    <mergeCell ref="AD108:AJ108"/>
    <mergeCell ref="D109:I113"/>
    <mergeCell ref="J109:R112"/>
    <mergeCell ref="S109:AA112"/>
    <mergeCell ref="AB109:AJ112"/>
    <mergeCell ref="J113:R113"/>
    <mergeCell ref="S113:AA113"/>
    <mergeCell ref="AB113:AJ113"/>
    <mergeCell ref="D100:M100"/>
    <mergeCell ref="N100:V100"/>
    <mergeCell ref="W100:AC100"/>
    <mergeCell ref="AD100:AJ100"/>
    <mergeCell ref="D101:I105"/>
    <mergeCell ref="J101:R104"/>
    <mergeCell ref="S101:AA104"/>
    <mergeCell ref="AB101:AJ104"/>
    <mergeCell ref="J105:R105"/>
    <mergeCell ref="S105:AA105"/>
    <mergeCell ref="AB105:AJ105"/>
    <mergeCell ref="D92:M92"/>
    <mergeCell ref="N92:V92"/>
    <mergeCell ref="W92:AC92"/>
    <mergeCell ref="AD92:AJ92"/>
    <mergeCell ref="D93:I97"/>
    <mergeCell ref="J93:R96"/>
    <mergeCell ref="S93:AA96"/>
    <mergeCell ref="AB93:AJ96"/>
    <mergeCell ref="J97:R97"/>
    <mergeCell ref="S97:AA97"/>
    <mergeCell ref="AB97:AJ97"/>
    <mergeCell ref="D85:I89"/>
    <mergeCell ref="J85:R88"/>
    <mergeCell ref="S85:AA88"/>
    <mergeCell ref="AB85:AJ88"/>
    <mergeCell ref="J89:R89"/>
    <mergeCell ref="S89:AA89"/>
    <mergeCell ref="AB89:AJ89"/>
    <mergeCell ref="D84:M84"/>
    <mergeCell ref="N84:V84"/>
    <mergeCell ref="W84:AC84"/>
    <mergeCell ref="AD84:AJ84"/>
    <mergeCell ref="AE74:AJ74"/>
    <mergeCell ref="AE77:AJ77"/>
    <mergeCell ref="D4:G5"/>
    <mergeCell ref="B5:C5"/>
    <mergeCell ref="AC9:AG11"/>
    <mergeCell ref="T10:AB11"/>
    <mergeCell ref="AH7:AH8"/>
    <mergeCell ref="AD8:AG8"/>
    <mergeCell ref="AD7:AG7"/>
    <mergeCell ref="AE70:AJ70"/>
    <mergeCell ref="AE66:AJ66"/>
    <mergeCell ref="AE67:AJ67"/>
    <mergeCell ref="AA64:AE64"/>
    <mergeCell ref="AF64:AJ64"/>
    <mergeCell ref="D65:F65"/>
    <mergeCell ref="G65:K65"/>
    <mergeCell ref="L65:P65"/>
    <mergeCell ref="Q65:U65"/>
    <mergeCell ref="V65:Z65"/>
    <mergeCell ref="AA65:AE65"/>
    <mergeCell ref="AF65:AJ65"/>
    <mergeCell ref="D64:F64"/>
    <mergeCell ref="G64:K64"/>
    <mergeCell ref="L64:P64"/>
    <mergeCell ref="Q64:U64"/>
    <mergeCell ref="V64:Z64"/>
    <mergeCell ref="AA62:AE62"/>
    <mergeCell ref="AF62:AJ62"/>
    <mergeCell ref="D63:F63"/>
    <mergeCell ref="G63:K63"/>
    <mergeCell ref="L63:P63"/>
    <mergeCell ref="Q63:U63"/>
    <mergeCell ref="V63:Z63"/>
    <mergeCell ref="AA63:AE63"/>
    <mergeCell ref="AF63:AJ63"/>
    <mergeCell ref="D62:F62"/>
    <mergeCell ref="G62:K62"/>
    <mergeCell ref="L62:P62"/>
    <mergeCell ref="Q62:U62"/>
    <mergeCell ref="V62:Z62"/>
    <mergeCell ref="D61:F61"/>
    <mergeCell ref="G61:K61"/>
    <mergeCell ref="L61:P61"/>
    <mergeCell ref="Q61:U61"/>
    <mergeCell ref="V61:Z61"/>
    <mergeCell ref="AA61:AE61"/>
    <mergeCell ref="AF61:AJ61"/>
    <mergeCell ref="D60:F60"/>
    <mergeCell ref="G60:K60"/>
    <mergeCell ref="L60:P60"/>
    <mergeCell ref="Q60:U60"/>
    <mergeCell ref="V60:Z60"/>
    <mergeCell ref="D59:F59"/>
    <mergeCell ref="G59:K59"/>
    <mergeCell ref="L59:P59"/>
    <mergeCell ref="Q59:U59"/>
    <mergeCell ref="V59:Z59"/>
    <mergeCell ref="AA59:AE59"/>
    <mergeCell ref="AF59:AJ59"/>
    <mergeCell ref="AA60:AE60"/>
    <mergeCell ref="AF60:AJ60"/>
    <mergeCell ref="AA50:AE53"/>
    <mergeCell ref="AF50:AJ53"/>
    <mergeCell ref="D54:F54"/>
    <mergeCell ref="G54:K54"/>
    <mergeCell ref="L54:P54"/>
    <mergeCell ref="Q54:U54"/>
    <mergeCell ref="V54:Z54"/>
    <mergeCell ref="AA54:AE54"/>
    <mergeCell ref="AA57:AE57"/>
    <mergeCell ref="AF57:AJ57"/>
    <mergeCell ref="D58:F58"/>
    <mergeCell ref="G58:K58"/>
    <mergeCell ref="L58:P58"/>
    <mergeCell ref="Q58:U58"/>
    <mergeCell ref="AF54:AJ54"/>
    <mergeCell ref="D55:F55"/>
    <mergeCell ref="G55:K55"/>
    <mergeCell ref="L55:P55"/>
    <mergeCell ref="Q55:U55"/>
    <mergeCell ref="V55:Z55"/>
    <mergeCell ref="AA55:AE55"/>
    <mergeCell ref="AF55:AJ55"/>
    <mergeCell ref="V56:Z56"/>
    <mergeCell ref="AA56:AE56"/>
    <mergeCell ref="AF56:AJ56"/>
    <mergeCell ref="D57:F57"/>
    <mergeCell ref="G57:K57"/>
    <mergeCell ref="L57:P57"/>
    <mergeCell ref="Q57:U57"/>
    <mergeCell ref="V57:Z57"/>
    <mergeCell ref="V58:Z58"/>
    <mergeCell ref="AA58:AE58"/>
    <mergeCell ref="AF58:AJ58"/>
    <mergeCell ref="B45:F48"/>
    <mergeCell ref="G45:K48"/>
    <mergeCell ref="L45:P48"/>
    <mergeCell ref="Q45:U48"/>
    <mergeCell ref="V45:Z48"/>
    <mergeCell ref="D49:F49"/>
    <mergeCell ref="D56:F56"/>
    <mergeCell ref="G56:K56"/>
    <mergeCell ref="L56:P56"/>
    <mergeCell ref="Q56:U56"/>
    <mergeCell ref="B50:F53"/>
    <mergeCell ref="G50:K53"/>
    <mergeCell ref="L50:P53"/>
    <mergeCell ref="Q50:U53"/>
    <mergeCell ref="V50:Z53"/>
    <mergeCell ref="M35:R35"/>
    <mergeCell ref="AA45:AE48"/>
    <mergeCell ref="AF45:AJ48"/>
    <mergeCell ref="G49:K49"/>
    <mergeCell ref="L49:P49"/>
    <mergeCell ref="Q49:U49"/>
    <mergeCell ref="V49:Z49"/>
    <mergeCell ref="AA49:AE49"/>
    <mergeCell ref="AF49:AJ49"/>
    <mergeCell ref="AX14:BF17"/>
    <mergeCell ref="AR3:AV12"/>
    <mergeCell ref="AN14:AV17"/>
    <mergeCell ref="AE72:AJ72"/>
    <mergeCell ref="AE69:AJ69"/>
    <mergeCell ref="AM5:AQ11"/>
    <mergeCell ref="AN43:AV46"/>
    <mergeCell ref="AX43:BF46"/>
    <mergeCell ref="M36:R36"/>
    <mergeCell ref="AE36:AJ36"/>
    <mergeCell ref="AE23:AJ23"/>
    <mergeCell ref="AE26:AJ26"/>
    <mergeCell ref="I4:AB5"/>
    <mergeCell ref="M17:R17"/>
    <mergeCell ref="M16:R16"/>
    <mergeCell ref="B10:S11"/>
    <mergeCell ref="AC5:AJ6"/>
    <mergeCell ref="AC4:AJ4"/>
    <mergeCell ref="I8:AB8"/>
    <mergeCell ref="I7:AB7"/>
    <mergeCell ref="AE33:AJ33"/>
    <mergeCell ref="AE14:AJ14"/>
    <mergeCell ref="AE17:AJ17"/>
    <mergeCell ref="AE19:AJ19"/>
  </mergeCells>
  <conditionalFormatting sqref="B10:K10">
    <cfRule type="expression" dxfId="270" priority="163">
      <formula>IF(NoColor,1,0)</formula>
    </cfRule>
  </conditionalFormatting>
  <conditionalFormatting sqref="T10">
    <cfRule type="expression" dxfId="269" priority="162">
      <formula>IF(NoColor,1,0)</formula>
    </cfRule>
  </conditionalFormatting>
  <conditionalFormatting sqref="AE17:AJ17">
    <cfRule type="expression" dxfId="268" priority="133">
      <formula>IF(NoColor,1,0)</formula>
    </cfRule>
  </conditionalFormatting>
  <conditionalFormatting sqref="M36">
    <cfRule type="expression" dxfId="267" priority="160">
      <formula>IF(NoColor,1,0)</formula>
    </cfRule>
  </conditionalFormatting>
  <conditionalFormatting sqref="AF54:AJ65 G54:P65">
    <cfRule type="expression" dxfId="266" priority="158">
      <formula>IF(NoColor,1,0)</formula>
    </cfRule>
  </conditionalFormatting>
  <conditionalFormatting sqref="M36:R36">
    <cfRule type="expression" dxfId="265" priority="157">
      <formula>IF(NoColor,1,0)</formula>
    </cfRule>
  </conditionalFormatting>
  <conditionalFormatting sqref="AE36">
    <cfRule type="expression" dxfId="264" priority="156">
      <formula>IF(NoColor,1,0)</formula>
    </cfRule>
  </conditionalFormatting>
  <conditionalFormatting sqref="AE36:AJ36">
    <cfRule type="expression" dxfId="263" priority="155">
      <formula>IF(NoColor,1,0)</formula>
    </cfRule>
  </conditionalFormatting>
  <conditionalFormatting sqref="AE33">
    <cfRule type="expression" dxfId="262" priority="154">
      <formula>IF(NoColor,1,0)</formula>
    </cfRule>
  </conditionalFormatting>
  <conditionalFormatting sqref="AE33:AJ33">
    <cfRule type="expression" dxfId="261" priority="153">
      <formula>IF(NoColor,1,0)</formula>
    </cfRule>
  </conditionalFormatting>
  <conditionalFormatting sqref="M17">
    <cfRule type="expression" dxfId="260" priority="142">
      <formula>IF(NoColor,1,0)</formula>
    </cfRule>
  </conditionalFormatting>
  <conditionalFormatting sqref="M17:R17">
    <cfRule type="expression" dxfId="259" priority="141">
      <formula>IF(NoColor,1,0)</formula>
    </cfRule>
  </conditionalFormatting>
  <conditionalFormatting sqref="AE26">
    <cfRule type="expression" dxfId="258" priority="140">
      <formula>IF(NoColor,1,0)</formula>
    </cfRule>
  </conditionalFormatting>
  <conditionalFormatting sqref="AE26:AJ26">
    <cfRule type="expression" dxfId="257" priority="139">
      <formula>IF(NoColor,1,0)</formula>
    </cfRule>
  </conditionalFormatting>
  <conditionalFormatting sqref="AE23">
    <cfRule type="expression" dxfId="256" priority="138">
      <formula>IF(NoColor,1,0)</formula>
    </cfRule>
  </conditionalFormatting>
  <conditionalFormatting sqref="AE23:AJ23">
    <cfRule type="expression" dxfId="255" priority="137">
      <formula>IF(NoColor,1,0)</formula>
    </cfRule>
  </conditionalFormatting>
  <conditionalFormatting sqref="AE19">
    <cfRule type="expression" dxfId="254" priority="136">
      <formula>IF(NoColor,1,0)</formula>
    </cfRule>
  </conditionalFormatting>
  <conditionalFormatting sqref="AE19:AJ19">
    <cfRule type="expression" dxfId="253" priority="135">
      <formula>IF(NoColor,1,0)</formula>
    </cfRule>
  </conditionalFormatting>
  <conditionalFormatting sqref="AE17">
    <cfRule type="expression" dxfId="252" priority="134">
      <formula>IF(NoColor,1,0)</formula>
    </cfRule>
  </conditionalFormatting>
  <conditionalFormatting sqref="AE14">
    <cfRule type="expression" dxfId="251" priority="132">
      <formula>IF(NoColor,1,0)</formula>
    </cfRule>
  </conditionalFormatting>
  <conditionalFormatting sqref="AE14:AJ14">
    <cfRule type="expression" dxfId="250" priority="131">
      <formula>IF(NoColor,1,0)</formula>
    </cfRule>
  </conditionalFormatting>
  <conditionalFormatting sqref="AE66">
    <cfRule type="expression" dxfId="249" priority="130">
      <formula>IF(NoColor,1,0)</formula>
    </cfRule>
  </conditionalFormatting>
  <conditionalFormatting sqref="AE66:AJ66">
    <cfRule type="expression" dxfId="248" priority="129">
      <formula>IF(NoColor,1,0)</formula>
    </cfRule>
  </conditionalFormatting>
  <conditionalFormatting sqref="AE67">
    <cfRule type="expression" dxfId="247" priority="128">
      <formula>IF(NoColor,1,0)</formula>
    </cfRule>
  </conditionalFormatting>
  <conditionalFormatting sqref="AE67:AJ67">
    <cfRule type="expression" dxfId="246" priority="127">
      <formula>IF(NoColor,1,0)</formula>
    </cfRule>
  </conditionalFormatting>
  <conditionalFormatting sqref="AE70">
    <cfRule type="expression" dxfId="245" priority="126">
      <formula>IF(NoColor,1,0)</formula>
    </cfRule>
  </conditionalFormatting>
  <conditionalFormatting sqref="AE70:AJ70">
    <cfRule type="expression" dxfId="244" priority="125">
      <formula>IF(NoColor,1,0)</formula>
    </cfRule>
  </conditionalFormatting>
  <conditionalFormatting sqref="W92:AA92">
    <cfRule type="expression" dxfId="243" priority="111">
      <formula>IF(NoColor,1,0)</formula>
    </cfRule>
  </conditionalFormatting>
  <conditionalFormatting sqref="AB113:AF113">
    <cfRule type="expression" dxfId="242" priority="93">
      <formula>IF(NoColor,1,0)</formula>
    </cfRule>
  </conditionalFormatting>
  <conditionalFormatting sqref="AH10">
    <cfRule type="expression" dxfId="241" priority="124">
      <formula>IF(NoColor,1,0)</formula>
    </cfRule>
  </conditionalFormatting>
  <conditionalFormatting sqref="D84:H84">
    <cfRule type="expression" dxfId="240" priority="120">
      <formula>IF(NoColor,1,0)</formula>
    </cfRule>
  </conditionalFormatting>
  <conditionalFormatting sqref="AD92:AH92">
    <cfRule type="expression" dxfId="239" priority="110">
      <formula>IF(NoColor,1,0)</formula>
    </cfRule>
  </conditionalFormatting>
  <conditionalFormatting sqref="C120">
    <cfRule type="expression" dxfId="238" priority="91">
      <formula>IF(NoColor,1,0)</formula>
    </cfRule>
  </conditionalFormatting>
  <conditionalFormatting sqref="N84:R84">
    <cfRule type="expression" dxfId="237" priority="119">
      <formula>IF(NoColor,1,0)</formula>
    </cfRule>
  </conditionalFormatting>
  <conditionalFormatting sqref="W84:AA84">
    <cfRule type="expression" dxfId="236" priority="118">
      <formula>IF(NoColor,1,0)</formula>
    </cfRule>
  </conditionalFormatting>
  <conditionalFormatting sqref="AD84:AH84">
    <cfRule type="expression" dxfId="235" priority="117">
      <formula>IF(NoColor,1,0)</formula>
    </cfRule>
  </conditionalFormatting>
  <conditionalFormatting sqref="J89:N89">
    <cfRule type="expression" dxfId="234" priority="116">
      <formula>IF(NoColor,1,0)</formula>
    </cfRule>
  </conditionalFormatting>
  <conditionalFormatting sqref="S89:W89">
    <cfRule type="expression" dxfId="233" priority="115">
      <formula>IF(NoColor,1,0)</formula>
    </cfRule>
  </conditionalFormatting>
  <conditionalFormatting sqref="AB89:AF89">
    <cfRule type="expression" dxfId="232" priority="114">
      <formula>IF(NoColor,1,0)</formula>
    </cfRule>
  </conditionalFormatting>
  <conditionalFormatting sqref="D92:H92">
    <cfRule type="expression" dxfId="231" priority="113">
      <formula>IF(NoColor,1,0)</formula>
    </cfRule>
  </conditionalFormatting>
  <conditionalFormatting sqref="J97:N97">
    <cfRule type="expression" dxfId="230" priority="109">
      <formula>IF(NoColor,1,0)</formula>
    </cfRule>
  </conditionalFormatting>
  <conditionalFormatting sqref="S97:W97">
    <cfRule type="expression" dxfId="229" priority="108">
      <formula>IF(NoColor,1,0)</formula>
    </cfRule>
  </conditionalFormatting>
  <conditionalFormatting sqref="AB97:AF97">
    <cfRule type="expression" dxfId="228" priority="107">
      <formula>IF(NoColor,1,0)</formula>
    </cfRule>
  </conditionalFormatting>
  <conditionalFormatting sqref="D100:H100">
    <cfRule type="expression" dxfId="227" priority="106">
      <formula>IF(NoColor,1,0)</formula>
    </cfRule>
  </conditionalFormatting>
  <conditionalFormatting sqref="W100:AA100">
    <cfRule type="expression" dxfId="226" priority="104">
      <formula>IF(NoColor,1,0)</formula>
    </cfRule>
  </conditionalFormatting>
  <conditionalFormatting sqref="AD100:AH100">
    <cfRule type="expression" dxfId="225" priority="103">
      <formula>IF(NoColor,1,0)</formula>
    </cfRule>
  </conditionalFormatting>
  <conditionalFormatting sqref="J105:N105">
    <cfRule type="expression" dxfId="224" priority="102">
      <formula>IF(NoColor,1,0)</formula>
    </cfRule>
  </conditionalFormatting>
  <conditionalFormatting sqref="S105:W105">
    <cfRule type="expression" dxfId="223" priority="101">
      <formula>IF(NoColor,1,0)</formula>
    </cfRule>
  </conditionalFormatting>
  <conditionalFormatting sqref="AB105:AF105">
    <cfRule type="expression" dxfId="222" priority="100">
      <formula>IF(NoColor,1,0)</formula>
    </cfRule>
  </conditionalFormatting>
  <conditionalFormatting sqref="D108:H108">
    <cfRule type="expression" dxfId="221" priority="99">
      <formula>IF(NoColor,1,0)</formula>
    </cfRule>
  </conditionalFormatting>
  <conditionalFormatting sqref="W108:AA108">
    <cfRule type="expression" dxfId="220" priority="97">
      <formula>IF(NoColor,1,0)</formula>
    </cfRule>
  </conditionalFormatting>
  <conditionalFormatting sqref="AD108:AH108">
    <cfRule type="expression" dxfId="219" priority="96">
      <formula>IF(NoColor,1,0)</formula>
    </cfRule>
  </conditionalFormatting>
  <conditionalFormatting sqref="J113:N113">
    <cfRule type="expression" dxfId="218" priority="95">
      <formula>IF(NoColor,1,0)</formula>
    </cfRule>
  </conditionalFormatting>
  <conditionalFormatting sqref="S113:W113">
    <cfRule type="expression" dxfId="217" priority="94">
      <formula>IF(NoColor,1,0)</formula>
    </cfRule>
  </conditionalFormatting>
  <conditionalFormatting sqref="C115">
    <cfRule type="expression" dxfId="216" priority="92">
      <formula>IF(NoColor,1,0)</formula>
    </cfRule>
  </conditionalFormatting>
  <conditionalFormatting sqref="I126:M126">
    <cfRule type="expression" dxfId="215" priority="90">
      <formula>IF(NoColor,1,0)</formula>
    </cfRule>
  </conditionalFormatting>
  <conditionalFormatting sqref="P126:T126">
    <cfRule type="expression" dxfId="214" priority="89">
      <formula>IF(NoColor,1,0)</formula>
    </cfRule>
  </conditionalFormatting>
  <conditionalFormatting sqref="W126:AA126">
    <cfRule type="expression" dxfId="213" priority="88">
      <formula>IF(NoColor,1,0)</formula>
    </cfRule>
  </conditionalFormatting>
  <conditionalFormatting sqref="AD126:AH126">
    <cfRule type="expression" dxfId="212" priority="87">
      <formula>IF(NoColor,1,0)</formula>
    </cfRule>
  </conditionalFormatting>
  <conditionalFormatting sqref="I128:M128">
    <cfRule type="expression" dxfId="211" priority="86">
      <formula>IF(NoColor,1,0)</formula>
    </cfRule>
  </conditionalFormatting>
  <conditionalFormatting sqref="P128:T128">
    <cfRule type="expression" dxfId="210" priority="85">
      <formula>IF(NoColor,1,0)</formula>
    </cfRule>
  </conditionalFormatting>
  <conditionalFormatting sqref="W128:AA128">
    <cfRule type="expression" dxfId="209" priority="84">
      <formula>IF(NoColor,1,0)</formula>
    </cfRule>
  </conditionalFormatting>
  <conditionalFormatting sqref="AD128:AH128">
    <cfRule type="expression" dxfId="208" priority="83">
      <formula>IF(NoColor,1,0)</formula>
    </cfRule>
  </conditionalFormatting>
  <conditionalFormatting sqref="AE77">
    <cfRule type="expression" dxfId="207" priority="74">
      <formula>IF(NoColor,1,0)</formula>
    </cfRule>
  </conditionalFormatting>
  <conditionalFormatting sqref="D42">
    <cfRule type="expression" dxfId="206" priority="81">
      <formula>IF(NoColor,1,0)</formula>
    </cfRule>
  </conditionalFormatting>
  <conditionalFormatting sqref="AE77:AJ77">
    <cfRule type="expression" dxfId="205" priority="73">
      <formula>IF(NoColor,1,0)</formula>
    </cfRule>
  </conditionalFormatting>
  <conditionalFormatting sqref="D28">
    <cfRule type="expression" dxfId="204" priority="78">
      <formula>IF(NoColor,1,0)</formula>
    </cfRule>
  </conditionalFormatting>
  <conditionalFormatting sqref="AA49:AE49">
    <cfRule type="expression" dxfId="203" priority="68">
      <formula>IF(NoColor,1,0)</formula>
    </cfRule>
  </conditionalFormatting>
  <conditionalFormatting sqref="AE74">
    <cfRule type="expression" dxfId="202" priority="76">
      <formula>IF(NoColor,1,0)</formula>
    </cfRule>
  </conditionalFormatting>
  <conditionalFormatting sqref="AE74:AJ74">
    <cfRule type="expression" dxfId="201" priority="75">
      <formula>IF(NoColor,1,0)</formula>
    </cfRule>
  </conditionalFormatting>
  <conditionalFormatting sqref="G49:K49">
    <cfRule type="expression" dxfId="200" priority="4">
      <formula>IF($D$42="",1,0)</formula>
    </cfRule>
    <cfRule type="expression" dxfId="199" priority="72">
      <formula>IF(NoColor,1,0)</formula>
    </cfRule>
  </conditionalFormatting>
  <conditionalFormatting sqref="Q49:U49">
    <cfRule type="expression" dxfId="198" priority="70">
      <formula>IF(NoColor,1,0)</formula>
    </cfRule>
  </conditionalFormatting>
  <conditionalFormatting sqref="V49:Z49">
    <cfRule type="expression" dxfId="197" priority="69">
      <formula>IF(NoColor,1,0)</formula>
    </cfRule>
  </conditionalFormatting>
  <conditionalFormatting sqref="N92:R92">
    <cfRule type="expression" dxfId="196" priority="66">
      <formula>IF(NoColor,1,0)</formula>
    </cfRule>
  </conditionalFormatting>
  <conditionalFormatting sqref="AF49:AJ49">
    <cfRule type="expression" dxfId="195" priority="67">
      <formula>IF(NoColor,1,0)</formula>
    </cfRule>
  </conditionalFormatting>
  <conditionalFormatting sqref="N100:R100">
    <cfRule type="expression" dxfId="194" priority="65">
      <formula>IF(NoColor,1,0)</formula>
    </cfRule>
  </conditionalFormatting>
  <conditionalFormatting sqref="N108:R108">
    <cfRule type="expression" dxfId="193" priority="64">
      <formula>IF(NoColor,1,0)</formula>
    </cfRule>
  </conditionalFormatting>
  <conditionalFormatting sqref="AJ12">
    <cfRule type="expression" dxfId="192" priority="63">
      <formula>IF(AL12&lt;&gt;"",1,0)</formula>
    </cfRule>
  </conditionalFormatting>
  <conditionalFormatting sqref="AR3">
    <cfRule type="expression" dxfId="191" priority="62">
      <formula>IF(AND(File_Marr_Sep&lt;&gt;"",$AH$10=""),1,0)</formula>
    </cfRule>
  </conditionalFormatting>
  <conditionalFormatting sqref="K23">
    <cfRule type="expression" dxfId="190" priority="50">
      <formula>IF(NoColor,1,0)</formula>
    </cfRule>
  </conditionalFormatting>
  <conditionalFormatting sqref="D30">
    <cfRule type="expression" dxfId="189" priority="58">
      <formula>IF(NoColor,1,0)</formula>
    </cfRule>
  </conditionalFormatting>
  <conditionalFormatting sqref="Z39">
    <cfRule type="expression" dxfId="188" priority="56">
      <formula>IF(NoColor,1,0)</formula>
    </cfRule>
  </conditionalFormatting>
  <conditionalFormatting sqref="D39">
    <cfRule type="expression" dxfId="187" priority="57">
      <formula>IF(NoColor,1,0)</formula>
    </cfRule>
  </conditionalFormatting>
  <conditionalFormatting sqref="AE72:AJ72">
    <cfRule type="expression" dxfId="186" priority="48">
      <formula>IF(NoColor,1,0)</formula>
    </cfRule>
  </conditionalFormatting>
  <conditionalFormatting sqref="Z42">
    <cfRule type="expression" dxfId="185" priority="53">
      <formula>IF(NoColor,1,0)</formula>
    </cfRule>
  </conditionalFormatting>
  <conditionalFormatting sqref="V23">
    <cfRule type="expression" dxfId="184" priority="52">
      <formula>IF(NoColor,1,0)</formula>
    </cfRule>
  </conditionalFormatting>
  <conditionalFormatting sqref="Q23">
    <cfRule type="expression" dxfId="183" priority="51">
      <formula>IF(NoColor,1,0)</formula>
    </cfRule>
  </conditionalFormatting>
  <conditionalFormatting sqref="AE72">
    <cfRule type="expression" dxfId="182" priority="49">
      <formula>IF(NoColor,1,0)</formula>
    </cfRule>
  </conditionalFormatting>
  <conditionalFormatting sqref="BE41">
    <cfRule type="expression" dxfId="181" priority="41">
      <formula>IF(NoColor,1,0)</formula>
    </cfRule>
  </conditionalFormatting>
  <conditionalFormatting sqref="AT27">
    <cfRule type="expression" dxfId="180" priority="46">
      <formula>IF(NoColor,1,0)</formula>
    </cfRule>
  </conditionalFormatting>
  <conditionalFormatting sqref="AU22">
    <cfRule type="expression" dxfId="179" priority="39">
      <formula>IF(NoColor,1,0)</formula>
    </cfRule>
  </conditionalFormatting>
  <conditionalFormatting sqref="AT37">
    <cfRule type="expression" dxfId="178" priority="38">
      <formula>IF(NoColor,1,0)</formula>
    </cfRule>
  </conditionalFormatting>
  <conditionalFormatting sqref="AU39">
    <cfRule type="expression" dxfId="177" priority="37">
      <formula>IF(NoColor,1,0)</formula>
    </cfRule>
  </conditionalFormatting>
  <conditionalFormatting sqref="AU41">
    <cfRule type="expression" dxfId="176" priority="36">
      <formula>IF(NoColor,1,0)</formula>
    </cfRule>
  </conditionalFormatting>
  <conditionalFormatting sqref="BE39">
    <cfRule type="expression" dxfId="175" priority="34">
      <formula>IF(NoColor,1,0)</formula>
    </cfRule>
  </conditionalFormatting>
  <conditionalFormatting sqref="BE23">
    <cfRule type="expression" dxfId="174" priority="33">
      <formula>IF(NoColor,1,0)</formula>
    </cfRule>
  </conditionalFormatting>
  <conditionalFormatting sqref="AT31">
    <cfRule type="expression" dxfId="173" priority="29">
      <formula>IF(NoColor,1,0)</formula>
    </cfRule>
  </conditionalFormatting>
  <conditionalFormatting sqref="BD28">
    <cfRule type="expression" dxfId="172" priority="28">
      <formula>IF(NoColor,1,0)</formula>
    </cfRule>
  </conditionalFormatting>
  <conditionalFormatting sqref="BD33">
    <cfRule type="expression" dxfId="171" priority="27">
      <formula>IF(NoColor,1,0)</formula>
    </cfRule>
  </conditionalFormatting>
  <conditionalFormatting sqref="BD37">
    <cfRule type="expression" dxfId="170" priority="26">
      <formula>IF(NoColor,1,0)</formula>
    </cfRule>
  </conditionalFormatting>
  <conditionalFormatting sqref="B2">
    <cfRule type="expression" dxfId="169" priority="25">
      <formula>IF(NoColor,1,0)</formula>
    </cfRule>
  </conditionalFormatting>
  <conditionalFormatting sqref="L2">
    <cfRule type="expression" dxfId="168" priority="24">
      <formula>IF(NoColor,1,0)</formula>
    </cfRule>
  </conditionalFormatting>
  <conditionalFormatting sqref="V2">
    <cfRule type="expression" dxfId="167" priority="23">
      <formula>IF(NoColor,1,0)</formula>
    </cfRule>
  </conditionalFormatting>
  <conditionalFormatting sqref="V54:Z65">
    <cfRule type="expression" dxfId="166" priority="7">
      <formula>IF(NoColor,1,0)</formula>
    </cfRule>
  </conditionalFormatting>
  <conditionalFormatting sqref="AA54:AE65">
    <cfRule type="expression" dxfId="165" priority="6">
      <formula>IF(NoColor,1,0)</formula>
    </cfRule>
  </conditionalFormatting>
  <conditionalFormatting sqref="Q54:U65">
    <cfRule type="expression" dxfId="164" priority="5">
      <formula>IF(NoColor,1,0)</formula>
    </cfRule>
  </conditionalFormatting>
  <conditionalFormatting sqref="L49:P49">
    <cfRule type="expression" dxfId="163" priority="2">
      <formula>IF($D$42="",1,0)</formula>
    </cfRule>
    <cfRule type="expression" dxfId="162" priority="3">
      <formula>IF(NoColor,1,0)</formula>
    </cfRule>
  </conditionalFormatting>
  <conditionalFormatting sqref="G54:U65">
    <cfRule type="expression" dxfId="161" priority="1">
      <formula>IF($D$42&lt;&gt;"",1,0)</formula>
    </cfRule>
  </conditionalFormatting>
  <pageMargins left="0.7" right="0.2" top="0.25" bottom="0.25" header="0" footer="0"/>
  <pageSetup scale="76" fitToHeight="0" orientation="portrait" horizontalDpi="4294967293" verticalDpi="4294967293" r:id="rId1"/>
  <rowBreaks count="1" manualBreakCount="1">
    <brk id="78" min="1" max="35"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Y57"/>
  <sheetViews>
    <sheetView zoomScaleNormal="100" workbookViewId="0">
      <selection activeCell="L26" sqref="L26"/>
    </sheetView>
  </sheetViews>
  <sheetFormatPr defaultColWidth="9.140625" defaultRowHeight="12.75"/>
  <cols>
    <col min="1" max="1" width="2" style="68" customWidth="1"/>
    <col min="2" max="2" width="3.5703125" style="68" customWidth="1"/>
    <col min="3" max="3" width="2.85546875" style="68" customWidth="1"/>
    <col min="4" max="4" width="5.28515625" style="68" customWidth="1"/>
    <col min="5" max="5" width="9.5703125" style="68" customWidth="1"/>
    <col min="6" max="6" width="2.85546875" style="68" customWidth="1"/>
    <col min="7" max="7" width="40.7109375" style="68" customWidth="1"/>
    <col min="8" max="8" width="7.5703125" style="68" customWidth="1"/>
    <col min="9" max="9" width="4.85546875" style="68" customWidth="1"/>
    <col min="10" max="10" width="13.42578125" style="68" customWidth="1"/>
    <col min="11" max="11" width="3.5703125" style="68" customWidth="1"/>
    <col min="12" max="12" width="13.42578125" style="68" customWidth="1"/>
    <col min="13" max="13" width="3.42578125" style="68" customWidth="1"/>
    <col min="14" max="14" width="2.5703125" style="68" customWidth="1"/>
    <col min="15" max="15" width="2.7109375" style="68" customWidth="1"/>
    <col min="16" max="16" width="3.28515625" style="68" customWidth="1"/>
    <col min="17" max="17" width="1.85546875" style="68" customWidth="1"/>
    <col min="18" max="18" width="10.85546875" style="68" customWidth="1"/>
    <col min="19" max="19" width="18.5703125" style="68" customWidth="1"/>
    <col min="20" max="20" width="8.85546875" style="68" customWidth="1"/>
    <col min="21" max="16384" width="9.140625" style="68"/>
  </cols>
  <sheetData>
    <row r="1" spans="1:14" ht="15.75" customHeight="1">
      <c r="A1" s="117"/>
      <c r="B1" s="117"/>
      <c r="C1" s="117"/>
      <c r="D1" s="117"/>
      <c r="E1" s="117"/>
      <c r="F1" s="117"/>
      <c r="G1" s="117"/>
      <c r="H1" s="117"/>
      <c r="I1" s="117"/>
      <c r="J1" s="117"/>
      <c r="K1" s="117"/>
      <c r="L1" s="117"/>
      <c r="M1" s="117"/>
      <c r="N1" s="117"/>
    </row>
    <row r="2" spans="1:14" ht="13.5" customHeight="1">
      <c r="A2" s="117"/>
      <c r="B2" s="2991" t="s">
        <v>1801</v>
      </c>
      <c r="C2" s="2990"/>
      <c r="D2" s="2990"/>
      <c r="E2" s="2990"/>
      <c r="F2" s="2990"/>
      <c r="G2" s="2990"/>
      <c r="H2" s="2990"/>
      <c r="I2" s="2990"/>
      <c r="J2" s="2990"/>
      <c r="K2" s="2990"/>
      <c r="L2" s="2990"/>
      <c r="M2" s="117"/>
      <c r="N2" s="117"/>
    </row>
    <row r="3" spans="1:14" ht="13.5" customHeight="1">
      <c r="A3" s="117"/>
      <c r="B3" s="2992" t="str">
        <f>"1. You received a refund in "&amp;TaxYear&amp;" that is for a tax year other than "&amp;TaxYear-1&amp;"."</f>
        <v>1. You received a refund in 2014 that is for a tax year other than 2013.</v>
      </c>
      <c r="C3" s="2990"/>
      <c r="D3" s="2990"/>
      <c r="E3" s="2990"/>
      <c r="F3" s="2990"/>
      <c r="G3" s="2990"/>
      <c r="H3" s="2990"/>
      <c r="I3" s="2990"/>
      <c r="J3" s="2990"/>
      <c r="K3" s="2990"/>
      <c r="L3" s="2990"/>
      <c r="M3" s="117"/>
      <c r="N3" s="117"/>
    </row>
    <row r="4" spans="1:14" ht="13.5" customHeight="1">
      <c r="A4" s="117"/>
      <c r="B4" s="2992" t="str">
        <f>"2. You received a refund other than an income tax refund, such as a general sales tax or real property tax refund, in "&amp;TaxYear&amp;" of an amount deducted or"</f>
        <v>2. You received a refund other than an income tax refund, such as a general sales tax or real property tax refund, in 2014 of an amount deducted or</v>
      </c>
      <c r="C4" s="2990"/>
      <c r="D4" s="2990"/>
      <c r="E4" s="2990"/>
      <c r="F4" s="2990"/>
      <c r="G4" s="2990"/>
      <c r="H4" s="2990"/>
      <c r="I4" s="2990"/>
      <c r="J4" s="2990"/>
      <c r="K4" s="2990"/>
      <c r="L4" s="2990"/>
      <c r="M4" s="117"/>
      <c r="N4" s="117"/>
    </row>
    <row r="5" spans="1:14" ht="13.5" customHeight="1">
      <c r="A5" s="117"/>
      <c r="B5" s="2992" t="s">
        <v>1802</v>
      </c>
      <c r="C5" s="2990"/>
      <c r="D5" s="2990"/>
      <c r="E5" s="2990"/>
      <c r="F5" s="2990"/>
      <c r="G5" s="2990"/>
      <c r="H5" s="2990"/>
      <c r="I5" s="2990"/>
      <c r="J5" s="2990"/>
      <c r="K5" s="2990"/>
      <c r="L5" s="2990"/>
      <c r="M5" s="117"/>
      <c r="N5" s="117"/>
    </row>
    <row r="6" spans="1:14" ht="13.5" customHeight="1">
      <c r="A6" s="117"/>
      <c r="B6" s="2992" t="str">
        <f>"3. The amount on your "&amp;TaxYear-1&amp;" Form 1040, line 42, was more than the amount on your "&amp;TaxYear-1&amp;" Form 1040, line 41."</f>
        <v>3. The amount on your 2013 Form 1040, line 42, was more than the amount on your 2013 Form 1040, line 41.</v>
      </c>
      <c r="C6" s="2990"/>
      <c r="D6" s="2990"/>
      <c r="E6" s="2990"/>
      <c r="F6" s="2990"/>
      <c r="G6" s="2990"/>
      <c r="H6" s="2990"/>
      <c r="I6" s="2990"/>
      <c r="J6" s="2990"/>
      <c r="K6" s="2990"/>
      <c r="L6" s="2990"/>
      <c r="M6" s="117"/>
      <c r="N6" s="117"/>
    </row>
    <row r="7" spans="1:14" ht="13.5" customHeight="1">
      <c r="A7" s="117"/>
      <c r="B7" s="2992" t="str">
        <f>"4. You had taxable income on your "&amp;TaxYear-1&amp;" Form 1040, line 43, but no tax on your Form 1040, line 44, because of the 0% tax rate on net capital gain and"</f>
        <v>4. You had taxable income on your 2013 Form 1040, line 43, but no tax on your Form 1040, line 44, because of the 0% tax rate on net capital gain and</v>
      </c>
      <c r="C7" s="2990"/>
      <c r="D7" s="2990"/>
      <c r="E7" s="2990"/>
      <c r="F7" s="2990"/>
      <c r="G7" s="2990"/>
      <c r="H7" s="2990"/>
      <c r="I7" s="2990"/>
      <c r="J7" s="2990"/>
      <c r="K7" s="2990"/>
      <c r="L7" s="2990"/>
      <c r="M7" s="117"/>
      <c r="N7" s="117"/>
    </row>
    <row r="8" spans="1:14" ht="13.5" customHeight="1">
      <c r="A8" s="117"/>
      <c r="B8" s="2992" t="s">
        <v>1803</v>
      </c>
      <c r="C8" s="2990"/>
      <c r="D8" s="2990"/>
      <c r="E8" s="2990"/>
      <c r="F8" s="2990"/>
      <c r="G8" s="2990"/>
      <c r="H8" s="2990"/>
      <c r="I8" s="2990"/>
      <c r="J8" s="2990"/>
      <c r="K8" s="2990"/>
      <c r="L8" s="2990"/>
      <c r="M8" s="117"/>
      <c r="N8" s="117"/>
    </row>
    <row r="9" spans="1:14" ht="13.5" customHeight="1">
      <c r="A9" s="117"/>
      <c r="B9" s="2992" t="str">
        <f>"5. Your "&amp;TaxYear-1&amp;" state and local income tax refund is more than your "&amp;TaxYear-1&amp;" state and local income tax deduction minus the amount you could have"</f>
        <v>5. Your 2013 state and local income tax refund is more than your 2013 state and local income tax deduction minus the amount you could have</v>
      </c>
      <c r="C9" s="2990"/>
      <c r="D9" s="2990"/>
      <c r="E9" s="2990"/>
      <c r="F9" s="2990"/>
      <c r="G9" s="2990"/>
      <c r="H9" s="2990"/>
      <c r="I9" s="2990"/>
      <c r="J9" s="2990"/>
      <c r="K9" s="2990"/>
      <c r="L9" s="2990"/>
      <c r="M9" s="117"/>
      <c r="N9" s="117"/>
    </row>
    <row r="10" spans="1:14" ht="12.75" customHeight="1">
      <c r="A10" s="117"/>
      <c r="B10" s="2992" t="str">
        <f>"    deducted as your "&amp;TaxYear-1&amp;" state and local general sales taxes."</f>
        <v xml:space="preserve">    deducted as your 2013 state and local general sales taxes.</v>
      </c>
      <c r="C10" s="2990"/>
      <c r="D10" s="2990"/>
      <c r="E10" s="2990"/>
      <c r="F10" s="2990"/>
      <c r="G10" s="2990"/>
      <c r="H10" s="2990"/>
      <c r="I10" s="2990"/>
      <c r="J10" s="2990"/>
      <c r="K10" s="2990"/>
      <c r="L10" s="2990"/>
      <c r="M10" s="117"/>
      <c r="N10" s="117"/>
    </row>
    <row r="11" spans="1:14" ht="13.5" customHeight="1">
      <c r="A11" s="117"/>
      <c r="B11" s="2992" t="str">
        <f>"6. You made your last payment of "&amp;TaxYear-1&amp;" estimated state or local income tax in "&amp;TaxYear&amp;"."</f>
        <v>6. You made your last payment of 2013 estimated state or local income tax in 2014.</v>
      </c>
      <c r="C11" s="2990"/>
      <c r="D11" s="2990"/>
      <c r="E11" s="2990"/>
      <c r="F11" s="2990"/>
      <c r="G11" s="2990"/>
      <c r="H11" s="2990"/>
      <c r="I11" s="2990"/>
      <c r="J11" s="2990"/>
      <c r="K11" s="2990"/>
      <c r="L11" s="2990"/>
      <c r="M11" s="117"/>
      <c r="N11" s="117"/>
    </row>
    <row r="12" spans="1:14" ht="13.5" customHeight="1">
      <c r="A12" s="117"/>
      <c r="B12" s="2992" t="str">
        <f>"7. You owed alternative minimum tax in "&amp;TaxYear-1&amp;"."</f>
        <v>7. You owed alternative minimum tax in 2013.</v>
      </c>
      <c r="C12" s="2990"/>
      <c r="D12" s="2990"/>
      <c r="E12" s="2990"/>
      <c r="F12" s="2990"/>
      <c r="G12" s="2990"/>
      <c r="H12" s="2990"/>
      <c r="I12" s="2990"/>
      <c r="J12" s="2990"/>
      <c r="K12" s="2990"/>
      <c r="L12" s="2990"/>
      <c r="M12" s="117"/>
      <c r="N12" s="117"/>
    </row>
    <row r="13" spans="1:14" ht="13.5" customHeight="1">
      <c r="A13" s="117"/>
      <c r="B13" s="2992" t="str">
        <f>"8. You could not use the full amount of credits you were entitled to in "&amp;TaxYear-1&amp;" because the total credits were more than"</f>
        <v>8. You could not use the full amount of credits you were entitled to in 2013 because the total credits were more than</v>
      </c>
      <c r="C13" s="2990"/>
      <c r="D13" s="2990"/>
      <c r="E13" s="2990"/>
      <c r="F13" s="2990"/>
      <c r="G13" s="2990"/>
      <c r="H13" s="2990"/>
      <c r="I13" s="2990"/>
      <c r="J13" s="2990"/>
      <c r="K13" s="2990"/>
      <c r="L13" s="2990"/>
      <c r="M13" s="117"/>
      <c r="N13" s="117"/>
    </row>
    <row r="14" spans="1:14" ht="13.5" customHeight="1">
      <c r="A14" s="117"/>
      <c r="B14" s="2992" t="str">
        <f>"    the amount shown on your "&amp;TaxYear-1&amp;" Form 1040, line 46."</f>
        <v xml:space="preserve">    the amount shown on your 2013 Form 1040, line 46.</v>
      </c>
      <c r="C14" s="2990"/>
      <c r="D14" s="2990"/>
      <c r="E14" s="2990"/>
      <c r="F14" s="2990"/>
      <c r="G14" s="2990"/>
      <c r="H14" s="2990"/>
      <c r="I14" s="2990"/>
      <c r="J14" s="2990"/>
      <c r="K14" s="2990"/>
      <c r="L14" s="2990"/>
      <c r="M14" s="117"/>
      <c r="N14" s="117"/>
    </row>
    <row r="15" spans="1:14" ht="13.5" customHeight="1">
      <c r="A15" s="117"/>
      <c r="B15" s="2992" t="str">
        <f>"9. You could be claimed as a dependent someone else in "&amp;TaxYear-1&amp;"."</f>
        <v>9. You could be claimed as a dependent someone else in 2013.</v>
      </c>
      <c r="C15" s="2990"/>
      <c r="D15" s="2990"/>
      <c r="E15" s="2990"/>
      <c r="F15" s="2990"/>
      <c r="G15" s="2990"/>
      <c r="H15" s="2990"/>
      <c r="I15" s="2990"/>
      <c r="J15" s="2990"/>
      <c r="K15" s="2990"/>
      <c r="L15" s="2990"/>
      <c r="M15" s="117"/>
      <c r="N15" s="117"/>
    </row>
    <row r="16" spans="1:14" ht="13.5" customHeight="1">
      <c r="A16" s="117"/>
      <c r="B16" s="2992" t="str">
        <f>"10. You received a refund because of a jointly filed state or local income tax return, but you are not filing a joint "&amp;TaxYear&amp;" Form 1040 with the same person."</f>
        <v>10. You received a refund because of a jointly filed state or local income tax return, but you are not filing a joint 2014 Form 1040 with the same person.</v>
      </c>
      <c r="C16" s="2990"/>
      <c r="D16" s="2990"/>
      <c r="E16" s="2990"/>
      <c r="F16" s="2990"/>
      <c r="G16" s="2990"/>
      <c r="H16" s="2990"/>
      <c r="I16" s="2990"/>
      <c r="J16" s="2990"/>
      <c r="K16" s="2990"/>
      <c r="L16" s="2990"/>
      <c r="M16" s="117"/>
      <c r="N16" s="117"/>
    </row>
    <row r="17" spans="1:25" ht="13.5" customHeight="1">
      <c r="A17" s="117"/>
      <c r="B17" s="2992" t="str">
        <f>"11. You had to use the Itemized Deductions Worksheet in the "&amp;TaxYear-1&amp;" Instructions for Schedule A and both of the following apply."</f>
        <v>11. You had to use the Itemized Deductions Worksheet in the 2013 Instructions for Schedule A and both of the following apply.</v>
      </c>
      <c r="C17" s="2990"/>
      <c r="D17" s="2990"/>
      <c r="E17" s="2990"/>
      <c r="F17" s="2990"/>
      <c r="G17" s="2990"/>
      <c r="H17" s="2990"/>
      <c r="I17" s="2990"/>
      <c r="J17" s="2990"/>
      <c r="K17" s="2990"/>
      <c r="L17" s="2990"/>
      <c r="M17" s="117"/>
      <c r="N17" s="117"/>
    </row>
    <row r="18" spans="1:25" ht="13.5" customHeight="1">
      <c r="A18" s="117"/>
      <c r="B18" s="2992"/>
      <c r="C18" s="2990" t="str">
        <f>"a.  You could not deduct all of the amount on the "&amp;TaxYear-1&amp;" Itemized Deductions Worksheet, line 1."</f>
        <v>a.  You could not deduct all of the amount on the 2013 Itemized Deductions Worksheet, line 1.</v>
      </c>
      <c r="D18" s="2990"/>
      <c r="E18" s="2990"/>
      <c r="F18" s="2990"/>
      <c r="G18" s="2990"/>
      <c r="H18" s="2990"/>
      <c r="I18" s="2990"/>
      <c r="J18" s="2990"/>
      <c r="K18" s="2990"/>
      <c r="L18" s="2990"/>
      <c r="M18" s="117"/>
      <c r="N18" s="117"/>
    </row>
    <row r="19" spans="1:25" ht="13.5" customHeight="1">
      <c r="A19" s="117"/>
      <c r="B19" s="2992"/>
      <c r="C19" s="2990" t="str">
        <f>"b.  The amount on line 8 of that "&amp;TaxYear-1&amp;" worksheet would be more than the amount on line 4 of that worksheet if the amount on line 4 were reduced"</f>
        <v>b.  The amount on line 8 of that 2013 worksheet would be more than the amount on line 4 of that worksheet if the amount on line 4 were reduced</v>
      </c>
      <c r="D19" s="2990"/>
      <c r="E19" s="2990"/>
      <c r="F19" s="2990"/>
      <c r="G19" s="2990"/>
      <c r="H19" s="2990"/>
      <c r="I19" s="2990"/>
      <c r="J19" s="2990"/>
      <c r="K19" s="2990"/>
      <c r="L19" s="2990"/>
      <c r="M19" s="117"/>
      <c r="N19" s="117"/>
    </row>
    <row r="20" spans="1:25" ht="13.5" customHeight="1">
      <c r="A20" s="117"/>
      <c r="B20" s="2992"/>
      <c r="C20" s="2990" t="str">
        <f>"      by 80% of the refund you received in "&amp;TaxYear&amp;"."</f>
        <v xml:space="preserve">      by 80% of the refund you received in 2014.</v>
      </c>
      <c r="D20" s="2990"/>
      <c r="E20" s="2990"/>
      <c r="F20" s="2990"/>
      <c r="G20" s="2990"/>
      <c r="H20" s="2990"/>
      <c r="I20" s="2990"/>
      <c r="J20" s="2990"/>
      <c r="K20" s="2990"/>
      <c r="L20" s="2990"/>
      <c r="M20" s="117"/>
      <c r="N20" s="117"/>
    </row>
    <row r="21" spans="1:25">
      <c r="A21" s="117"/>
      <c r="B21" s="117"/>
      <c r="C21" s="117"/>
      <c r="D21" s="117"/>
      <c r="E21" s="117"/>
      <c r="F21" s="117"/>
      <c r="G21" s="117"/>
      <c r="H21" s="117"/>
      <c r="I21" s="117"/>
      <c r="J21" s="117"/>
      <c r="K21" s="117"/>
      <c r="L21" s="117"/>
      <c r="M21" s="117"/>
      <c r="N21" s="117"/>
    </row>
    <row r="22" spans="1:25" ht="31.5" customHeight="1" thickBot="1">
      <c r="A22" s="1048"/>
      <c r="B22" s="124" t="s">
        <v>432</v>
      </c>
      <c r="C22" s="125"/>
      <c r="D22" s="126"/>
      <c r="E22" s="126"/>
      <c r="F22" s="126"/>
      <c r="G22" s="126"/>
      <c r="H22" s="126"/>
      <c r="I22" s="492"/>
      <c r="J22" s="505"/>
      <c r="K22" s="492" t="s">
        <v>300</v>
      </c>
      <c r="L22" s="128"/>
      <c r="M22" s="128"/>
      <c r="N22" s="1048"/>
      <c r="O22" s="129"/>
      <c r="P22" s="129"/>
      <c r="Q22" s="129"/>
      <c r="R22" s="129"/>
    </row>
    <row r="23" spans="1:25" ht="15.75" customHeight="1">
      <c r="A23" s="1048"/>
      <c r="B23" s="493"/>
      <c r="C23" s="776" t="s">
        <v>362</v>
      </c>
      <c r="D23" s="1286"/>
      <c r="E23" s="1286"/>
      <c r="F23" s="1289" t="s">
        <v>73</v>
      </c>
      <c r="G23" s="1654" t="s">
        <v>973</v>
      </c>
      <c r="H23" s="1286"/>
      <c r="I23" s="1287"/>
      <c r="J23" s="1288"/>
      <c r="K23" s="1287"/>
      <c r="L23" s="1199"/>
      <c r="M23" s="1200"/>
      <c r="N23" s="1048"/>
      <c r="Y23" s="314"/>
    </row>
    <row r="24" spans="1:25" ht="15.75" customHeight="1" thickBot="1">
      <c r="A24" s="1048"/>
      <c r="B24" s="1290"/>
      <c r="C24" s="1291"/>
      <c r="D24" s="1292"/>
      <c r="E24" s="1292"/>
      <c r="F24" s="1293"/>
      <c r="G24" s="1298" t="s">
        <v>219</v>
      </c>
      <c r="H24" s="1292"/>
      <c r="I24" s="1294"/>
      <c r="J24" s="1295"/>
      <c r="K24" s="1294"/>
      <c r="L24" s="1296"/>
      <c r="M24" s="1297"/>
      <c r="N24" s="1048"/>
    </row>
    <row r="25" spans="1:25" ht="14.25" customHeight="1">
      <c r="A25" s="1048"/>
      <c r="B25" s="409">
        <v>1</v>
      </c>
      <c r="C25" s="99" t="s">
        <v>534</v>
      </c>
      <c r="D25" s="434"/>
      <c r="E25" s="434"/>
      <c r="F25" s="434"/>
      <c r="G25" s="434"/>
      <c r="H25" s="434"/>
      <c r="I25" s="125"/>
      <c r="J25" s="434"/>
      <c r="K25" s="1285"/>
      <c r="L25" s="434"/>
      <c r="M25" s="499"/>
      <c r="N25" s="1048"/>
      <c r="O25" s="863"/>
      <c r="P25" s="501"/>
      <c r="Q25" s="93"/>
      <c r="R25" s="93"/>
      <c r="S25" s="93"/>
      <c r="T25" s="500"/>
    </row>
    <row r="26" spans="1:25">
      <c r="A26" s="117"/>
      <c r="B26" s="98"/>
      <c r="C26" s="99" t="str">
        <f>"the amount of your state and local income taxes shown on your "&amp;TaxYear-1&amp;" Schedule A, line 5"</f>
        <v>the amount of your state and local income taxes shown on your 2013 Schedule A, line 5</v>
      </c>
      <c r="D26" s="94"/>
      <c r="E26" s="94"/>
      <c r="F26" s="94"/>
      <c r="G26" s="94"/>
      <c r="H26" s="94"/>
      <c r="I26" s="100"/>
      <c r="J26" s="395" t="s">
        <v>974</v>
      </c>
      <c r="K26" s="101">
        <v>1</v>
      </c>
      <c r="L26" s="430"/>
      <c r="M26" s="497"/>
      <c r="N26" s="117"/>
      <c r="O26" s="859"/>
      <c r="P26" s="382" t="str">
        <f>"Indicate your "&amp;TaxYear-1&amp;" filing status below:"</f>
        <v>Indicate your 2013 filing status below:</v>
      </c>
      <c r="Q26" s="46"/>
      <c r="R26" s="46"/>
      <c r="S26" s="46"/>
      <c r="T26" s="140"/>
    </row>
    <row r="27" spans="1:25" ht="15.75" customHeight="1">
      <c r="A27" s="117"/>
      <c r="B27" s="98">
        <v>2</v>
      </c>
      <c r="C27" s="99" t="str">
        <f>"Enter your total allowable itemized deductions from your "&amp;TaxYear-1&amp;" Schedule A, line 29."</f>
        <v>Enter your total allowable itemized deductions from your 2013 Schedule A, line 29.</v>
      </c>
      <c r="D27" s="94"/>
      <c r="E27" s="94"/>
      <c r="F27" s="94"/>
      <c r="G27" s="94"/>
      <c r="H27" s="1120"/>
      <c r="I27" s="100">
        <v>2</v>
      </c>
      <c r="J27" s="1868"/>
      <c r="K27" s="100"/>
      <c r="L27" s="3126">
        <f>ROUND(L26,0)</f>
        <v>0</v>
      </c>
      <c r="M27" s="497"/>
      <c r="N27" s="117"/>
      <c r="O27" s="861"/>
      <c r="P27" s="590" t="str">
        <f>IF(O27=0,"Check one.",IF(O38&gt;1,"Check only one.",""))</f>
        <v>Check one.</v>
      </c>
      <c r="Q27" s="46"/>
      <c r="R27" s="46"/>
      <c r="S27" s="46"/>
      <c r="T27" s="140"/>
    </row>
    <row r="28" spans="1:25" ht="9" customHeight="1" thickBot="1">
      <c r="A28" s="117"/>
      <c r="B28" s="98"/>
      <c r="C28" s="99"/>
      <c r="D28" s="94"/>
      <c r="E28" s="94"/>
      <c r="F28" s="94"/>
      <c r="G28" s="94"/>
      <c r="H28" s="94"/>
      <c r="I28" s="100"/>
      <c r="J28" s="445"/>
      <c r="K28" s="100"/>
      <c r="L28" s="504"/>
      <c r="M28" s="497"/>
      <c r="N28" s="117"/>
      <c r="O28" s="1656" t="b">
        <f>IF(O38=1,TRUE,FALSE)</f>
        <v>0</v>
      </c>
      <c r="P28" s="46"/>
      <c r="Q28" s="46"/>
      <c r="R28" s="46"/>
      <c r="S28" s="46"/>
      <c r="T28" s="140"/>
    </row>
    <row r="29" spans="1:25" ht="16.5" customHeight="1" thickTop="1" thickBot="1">
      <c r="A29" s="117"/>
      <c r="B29" s="98"/>
      <c r="C29" s="495" t="s">
        <v>535</v>
      </c>
      <c r="D29" s="495"/>
      <c r="E29" s="496" t="str">
        <f>"If the filing status on your "&amp;TaxYear-1&amp;" Form 1040 return was married filing separately and"</f>
        <v>If the filing status on your 2013 Form 1040 return was married filing separately and</v>
      </c>
      <c r="F29" s="496"/>
      <c r="G29" s="496"/>
      <c r="H29" s="496"/>
      <c r="I29" s="100"/>
      <c r="J29" s="94"/>
      <c r="K29" s="3362"/>
      <c r="L29" s="1422" t="s">
        <v>2246</v>
      </c>
      <c r="M29" s="102"/>
      <c r="N29" s="117"/>
      <c r="O29" s="861">
        <f>IF(P29&lt;&gt;"",1,0)</f>
        <v>0</v>
      </c>
      <c r="P29" s="862"/>
      <c r="Q29" s="46"/>
      <c r="R29" s="46" t="s">
        <v>127</v>
      </c>
      <c r="S29" s="46"/>
      <c r="T29" s="140"/>
    </row>
    <row r="30" spans="1:25" ht="14.25" thickTop="1" thickBot="1">
      <c r="A30" s="117"/>
      <c r="B30" s="98"/>
      <c r="C30" s="494" t="str">
        <f>"your spouse itemized deductions in "&amp;TaxYear-1&amp;", skip lines 3 through 5, enter the amount from"</f>
        <v>your spouse itemized deductions in 2013, skip lines 3 through 5, enter the amount from</v>
      </c>
      <c r="D30" s="94"/>
      <c r="E30" s="94"/>
      <c r="F30" s="94"/>
      <c r="G30" s="94"/>
      <c r="H30" s="94"/>
      <c r="I30" s="100"/>
      <c r="J30" s="94"/>
      <c r="K30" s="100"/>
      <c r="L30" s="1869" t="s">
        <v>495</v>
      </c>
      <c r="M30" s="102"/>
      <c r="N30" s="117"/>
      <c r="O30" s="861"/>
      <c r="P30" s="767"/>
      <c r="Q30" s="46"/>
      <c r="R30" s="46"/>
      <c r="S30" s="46"/>
      <c r="T30" s="140"/>
    </row>
    <row r="31" spans="1:25" ht="15" customHeight="1" thickBot="1">
      <c r="A31" s="117"/>
      <c r="B31" s="98"/>
      <c r="C31" s="1655" t="s">
        <v>1612</v>
      </c>
      <c r="D31" s="868"/>
      <c r="E31" s="868"/>
      <c r="F31" s="868"/>
      <c r="G31" s="868"/>
      <c r="H31" s="94"/>
      <c r="I31" s="100"/>
      <c r="J31" s="1596" t="b">
        <f>IF(K29&lt;&gt;"",TRUE,FALSE)</f>
        <v>0</v>
      </c>
      <c r="K31" s="100"/>
      <c r="L31" s="1869" t="s">
        <v>496</v>
      </c>
      <c r="M31" s="102"/>
      <c r="N31" s="117"/>
      <c r="O31" s="861">
        <f>IF(P31&lt;&gt;"",1,0)</f>
        <v>0</v>
      </c>
      <c r="P31" s="862"/>
      <c r="Q31" s="46"/>
      <c r="R31" s="46" t="s">
        <v>794</v>
      </c>
      <c r="S31" s="46"/>
      <c r="T31" s="140"/>
    </row>
    <row r="32" spans="1:25" ht="24.75" customHeight="1" thickBot="1">
      <c r="A32" s="117"/>
      <c r="B32" s="409">
        <v>3</v>
      </c>
      <c r="C32" s="503" t="s">
        <v>710</v>
      </c>
      <c r="D32" s="496"/>
      <c r="E32" s="496"/>
      <c r="F32" s="496"/>
      <c r="G32" s="496"/>
      <c r="H32" s="446"/>
      <c r="I32" s="100"/>
      <c r="J32" s="94"/>
      <c r="K32" s="100"/>
      <c r="L32" s="788">
        <v>6100</v>
      </c>
      <c r="M32" s="102"/>
      <c r="N32" s="117"/>
      <c r="O32" s="861"/>
      <c r="P32" s="767"/>
      <c r="Q32" s="46"/>
      <c r="R32" s="46"/>
      <c r="S32" s="46"/>
      <c r="T32" s="140"/>
    </row>
    <row r="33" spans="1:20" ht="13.5" thickBot="1">
      <c r="A33" s="117"/>
      <c r="B33" s="98"/>
      <c r="C33" s="99" t="str">
        <f>"claimed on your "&amp;TaxYear-1&amp;" Form 1040."</f>
        <v>claimed on your 2013 Form 1040.</v>
      </c>
      <c r="D33" s="94"/>
      <c r="E33" s="94"/>
      <c r="F33" s="94"/>
      <c r="G33" s="94"/>
      <c r="H33" s="404"/>
      <c r="I33" s="100"/>
      <c r="J33" s="94"/>
      <c r="K33" s="100"/>
      <c r="L33" s="788">
        <v>12200</v>
      </c>
      <c r="M33" s="102"/>
      <c r="N33" s="117"/>
      <c r="O33" s="861">
        <f>IF(P33&lt;&gt;"",1,0)</f>
        <v>0</v>
      </c>
      <c r="P33" s="862"/>
      <c r="Q33" s="46"/>
      <c r="R33" s="46" t="s">
        <v>462</v>
      </c>
      <c r="S33" s="46"/>
      <c r="T33" s="140"/>
    </row>
    <row r="34" spans="1:20" ht="13.5" thickBot="1">
      <c r="A34" s="117"/>
      <c r="B34" s="98"/>
      <c r="C34" s="104" t="s">
        <v>585</v>
      </c>
      <c r="D34" s="99" t="str">
        <f>"Single or married filing separately–- "&amp;TEXT(L32,"$0,000")</f>
        <v>Single or married filing separately–- $6,100</v>
      </c>
      <c r="E34" s="94"/>
      <c r="F34" s="94"/>
      <c r="G34" s="94"/>
      <c r="H34" s="404"/>
      <c r="I34" s="100"/>
      <c r="J34" s="94"/>
      <c r="K34" s="100"/>
      <c r="L34" s="788"/>
      <c r="M34" s="102"/>
      <c r="N34" s="117"/>
      <c r="O34" s="861"/>
      <c r="P34" s="607"/>
      <c r="Q34" s="46"/>
      <c r="R34" s="46"/>
      <c r="S34" s="46"/>
      <c r="T34" s="140"/>
    </row>
    <row r="35" spans="1:20" ht="15" customHeight="1" thickBot="1">
      <c r="A35" s="117"/>
      <c r="B35" s="98"/>
      <c r="C35" s="104" t="s">
        <v>585</v>
      </c>
      <c r="D35" s="99" t="str">
        <f>"Married filing jointly or qualifying widow(er)–-"&amp;TEXT(L33,"$0,000")</f>
        <v>Married filing jointly or qualifying widow(er)–-$12,200</v>
      </c>
      <c r="E35" s="94"/>
      <c r="F35" s="94"/>
      <c r="G35" s="94"/>
      <c r="H35" s="1120"/>
      <c r="I35" s="100">
        <v>3</v>
      </c>
      <c r="J35" s="429" t="str">
        <f>IF(J31,"",IF(O38&gt;1,"",IF(OR(P29&lt;&gt;"",P33&lt;&gt;""),L32,IF(OR(P31&lt;&gt;"",P37&lt;&gt;""),L33,IF(P35&lt;&gt;"",L35,"")))))</f>
        <v/>
      </c>
      <c r="K35" s="100"/>
      <c r="L35" s="788">
        <v>8950</v>
      </c>
      <c r="M35" s="102"/>
      <c r="N35" s="117"/>
      <c r="O35" s="861">
        <f>IF(P35&lt;&gt;"",1,0)</f>
        <v>0</v>
      </c>
      <c r="P35" s="862"/>
      <c r="Q35" s="46"/>
      <c r="R35" s="46" t="s">
        <v>463</v>
      </c>
      <c r="S35" s="46"/>
      <c r="T35" s="140"/>
    </row>
    <row r="36" spans="1:20" ht="13.5" thickBot="1">
      <c r="A36" s="117"/>
      <c r="B36" s="98"/>
      <c r="C36" s="104" t="s">
        <v>585</v>
      </c>
      <c r="D36" s="99" t="str">
        <f>"Head of household–-"&amp;TEXT(L35,"$0,000")</f>
        <v>Head of household–-$8,950</v>
      </c>
      <c r="E36" s="94"/>
      <c r="F36" s="94"/>
      <c r="G36" s="94"/>
      <c r="H36" s="395"/>
      <c r="I36" s="100"/>
      <c r="J36" s="445"/>
      <c r="K36" s="100"/>
      <c r="L36" s="94"/>
      <c r="M36" s="102"/>
      <c r="N36" s="117"/>
      <c r="O36" s="861"/>
      <c r="P36" s="607"/>
      <c r="Q36" s="46"/>
      <c r="R36" s="46"/>
      <c r="S36" s="46"/>
      <c r="T36" s="140"/>
    </row>
    <row r="37" spans="1:20" ht="15" customHeight="1" thickBot="1">
      <c r="A37" s="117"/>
      <c r="B37" s="98"/>
      <c r="C37" s="104"/>
      <c r="D37" s="99"/>
      <c r="E37" s="94"/>
      <c r="F37" s="94"/>
      <c r="G37" s="94"/>
      <c r="H37" s="94"/>
      <c r="I37" s="100"/>
      <c r="J37" s="94"/>
      <c r="K37" s="100"/>
      <c r="L37" s="1138" t="str">
        <f>"Indicate your "&amp;TaxYear-1&amp;" filing status here. "</f>
        <v xml:space="preserve">Indicate your 2013 filing status here. </v>
      </c>
      <c r="M37" s="1110" t="s">
        <v>536</v>
      </c>
      <c r="N37" s="117"/>
      <c r="O37" s="861">
        <f>IF(P37&lt;&gt;"",1,0)</f>
        <v>0</v>
      </c>
      <c r="P37" s="862"/>
      <c r="Q37" s="46"/>
      <c r="R37" s="46" t="s">
        <v>714</v>
      </c>
      <c r="S37" s="46"/>
      <c r="T37" s="140"/>
    </row>
    <row r="38" spans="1:20" ht="13.5" thickBot="1">
      <c r="A38" s="117"/>
      <c r="B38" s="409">
        <v>4</v>
      </c>
      <c r="C38" s="99" t="str">
        <f>"Did you fill in line 39a on your "&amp;TaxYear-1&amp;" Form 1040?"</f>
        <v>Did you fill in line 39a on your 2013 Form 1040?</v>
      </c>
      <c r="D38" s="434"/>
      <c r="E38" s="434"/>
      <c r="F38" s="434"/>
      <c r="G38" s="434"/>
      <c r="H38" s="434"/>
      <c r="I38" s="125"/>
      <c r="J38" s="146"/>
      <c r="K38" s="125"/>
      <c r="L38" s="1872" t="str">
        <f>IF(P40="","","STOP!  You may not use this worksheet.")</f>
        <v/>
      </c>
      <c r="M38" s="499"/>
      <c r="N38" s="117"/>
      <c r="O38" s="861">
        <f>SUM(O29,O31,O33,O35,O37)</f>
        <v>0</v>
      </c>
      <c r="P38" s="1373"/>
      <c r="Q38" s="46"/>
      <c r="R38" s="46"/>
      <c r="S38" s="46"/>
      <c r="T38" s="140"/>
    </row>
    <row r="39" spans="1:20" ht="15" customHeight="1" thickBot="1">
      <c r="A39" s="1048"/>
      <c r="B39" s="98"/>
      <c r="C39" s="3471" t="str">
        <f>IF(R44="","X","")</f>
        <v>X</v>
      </c>
      <c r="D39" s="399" t="s">
        <v>711</v>
      </c>
      <c r="E39" s="94" t="s">
        <v>712</v>
      </c>
      <c r="F39" s="94"/>
      <c r="G39" s="94"/>
      <c r="H39" s="94"/>
      <c r="I39" s="94"/>
      <c r="J39" s="146"/>
      <c r="K39" s="100"/>
      <c r="L39" s="1872" t="str">
        <f>IF(P40="","","See Exception above and Publication 525.")</f>
        <v/>
      </c>
      <c r="M39" s="102"/>
      <c r="N39" s="1048"/>
      <c r="O39" s="861"/>
      <c r="P39" s="607"/>
      <c r="Q39" s="46"/>
      <c r="R39" s="46"/>
      <c r="S39" s="46"/>
      <c r="T39" s="140"/>
    </row>
    <row r="40" spans="1:20" ht="12.75" customHeight="1" thickBot="1">
      <c r="A40" s="117"/>
      <c r="B40" s="98"/>
      <c r="C40" s="75"/>
      <c r="D40" s="590" t="str">
        <f>IF(P40&lt;&gt;"","",IF(AND($C$39&lt;&gt;"",$C$41&lt;&gt;""),"Check ONLY one.",IF(OR($C$39&lt;&gt;"",$C$41&lt;&gt;""),"","Check one.")))</f>
        <v/>
      </c>
      <c r="E40" s="106"/>
      <c r="F40" s="106"/>
      <c r="G40" s="106"/>
      <c r="H40" s="106"/>
      <c r="I40" s="94"/>
      <c r="J40" s="146"/>
      <c r="K40" s="100"/>
      <c r="L40" s="788">
        <v>1200</v>
      </c>
      <c r="M40" s="102"/>
      <c r="N40" s="117"/>
      <c r="O40" s="861"/>
      <c r="P40" s="862"/>
      <c r="Q40" s="46"/>
      <c r="R40" s="46" t="s">
        <v>75</v>
      </c>
      <c r="S40" s="46"/>
      <c r="T40" s="140"/>
    </row>
    <row r="41" spans="1:20" ht="15" customHeight="1" thickBot="1">
      <c r="A41" s="117"/>
      <c r="B41" s="98"/>
      <c r="C41" s="3471" t="str">
        <f>IF(R44="","","X")</f>
        <v/>
      </c>
      <c r="D41" s="64" t="s">
        <v>713</v>
      </c>
      <c r="E41" s="94" t="str">
        <f>"Multiply the number on line "&amp;P44&amp;" of your "</f>
        <v xml:space="preserve">Multiply the number on line 39a of your </v>
      </c>
      <c r="F41" s="94"/>
      <c r="G41" s="94"/>
      <c r="H41" s="320"/>
      <c r="I41" s="94"/>
      <c r="J41" s="146"/>
      <c r="K41" s="100"/>
      <c r="L41" s="788">
        <v>1500</v>
      </c>
      <c r="M41" s="102"/>
      <c r="N41" s="117"/>
      <c r="O41" s="859"/>
      <c r="P41" s="1870"/>
      <c r="Q41" s="46"/>
      <c r="R41" s="46"/>
      <c r="S41" s="46"/>
      <c r="T41" s="140"/>
    </row>
    <row r="42" spans="1:20" ht="12.75" customHeight="1" thickBot="1">
      <c r="A42" s="117"/>
      <c r="B42" s="98"/>
      <c r="D42" s="94"/>
      <c r="E42" s="108" t="str">
        <f>TaxYear-1&amp;" Form 1040 by: "&amp;TEXT(L40,"$0,000")&amp;" ("&amp;TEXT(L41,"$0,000")&amp;" if your "&amp;TaxYear-1&amp;" filing"</f>
        <v>2013 Form 1040 by: $1,200 ($1,500 if your 2013 filing</v>
      </c>
      <c r="F42" s="108"/>
      <c r="G42" s="108"/>
      <c r="H42" s="103"/>
      <c r="I42" s="125">
        <v>4</v>
      </c>
      <c r="J42" s="506" t="str">
        <f>IF(OR(J31,P40&lt;&gt;"",O38&lt;&gt;1),"",IF(C39&lt;&gt;"",0,IF(AND(C39="",C41&lt;&gt;""),
   IF(OR(P31&lt;&gt;"",P33&lt;&gt;"",P37&lt;&gt;""),L40*R44,IF(OR(P29&lt;&gt;"",P35&lt;&gt;""),L41*R44,0)),"")))</f>
        <v/>
      </c>
      <c r="K42" s="100"/>
      <c r="L42" s="94"/>
      <c r="M42" s="102"/>
      <c r="N42" s="117"/>
      <c r="O42" s="860"/>
      <c r="P42" s="1873"/>
      <c r="Q42" s="55"/>
      <c r="R42" s="55"/>
      <c r="S42" s="55"/>
      <c r="T42" s="141"/>
    </row>
    <row r="43" spans="1:20" ht="12.75" customHeight="1">
      <c r="A43" s="117"/>
      <c r="B43" s="98"/>
      <c r="C43" s="108"/>
      <c r="D43" s="94"/>
      <c r="E43" s="173" t="s">
        <v>1230</v>
      </c>
      <c r="F43" s="94"/>
      <c r="G43" s="94"/>
      <c r="H43" s="94"/>
      <c r="I43" s="109"/>
      <c r="J43" s="94"/>
      <c r="K43" s="100"/>
      <c r="L43" s="94"/>
      <c r="M43" s="102"/>
      <c r="N43" s="117"/>
      <c r="O43" s="130"/>
      <c r="P43" s="48"/>
      <c r="Q43" s="48"/>
      <c r="R43" s="48"/>
      <c r="S43" s="48"/>
      <c r="T43" s="139"/>
    </row>
    <row r="44" spans="1:20" ht="12" customHeight="1" thickBot="1">
      <c r="A44" s="117"/>
      <c r="B44" s="98"/>
      <c r="C44" s="108"/>
      <c r="D44" s="94"/>
      <c r="E44" s="94"/>
      <c r="F44" s="94"/>
      <c r="G44" s="94"/>
      <c r="H44" s="94"/>
      <c r="I44" s="1109"/>
      <c r="J44" s="94"/>
      <c r="K44" s="100"/>
      <c r="L44" s="1138" t="str">
        <f>IF(OR(P40&lt;&gt;"",R44&lt;&gt;"",C39&lt;&gt;""),"",IF(C41&lt;&gt;"","Enter number on line "&amp;P44&amp;" of your "&amp;TaxYear-1&amp;" Form 1040 here.",""))</f>
        <v/>
      </c>
      <c r="M44" s="1110" t="s">
        <v>536</v>
      </c>
      <c r="N44" s="117"/>
      <c r="O44" s="88"/>
      <c r="P44" s="5200" t="s">
        <v>98</v>
      </c>
      <c r="Q44" s="5201"/>
      <c r="R44" s="1871"/>
      <c r="S44" s="46"/>
      <c r="T44" s="140"/>
    </row>
    <row r="45" spans="1:20" ht="12" customHeight="1" thickBot="1">
      <c r="A45" s="117"/>
      <c r="B45" s="98">
        <v>5</v>
      </c>
      <c r="C45" s="108" t="s">
        <v>1613</v>
      </c>
      <c r="D45" s="94"/>
      <c r="E45" s="94"/>
      <c r="F45" s="94"/>
      <c r="G45" s="94"/>
      <c r="H45" s="75" t="s">
        <v>1229</v>
      </c>
      <c r="I45" s="100">
        <v>5</v>
      </c>
      <c r="J45" s="429" t="str">
        <f>IF(NOT(O28),"",IF(J31,"",IF(OR(P40&lt;&gt;"",AND(J35="",J42="")),"",ROUND(SUM(J35,J42),0))))</f>
        <v/>
      </c>
      <c r="K45" s="100"/>
      <c r="L45" s="94"/>
      <c r="M45" s="102"/>
      <c r="N45" s="117"/>
      <c r="O45" s="131"/>
      <c r="P45" s="55"/>
      <c r="Q45" s="55"/>
      <c r="R45" s="55"/>
      <c r="S45" s="55"/>
      <c r="T45" s="141"/>
    </row>
    <row r="46" spans="1:20" ht="12" customHeight="1">
      <c r="A46" s="117"/>
      <c r="B46" s="98"/>
      <c r="C46" s="99"/>
      <c r="D46" s="94"/>
      <c r="E46" s="94"/>
      <c r="F46" s="94"/>
      <c r="G46" s="94"/>
      <c r="H46" s="94"/>
      <c r="I46" s="100"/>
      <c r="J46" s="94"/>
      <c r="K46" s="100"/>
      <c r="L46" s="94"/>
      <c r="M46" s="102"/>
      <c r="N46" s="117"/>
      <c r="O46" s="37"/>
      <c r="P46" s="37"/>
      <c r="Q46" s="37"/>
      <c r="R46" s="37"/>
      <c r="S46" s="37"/>
      <c r="T46" s="37"/>
    </row>
    <row r="47" spans="1:20">
      <c r="A47" s="117"/>
      <c r="B47" s="98">
        <v>6</v>
      </c>
      <c r="C47" s="108" t="s">
        <v>518</v>
      </c>
      <c r="D47" s="94"/>
      <c r="E47" s="94"/>
      <c r="F47" s="94"/>
      <c r="G47" s="94"/>
      <c r="H47" s="94"/>
      <c r="I47" s="100"/>
      <c r="J47" s="94"/>
      <c r="K47" s="100"/>
      <c r="L47" s="445"/>
      <c r="M47" s="497"/>
      <c r="N47" s="117"/>
      <c r="O47" s="37"/>
      <c r="P47" s="37"/>
      <c r="Q47" s="37"/>
      <c r="R47" s="37"/>
      <c r="S47" s="37"/>
      <c r="T47" s="37"/>
    </row>
    <row r="48" spans="1:20" ht="12" customHeight="1">
      <c r="A48" s="117"/>
      <c r="B48" s="98"/>
      <c r="C48" s="99"/>
      <c r="D48" s="94"/>
      <c r="E48" s="94"/>
      <c r="F48" s="94"/>
      <c r="G48" s="94"/>
      <c r="H48" s="94"/>
      <c r="I48" s="100"/>
      <c r="J48" s="94"/>
      <c r="K48" s="100"/>
      <c r="L48" s="94"/>
      <c r="M48" s="102"/>
      <c r="N48" s="117"/>
      <c r="O48" s="37"/>
      <c r="P48" s="37"/>
      <c r="Q48" s="37"/>
      <c r="R48" s="37"/>
      <c r="S48" s="37"/>
      <c r="T48" s="37"/>
    </row>
    <row r="49" spans="1:21" ht="12" customHeight="1">
      <c r="A49" s="117"/>
      <c r="B49" s="98"/>
      <c r="C49" s="577" t="str">
        <f>IF(OR(NOT(O28),J31,P40&lt;&gt;"",J45&lt;J27),"","X")</f>
        <v/>
      </c>
      <c r="D49" s="94" t="s">
        <v>711</v>
      </c>
      <c r="E49" s="395" t="s">
        <v>578</v>
      </c>
      <c r="F49" s="395"/>
      <c r="G49" s="395"/>
      <c r="H49" s="94"/>
      <c r="I49" s="100"/>
      <c r="J49" s="94"/>
      <c r="K49" s="100"/>
      <c r="L49" s="94"/>
      <c r="M49" s="102"/>
      <c r="N49" s="117"/>
      <c r="O49" s="37"/>
      <c r="P49" s="37"/>
      <c r="Q49" s="37"/>
      <c r="R49" s="38" t="s">
        <v>152</v>
      </c>
      <c r="S49" s="37"/>
      <c r="T49" s="37"/>
      <c r="U49" s="420"/>
    </row>
    <row r="50" spans="1:21" ht="11.25" customHeight="1">
      <c r="A50" s="117"/>
      <c r="B50" s="98"/>
      <c r="C50" s="99"/>
      <c r="D50" s="94"/>
      <c r="E50" s="94"/>
      <c r="F50" s="94"/>
      <c r="G50" s="94"/>
      <c r="H50" s="94"/>
      <c r="I50" s="100"/>
      <c r="J50" s="94"/>
      <c r="K50" s="100"/>
      <c r="L50" s="94"/>
      <c r="M50" s="102"/>
      <c r="N50" s="117"/>
      <c r="O50" s="37"/>
      <c r="P50" s="37"/>
      <c r="Q50" s="37"/>
      <c r="R50" s="38" t="s">
        <v>706</v>
      </c>
      <c r="S50" s="37"/>
      <c r="T50" s="37"/>
    </row>
    <row r="51" spans="1:21">
      <c r="A51" s="117"/>
      <c r="B51" s="98"/>
      <c r="C51" s="577" t="str">
        <f>IF(OR(NOT(O28),J31,C49="X"),"","X")</f>
        <v/>
      </c>
      <c r="D51" s="94" t="s">
        <v>713</v>
      </c>
      <c r="E51" s="173" t="s">
        <v>1614</v>
      </c>
      <c r="F51" s="94"/>
      <c r="G51" s="94"/>
      <c r="H51" s="94"/>
      <c r="I51" s="100"/>
      <c r="J51" s="1120" t="s">
        <v>358</v>
      </c>
      <c r="K51" s="100">
        <v>6</v>
      </c>
      <c r="L51" s="429" t="str">
        <f>IF(NOT(O28),"",IF(J31,J27,IF(P40&lt;&gt;"","",IF(J45&lt;J27,ROUND(J27-J45,0),0))))</f>
        <v/>
      </c>
      <c r="M51" s="102"/>
      <c r="N51" s="117"/>
      <c r="O51" s="37"/>
      <c r="P51" s="37"/>
      <c r="Q51" s="37"/>
      <c r="R51" s="909"/>
      <c r="S51" s="37"/>
      <c r="T51" s="37"/>
    </row>
    <row r="52" spans="1:21" ht="15" customHeight="1">
      <c r="A52" s="117"/>
      <c r="B52" s="98"/>
      <c r="C52" s="103"/>
      <c r="D52" s="94"/>
      <c r="E52" s="94"/>
      <c r="F52" s="94"/>
      <c r="G52" s="94"/>
      <c r="H52" s="94"/>
      <c r="I52" s="100"/>
      <c r="J52" s="94"/>
      <c r="K52" s="100"/>
      <c r="L52" s="94"/>
      <c r="M52" s="497"/>
      <c r="N52" s="117"/>
      <c r="O52" s="37"/>
      <c r="P52" s="37"/>
      <c r="Q52" s="37"/>
      <c r="R52" s="898"/>
      <c r="S52" s="37"/>
      <c r="T52" s="37"/>
    </row>
    <row r="53" spans="1:21">
      <c r="A53" s="117"/>
      <c r="B53" s="98">
        <v>7</v>
      </c>
      <c r="C53" s="107" t="s">
        <v>1804</v>
      </c>
      <c r="D53" s="94"/>
      <c r="E53" s="94"/>
      <c r="F53" s="94"/>
      <c r="G53" s="94"/>
      <c r="H53" s="94"/>
      <c r="I53" s="100"/>
      <c r="J53" s="94"/>
      <c r="K53" s="100">
        <v>7</v>
      </c>
      <c r="L53" s="429" t="str">
        <f>IF(R53&lt;&gt;"",R53,IF(O28,MIN(L27,L51),""))</f>
        <v/>
      </c>
      <c r="M53" s="102"/>
      <c r="N53" s="117"/>
      <c r="O53" s="37"/>
      <c r="P53" s="37"/>
      <c r="Q53" s="37"/>
      <c r="R53" s="1111"/>
      <c r="S53" s="37"/>
      <c r="T53" s="37"/>
    </row>
    <row r="54" spans="1:21" ht="12.75" customHeight="1" thickBot="1">
      <c r="A54" s="117"/>
      <c r="B54" s="131"/>
      <c r="C54" s="55"/>
      <c r="D54" s="55"/>
      <c r="E54" s="55"/>
      <c r="F54" s="55"/>
      <c r="G54" s="55"/>
      <c r="H54" s="55"/>
      <c r="I54" s="55"/>
      <c r="J54" s="55"/>
      <c r="K54" s="55"/>
      <c r="L54" s="55"/>
      <c r="M54" s="141"/>
      <c r="N54" s="117"/>
      <c r="O54" s="37"/>
      <c r="P54" s="37"/>
      <c r="Q54" s="37"/>
      <c r="R54" s="898"/>
      <c r="S54" s="37"/>
      <c r="T54" s="37"/>
    </row>
    <row r="55" spans="1:21">
      <c r="A55" s="117"/>
      <c r="B55" s="117"/>
      <c r="C55" s="117"/>
      <c r="D55" s="117"/>
      <c r="E55" s="117"/>
      <c r="F55" s="117"/>
      <c r="G55" s="117"/>
      <c r="H55" s="117"/>
      <c r="I55" s="117"/>
      <c r="J55" s="117"/>
      <c r="K55" s="117"/>
      <c r="L55" s="117"/>
      <c r="M55" s="117"/>
      <c r="N55" s="117"/>
      <c r="O55" s="37"/>
      <c r="P55" s="37"/>
      <c r="Q55" s="37"/>
      <c r="R55" s="37"/>
      <c r="S55" s="37"/>
      <c r="T55" s="37"/>
    </row>
    <row r="56" spans="1:21" ht="12" customHeight="1">
      <c r="A56" s="37"/>
      <c r="B56" s="37"/>
      <c r="C56" s="37"/>
      <c r="D56" s="37"/>
      <c r="E56" s="37"/>
      <c r="F56" s="37"/>
      <c r="G56" s="37"/>
      <c r="H56" s="37"/>
      <c r="I56" s="37"/>
      <c r="J56" s="37"/>
      <c r="K56" s="37"/>
      <c r="L56" s="37"/>
      <c r="M56" s="37"/>
      <c r="N56" s="37"/>
      <c r="O56" s="37"/>
      <c r="P56" s="37"/>
      <c r="Q56" s="37"/>
      <c r="R56" s="37"/>
      <c r="S56" s="37"/>
      <c r="T56" s="37"/>
    </row>
    <row r="57" spans="1:21" ht="12" customHeight="1">
      <c r="A57" s="37"/>
      <c r="B57" s="37"/>
      <c r="C57" s="37"/>
      <c r="D57" s="37"/>
      <c r="E57" s="37"/>
      <c r="F57" s="37"/>
      <c r="G57" s="37"/>
      <c r="H57" s="37"/>
      <c r="I57" s="37"/>
      <c r="J57" s="37"/>
      <c r="K57" s="37"/>
      <c r="L57" s="37"/>
      <c r="M57" s="37"/>
      <c r="N57" s="37"/>
      <c r="O57" s="37"/>
      <c r="P57" s="37"/>
      <c r="Q57" s="37"/>
      <c r="R57" s="37"/>
      <c r="S57" s="37"/>
      <c r="T57" s="37"/>
    </row>
  </sheetData>
  <sheetProtection password="F07E" sheet="1" objects="1" scenarios="1"/>
  <mergeCells count="1">
    <mergeCell ref="P44:Q44"/>
  </mergeCells>
  <phoneticPr fontId="12" type="noConversion"/>
  <conditionalFormatting sqref="O38:T38">
    <cfRule type="expression" dxfId="160" priority="18" stopIfTrue="1">
      <formula>IF(2&gt;1,1,0)</formula>
    </cfRule>
  </conditionalFormatting>
  <conditionalFormatting sqref="R44">
    <cfRule type="expression" priority="19" stopIfTrue="1">
      <formula>IF(2&gt;1,1,0)</formula>
    </cfRule>
  </conditionalFormatting>
  <conditionalFormatting sqref="G23:G24">
    <cfRule type="expression" dxfId="159" priority="20" stopIfTrue="1">
      <formula>IF($L$26="",1,0)</formula>
    </cfRule>
  </conditionalFormatting>
  <conditionalFormatting sqref="L37">
    <cfRule type="expression" dxfId="158" priority="23" stopIfTrue="1">
      <formula>IF($O$38&gt;0,1,0)</formula>
    </cfRule>
  </conditionalFormatting>
  <conditionalFormatting sqref="E49">
    <cfRule type="expression" dxfId="157" priority="48" stopIfTrue="1">
      <formula>IF($C$49&lt;&gt;"",1,0)</formula>
    </cfRule>
  </conditionalFormatting>
  <conditionalFormatting sqref="L29">
    <cfRule type="expression" dxfId="156" priority="10" stopIfTrue="1">
      <formula>IF(OR(NOT($O$28),$P$33=""),1,0)</formula>
    </cfRule>
  </conditionalFormatting>
  <conditionalFormatting sqref="L30">
    <cfRule type="expression" dxfId="155" priority="9" stopIfTrue="1">
      <formula>IF(OR(NOT($O$28),$P$33=""),1,0)</formula>
    </cfRule>
  </conditionalFormatting>
  <conditionalFormatting sqref="L31">
    <cfRule type="expression" dxfId="154" priority="8" stopIfTrue="1">
      <formula>IF(OR(NOT($O$28),$P$33=""),1,0)</formula>
    </cfRule>
  </conditionalFormatting>
  <conditionalFormatting sqref="K29">
    <cfRule type="expression" dxfId="153" priority="6" stopIfTrue="1">
      <formula>IF(OR(NOT($O$28),$P$33=""),1,0)</formula>
    </cfRule>
  </conditionalFormatting>
  <conditionalFormatting sqref="M37">
    <cfRule type="expression" dxfId="152" priority="87" stopIfTrue="1">
      <formula>IF($O$38&gt;0,1,0)</formula>
    </cfRule>
  </conditionalFormatting>
  <conditionalFormatting sqref="P26">
    <cfRule type="expression" dxfId="151" priority="3" stopIfTrue="1">
      <formula>IF(O27=0,1,0)</formula>
    </cfRule>
  </conditionalFormatting>
  <conditionalFormatting sqref="F49:G49">
    <cfRule type="expression" dxfId="150" priority="622" stopIfTrue="1">
      <formula>IF(K45&gt;=K27,1,0)</formula>
    </cfRule>
  </conditionalFormatting>
  <conditionalFormatting sqref="M44">
    <cfRule type="expression" dxfId="149" priority="2" stopIfTrue="1">
      <formula>IF(L44="",1,0)</formula>
    </cfRule>
  </conditionalFormatting>
  <conditionalFormatting sqref="L44">
    <cfRule type="expression" dxfId="148" priority="1" stopIfTrue="1">
      <formula>IF($R$44&lt;&gt;"",1,0)</formula>
    </cfRule>
  </conditionalFormatting>
  <pageMargins left="0.27" right="0" top="0.55000000000000004" bottom="0" header="0" footer="0"/>
  <pageSetup scale="95"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W80"/>
  <sheetViews>
    <sheetView zoomScaleNormal="100" workbookViewId="0">
      <selection activeCell="Z24" sqref="Z24"/>
    </sheetView>
  </sheetViews>
  <sheetFormatPr defaultColWidth="9.140625" defaultRowHeight="12.75"/>
  <cols>
    <col min="1" max="1" width="1.85546875" style="68" customWidth="1"/>
    <col min="2" max="2" width="4.42578125" style="129" customWidth="1"/>
    <col min="3" max="3" width="2.7109375" style="68" customWidth="1"/>
    <col min="4" max="4" width="25.28515625" style="68" customWidth="1"/>
    <col min="5" max="5" width="12.7109375" style="68" customWidth="1"/>
    <col min="6" max="6" width="9.42578125" style="68" customWidth="1"/>
    <col min="7" max="7" width="7.7109375" style="68" customWidth="1"/>
    <col min="8" max="8" width="9.5703125" style="68" customWidth="1"/>
    <col min="9" max="9" width="6" style="68" customWidth="1"/>
    <col min="10" max="10" width="13.85546875" style="68" customWidth="1"/>
    <col min="11" max="11" width="3.5703125" style="68" customWidth="1"/>
    <col min="12" max="12" width="12.7109375" style="68" customWidth="1"/>
    <col min="13" max="13" width="4.5703125" style="68" customWidth="1"/>
    <col min="14" max="15" width="1.5703125" style="68" customWidth="1"/>
    <col min="16" max="16" width="1.42578125" style="68" customWidth="1"/>
    <col min="17" max="17" width="2.5703125" style="68" customWidth="1"/>
    <col min="18" max="18" width="10.42578125" style="68" customWidth="1"/>
    <col min="19" max="19" width="2.42578125" style="68" customWidth="1"/>
    <col min="20" max="20" width="12.85546875" style="68" customWidth="1"/>
    <col min="21" max="21" width="2.7109375" style="68" customWidth="1"/>
    <col min="22" max="22" width="7.7109375" style="68" customWidth="1"/>
    <col min="23" max="16384" width="9.140625" style="68"/>
  </cols>
  <sheetData>
    <row r="1" spans="1:23" ht="13.5" thickBot="1">
      <c r="A1" s="37"/>
      <c r="B1" s="185"/>
      <c r="C1" s="37"/>
      <c r="D1" s="37"/>
      <c r="E1" s="37"/>
      <c r="F1" s="37"/>
      <c r="G1" s="37"/>
      <c r="H1" s="37"/>
      <c r="I1" s="37"/>
      <c r="J1" s="37"/>
      <c r="K1" s="37"/>
      <c r="L1" s="37"/>
      <c r="M1" s="37"/>
      <c r="N1" s="37"/>
      <c r="O1" s="37"/>
      <c r="P1" s="37"/>
      <c r="Q1" s="37"/>
      <c r="R1" s="37"/>
      <c r="S1" s="37"/>
      <c r="T1" s="37"/>
      <c r="U1" s="37"/>
      <c r="V1" s="37"/>
    </row>
    <row r="2" spans="1:23" ht="13.5" thickBot="1">
      <c r="A2" s="37"/>
      <c r="B2" s="856" t="s">
        <v>298</v>
      </c>
      <c r="C2" s="37"/>
      <c r="D2" s="37"/>
      <c r="E2" s="37"/>
      <c r="F2" s="37"/>
      <c r="G2" s="37"/>
      <c r="H2" s="37"/>
      <c r="I2" s="37"/>
      <c r="J2" s="37"/>
      <c r="K2" s="37"/>
      <c r="L2" s="37"/>
      <c r="M2" s="37"/>
      <c r="N2" s="37"/>
      <c r="O2" s="37"/>
      <c r="P2" s="132"/>
      <c r="Q2" s="133"/>
      <c r="R2" s="133"/>
      <c r="S2" s="133"/>
      <c r="T2" s="933"/>
      <c r="U2" s="37"/>
      <c r="V2" s="37"/>
      <c r="W2" s="37"/>
    </row>
    <row r="3" spans="1:23" ht="13.5" thickBot="1">
      <c r="A3" s="37"/>
      <c r="B3" s="185" t="s">
        <v>398</v>
      </c>
      <c r="C3" s="37"/>
      <c r="D3" s="37"/>
      <c r="E3" s="37"/>
      <c r="F3" s="37"/>
      <c r="G3" s="37"/>
      <c r="H3" s="37"/>
      <c r="I3" s="37"/>
      <c r="J3" s="37"/>
      <c r="K3" s="37"/>
      <c r="L3" s="37"/>
      <c r="M3" s="37"/>
      <c r="N3" s="37"/>
      <c r="O3" s="37"/>
      <c r="P3" s="134"/>
      <c r="Q3" s="135"/>
      <c r="R3" s="5202"/>
      <c r="S3" s="5203"/>
      <c r="T3" s="934"/>
      <c r="U3" s="37"/>
      <c r="V3" s="37"/>
      <c r="W3" s="37"/>
    </row>
    <row r="4" spans="1:23">
      <c r="A4" s="37"/>
      <c r="B4" s="185"/>
      <c r="C4" s="37" t="str">
        <f>"-  the first period for which you received a payment"</f>
        <v>-  the first period for which you received a payment</v>
      </c>
      <c r="D4" s="37"/>
      <c r="E4" s="37"/>
      <c r="F4" s="37"/>
      <c r="G4" s="37"/>
      <c r="H4" s="37"/>
      <c r="I4" s="37"/>
      <c r="J4" s="37"/>
      <c r="K4" s="37"/>
      <c r="L4" s="37"/>
      <c r="M4" s="37"/>
      <c r="N4" s="37"/>
      <c r="O4" s="37"/>
      <c r="P4" s="134"/>
      <c r="Q4" s="135"/>
      <c r="R4" s="1135" t="s">
        <v>363</v>
      </c>
      <c r="S4" s="136"/>
      <c r="T4" s="934"/>
      <c r="U4" s="37"/>
      <c r="V4" s="37"/>
      <c r="W4" s="37"/>
    </row>
    <row r="5" spans="1:23">
      <c r="A5" s="37"/>
      <c r="B5" s="185"/>
      <c r="C5" s="472" t="s">
        <v>399</v>
      </c>
      <c r="D5" s="37"/>
      <c r="E5" s="37"/>
      <c r="F5" s="37"/>
      <c r="G5" s="37"/>
      <c r="H5" s="37"/>
      <c r="I5" s="37"/>
      <c r="J5" s="37"/>
      <c r="K5" s="37"/>
      <c r="L5" s="37"/>
      <c r="M5" s="37"/>
      <c r="N5" s="37"/>
      <c r="O5" s="37"/>
      <c r="P5" s="134"/>
      <c r="Q5" s="135"/>
      <c r="R5" s="136" t="s">
        <v>669</v>
      </c>
      <c r="S5" s="136"/>
      <c r="T5" s="934"/>
      <c r="U5" s="37"/>
      <c r="V5" s="37"/>
      <c r="W5" s="37"/>
    </row>
    <row r="6" spans="1:23" ht="13.5" thickBot="1">
      <c r="A6" s="37"/>
      <c r="B6" s="185"/>
      <c r="C6" s="37" t="str">
        <f>"-  the date the plan’s obligations became fixed."</f>
        <v>-  the date the plan’s obligations became fixed.</v>
      </c>
      <c r="D6" s="37"/>
      <c r="E6" s="37"/>
      <c r="F6" s="37"/>
      <c r="G6" s="37"/>
      <c r="H6" s="37"/>
      <c r="I6" s="37"/>
      <c r="J6" s="37"/>
      <c r="K6" s="37"/>
      <c r="L6" s="37"/>
      <c r="M6" s="37"/>
      <c r="N6" s="37"/>
      <c r="O6" s="37"/>
      <c r="P6" s="137"/>
      <c r="Q6" s="123"/>
      <c r="R6" s="138"/>
      <c r="S6" s="138"/>
      <c r="T6" s="935"/>
      <c r="U6" s="37"/>
      <c r="V6" s="37"/>
      <c r="W6" s="37"/>
    </row>
    <row r="7" spans="1:23">
      <c r="A7" s="37"/>
      <c r="B7" s="185"/>
      <c r="C7" s="37"/>
      <c r="D7" s="37"/>
      <c r="E7" s="37"/>
      <c r="F7" s="37"/>
      <c r="G7" s="37"/>
      <c r="H7" s="37"/>
      <c r="I7" s="37"/>
      <c r="J7" s="37"/>
      <c r="K7" s="37"/>
      <c r="L7" s="37"/>
      <c r="M7" s="37"/>
      <c r="N7" s="37"/>
      <c r="O7" s="37"/>
      <c r="P7" s="5210" t="str">
        <f>IF(R3="","Enter annuity starting date.","")</f>
        <v>Enter annuity starting date.</v>
      </c>
      <c r="Q7" s="5211"/>
      <c r="R7" s="5211"/>
      <c r="S7" s="5211"/>
      <c r="T7" s="5211"/>
      <c r="U7" s="37"/>
      <c r="V7" s="37"/>
    </row>
    <row r="8" spans="1:23">
      <c r="A8" s="37"/>
      <c r="B8" s="856" t="s">
        <v>97</v>
      </c>
      <c r="C8" s="37"/>
      <c r="D8" s="37"/>
      <c r="E8" s="37"/>
      <c r="F8" s="37"/>
      <c r="G8" s="37"/>
      <c r="H8" s="37"/>
      <c r="I8" s="37"/>
      <c r="J8" s="37"/>
      <c r="K8" s="37"/>
      <c r="L8" s="37"/>
      <c r="M8" s="37"/>
      <c r="N8" s="37"/>
      <c r="O8" s="37"/>
      <c r="P8" s="37"/>
      <c r="Q8" s="37"/>
      <c r="R8" s="37"/>
      <c r="S8" s="37"/>
      <c r="T8" s="37"/>
      <c r="U8" s="37"/>
      <c r="V8" s="37"/>
    </row>
    <row r="9" spans="1:23">
      <c r="A9" s="37"/>
      <c r="B9" s="185" t="s">
        <v>297</v>
      </c>
      <c r="C9" s="37"/>
      <c r="D9" s="37"/>
      <c r="E9" s="37"/>
      <c r="F9" s="37"/>
      <c r="G9" s="37"/>
      <c r="H9" s="37"/>
      <c r="I9" s="37"/>
      <c r="J9" s="37"/>
      <c r="K9" s="37"/>
      <c r="L9" s="37"/>
      <c r="M9" s="37"/>
      <c r="N9" s="37"/>
      <c r="O9" s="37"/>
      <c r="P9" s="37"/>
      <c r="Q9" s="37"/>
      <c r="R9" s="37"/>
      <c r="S9" s="37"/>
      <c r="T9" s="37"/>
      <c r="U9" s="37"/>
      <c r="V9" s="37"/>
    </row>
    <row r="10" spans="1:23">
      <c r="A10" s="37"/>
      <c r="B10" s="185"/>
      <c r="C10" s="37" t="s">
        <v>650</v>
      </c>
      <c r="D10" s="37"/>
      <c r="E10" s="37"/>
      <c r="F10" s="37"/>
      <c r="G10" s="37"/>
      <c r="H10" s="37"/>
      <c r="I10" s="37"/>
      <c r="J10" s="37"/>
      <c r="K10" s="37"/>
      <c r="L10" s="37"/>
      <c r="M10" s="37"/>
      <c r="N10" s="37"/>
      <c r="O10" s="37"/>
      <c r="P10" s="37"/>
      <c r="Q10" s="37"/>
      <c r="R10" s="37"/>
      <c r="S10" s="37"/>
      <c r="T10" s="37"/>
      <c r="U10" s="37"/>
      <c r="V10" s="37"/>
    </row>
    <row r="11" spans="1:23">
      <c r="A11" s="37"/>
      <c r="B11" s="185"/>
      <c r="C11" s="37" t="str">
        <f>"2. Your annuity starting date was after "&amp;TEXT(J56,"mmmm d, yyyy")&amp;", "</f>
        <v xml:space="preserve">2. Your annuity starting date was after November 18, 1996, </v>
      </c>
      <c r="D11" s="37"/>
      <c r="E11" s="37"/>
      <c r="F11" s="37"/>
      <c r="G11" s="1145" t="s">
        <v>655</v>
      </c>
      <c r="H11" s="37"/>
      <c r="I11" s="37"/>
      <c r="J11" s="37"/>
      <c r="K11" s="37"/>
      <c r="L11" s="37"/>
      <c r="M11" s="37"/>
      <c r="N11" s="37"/>
      <c r="O11" s="37"/>
      <c r="P11" s="37"/>
      <c r="Q11" s="37"/>
      <c r="R11" s="37"/>
      <c r="S11" s="37"/>
      <c r="T11" s="37"/>
      <c r="U11" s="37"/>
      <c r="V11" s="37"/>
    </row>
    <row r="12" spans="1:23" ht="13.5" thickBot="1">
      <c r="A12" s="37"/>
      <c r="B12" s="185"/>
      <c r="C12" s="37"/>
      <c r="D12" s="37" t="s">
        <v>247</v>
      </c>
      <c r="E12" s="37"/>
      <c r="F12" s="37"/>
      <c r="G12" s="37"/>
      <c r="H12" s="37"/>
      <c r="I12" s="37"/>
      <c r="J12" s="37"/>
      <c r="K12" s="37"/>
      <c r="L12" s="37"/>
      <c r="M12" s="37"/>
      <c r="N12" s="37"/>
      <c r="O12" s="37"/>
      <c r="P12" s="37"/>
      <c r="Q12" s="37"/>
      <c r="R12" s="37"/>
      <c r="S12" s="37"/>
      <c r="T12" s="37"/>
      <c r="U12" s="37"/>
      <c r="V12" s="37"/>
    </row>
    <row r="13" spans="1:23" ht="13.5" thickBot="1">
      <c r="A13" s="37"/>
      <c r="B13" s="185"/>
      <c r="C13" s="37"/>
      <c r="D13" s="37" t="s">
        <v>668</v>
      </c>
      <c r="E13" s="37"/>
      <c r="F13" s="37"/>
      <c r="G13" s="37"/>
      <c r="H13" s="37"/>
      <c r="I13" s="37"/>
      <c r="J13" s="37"/>
      <c r="K13" s="37"/>
      <c r="L13" s="37"/>
      <c r="M13" s="37"/>
      <c r="N13" s="37"/>
      <c r="O13" s="37"/>
      <c r="P13" s="132"/>
      <c r="Q13" s="133"/>
      <c r="R13" s="1136"/>
      <c r="S13" s="1136"/>
      <c r="T13" s="1130"/>
      <c r="U13" s="37"/>
      <c r="V13" s="37"/>
    </row>
    <row r="14" spans="1:23" ht="13.5" thickBot="1">
      <c r="A14" s="37"/>
      <c r="B14" s="185"/>
      <c r="C14" s="37"/>
      <c r="D14" s="37" t="str">
        <f>"    -  you were under age 75"</f>
        <v xml:space="preserve">    -  you were under age 75</v>
      </c>
      <c r="E14" s="37"/>
      <c r="F14" s="37"/>
      <c r="G14" s="37"/>
      <c r="H14" s="37"/>
      <c r="I14" s="37"/>
      <c r="J14" s="37"/>
      <c r="K14" s="37"/>
      <c r="L14" s="37"/>
      <c r="M14" s="37"/>
      <c r="N14" s="37"/>
      <c r="O14" s="37"/>
      <c r="P14" s="134"/>
      <c r="Q14" s="135"/>
      <c r="R14" s="5204"/>
      <c r="S14" s="5205"/>
      <c r="T14" s="934"/>
      <c r="U14" s="37"/>
      <c r="V14" s="37"/>
    </row>
    <row r="15" spans="1:23">
      <c r="A15" s="37"/>
      <c r="B15" s="185"/>
      <c r="C15" s="37"/>
      <c r="D15" s="37" t="s">
        <v>651</v>
      </c>
      <c r="E15" s="37"/>
      <c r="F15" s="37"/>
      <c r="G15" s="37"/>
      <c r="H15" s="37"/>
      <c r="I15" s="37"/>
      <c r="J15" s="37"/>
      <c r="K15" s="37"/>
      <c r="L15" s="37"/>
      <c r="M15" s="37"/>
      <c r="N15" s="37"/>
      <c r="O15" s="37"/>
      <c r="P15" s="5206" t="s">
        <v>521</v>
      </c>
      <c r="Q15" s="4907"/>
      <c r="R15" s="4907"/>
      <c r="S15" s="4907"/>
      <c r="T15" s="4908"/>
      <c r="U15" s="37"/>
      <c r="V15" s="37"/>
    </row>
    <row r="16" spans="1:23">
      <c r="A16" s="37"/>
      <c r="B16" s="185"/>
      <c r="C16" s="37"/>
      <c r="D16" s="37" t="str">
        <f>"    -  the number of years of guaranteed payments was fewer than 5. See Pub. 575 for the definition of guaranteed payments."</f>
        <v xml:space="preserve">    -  the number of years of guaranteed payments was fewer than 5. See Pub. 575 for the definition of guaranteed payments.</v>
      </c>
      <c r="E16" s="37"/>
      <c r="F16" s="37"/>
      <c r="G16" s="37"/>
      <c r="H16" s="37"/>
      <c r="I16" s="37"/>
      <c r="J16" s="37"/>
      <c r="K16" s="37"/>
      <c r="L16" s="37"/>
      <c r="M16" s="37"/>
      <c r="N16" s="37"/>
      <c r="O16" s="37"/>
      <c r="P16" s="5206" t="s">
        <v>656</v>
      </c>
      <c r="Q16" s="4907"/>
      <c r="R16" s="4907"/>
      <c r="S16" s="4907"/>
      <c r="T16" s="4908"/>
      <c r="U16" s="37"/>
      <c r="V16" s="37"/>
    </row>
    <row r="17" spans="1:22" ht="8.25" customHeight="1" thickBot="1">
      <c r="A17" s="37"/>
      <c r="B17" s="185"/>
      <c r="C17" s="37"/>
      <c r="D17" s="37"/>
      <c r="E17" s="37"/>
      <c r="F17" s="37"/>
      <c r="G17" s="37"/>
      <c r="H17" s="37"/>
      <c r="I17" s="37"/>
      <c r="J17" s="37"/>
      <c r="K17" s="37"/>
      <c r="L17" s="37"/>
      <c r="M17" s="37"/>
      <c r="N17" s="37"/>
      <c r="O17" s="37"/>
      <c r="P17" s="137"/>
      <c r="Q17" s="123"/>
      <c r="R17" s="138"/>
      <c r="S17" s="138"/>
      <c r="T17" s="935"/>
      <c r="U17" s="37"/>
      <c r="V17" s="37"/>
    </row>
    <row r="18" spans="1:22">
      <c r="A18" s="117"/>
      <c r="B18" s="1048"/>
      <c r="C18" s="117"/>
      <c r="D18" s="117"/>
      <c r="E18" s="117"/>
      <c r="F18" s="117"/>
      <c r="G18" s="117"/>
      <c r="H18" s="117"/>
      <c r="I18" s="117"/>
      <c r="J18" s="117"/>
      <c r="K18" s="117"/>
      <c r="L18" s="117"/>
      <c r="M18" s="117"/>
      <c r="N18" s="117"/>
      <c r="O18" s="37"/>
      <c r="P18" s="5210" t="str">
        <f>IF(R14="","Enter your age at starting date.","")</f>
        <v>Enter your age at starting date.</v>
      </c>
      <c r="Q18" s="5211"/>
      <c r="R18" s="5211"/>
      <c r="S18" s="5211"/>
      <c r="T18" s="5211"/>
      <c r="U18" s="37"/>
      <c r="V18" s="37"/>
    </row>
    <row r="19" spans="1:22" ht="36" customHeight="1">
      <c r="A19" s="1048"/>
      <c r="B19" s="398" t="s">
        <v>588</v>
      </c>
      <c r="C19" s="125"/>
      <c r="D19" s="126"/>
      <c r="E19" s="126"/>
      <c r="F19" s="126"/>
      <c r="G19" s="126"/>
      <c r="H19" s="126"/>
      <c r="I19" s="124"/>
      <c r="J19" s="127"/>
      <c r="K19" s="397" t="s">
        <v>300</v>
      </c>
      <c r="L19" s="397"/>
      <c r="M19" s="397"/>
      <c r="N19" s="1112"/>
      <c r="O19" s="397"/>
      <c r="P19" s="37"/>
      <c r="Q19" s="37"/>
      <c r="R19" s="37"/>
      <c r="S19" s="37"/>
      <c r="T19" s="37"/>
      <c r="U19" s="37"/>
      <c r="V19" s="37"/>
    </row>
    <row r="20" spans="1:22" ht="5.25" customHeight="1" thickBot="1">
      <c r="A20" s="117"/>
      <c r="B20" s="112"/>
      <c r="C20" s="55"/>
      <c r="D20" s="55"/>
      <c r="E20" s="55"/>
      <c r="F20" s="55"/>
      <c r="G20" s="55"/>
      <c r="H20" s="55"/>
      <c r="I20" s="55"/>
      <c r="J20" s="55"/>
      <c r="K20" s="55"/>
      <c r="L20" s="55"/>
      <c r="M20" s="46"/>
      <c r="N20" s="135"/>
      <c r="O20" s="46"/>
      <c r="P20" s="37"/>
      <c r="Q20" s="37"/>
      <c r="R20" s="37"/>
      <c r="S20" s="37"/>
      <c r="T20" s="37"/>
      <c r="U20" s="37"/>
      <c r="V20" s="37"/>
    </row>
    <row r="21" spans="1:22" ht="13.5" customHeight="1">
      <c r="A21" s="117"/>
      <c r="B21" s="502"/>
      <c r="C21" s="46"/>
      <c r="D21" s="46"/>
      <c r="E21" s="46"/>
      <c r="F21" s="46"/>
      <c r="G21" s="46"/>
      <c r="H21" s="46"/>
      <c r="I21" s="46"/>
      <c r="J21" s="46"/>
      <c r="K21" s="46"/>
      <c r="L21" s="355"/>
      <c r="M21" s="732"/>
      <c r="N21" s="1021"/>
      <c r="O21" s="355"/>
      <c r="P21" s="37"/>
      <c r="Q21" s="37"/>
      <c r="R21" s="37"/>
      <c r="S21" s="37"/>
      <c r="T21" s="37"/>
      <c r="U21" s="37"/>
      <c r="V21" s="37"/>
    </row>
    <row r="22" spans="1:22" ht="13.5" customHeight="1">
      <c r="A22" s="117"/>
      <c r="B22" s="154"/>
      <c r="C22" s="594"/>
      <c r="D22" s="591" t="s">
        <v>362</v>
      </c>
      <c r="E22" s="591"/>
      <c r="F22" s="591"/>
      <c r="G22" s="591"/>
      <c r="H22" s="591"/>
      <c r="I22" s="46"/>
      <c r="J22" s="46"/>
      <c r="K22" s="46"/>
      <c r="L22" s="355"/>
      <c r="M22" s="424"/>
      <c r="N22" s="1021"/>
      <c r="O22" s="355"/>
      <c r="P22" s="37"/>
      <c r="Q22" s="37"/>
      <c r="R22" s="37"/>
      <c r="S22" s="37"/>
      <c r="T22" s="37"/>
      <c r="U22" s="37"/>
      <c r="V22" s="37"/>
    </row>
    <row r="23" spans="1:22" ht="13.5" customHeight="1">
      <c r="A23" s="117"/>
      <c r="B23" s="154"/>
      <c r="C23" s="1119" t="s">
        <v>73</v>
      </c>
      <c r="D23" s="183" t="s">
        <v>997</v>
      </c>
      <c r="E23" s="46"/>
      <c r="F23" s="46"/>
      <c r="G23" s="46"/>
      <c r="H23" s="46"/>
      <c r="I23" s="46"/>
      <c r="J23" s="46"/>
      <c r="K23" s="46"/>
      <c r="L23" s="355"/>
      <c r="M23" s="424"/>
      <c r="N23" s="1021"/>
      <c r="O23" s="355"/>
      <c r="P23" s="37"/>
      <c r="Q23" s="37"/>
      <c r="R23" s="37"/>
      <c r="S23" s="37"/>
      <c r="T23" s="37"/>
      <c r="U23" s="37"/>
      <c r="V23" s="37"/>
    </row>
    <row r="24" spans="1:22" ht="12" customHeight="1">
      <c r="A24" s="117"/>
      <c r="B24" s="154"/>
      <c r="C24" s="46"/>
      <c r="D24" s="183" t="s">
        <v>996</v>
      </c>
      <c r="E24" s="355"/>
      <c r="F24" s="355"/>
      <c r="G24" s="355"/>
      <c r="H24" s="355"/>
      <c r="I24" s="46"/>
      <c r="J24" s="46"/>
      <c r="K24" s="46"/>
      <c r="L24" s="355"/>
      <c r="M24" s="424"/>
      <c r="N24" s="1021"/>
      <c r="O24" s="355"/>
      <c r="P24" s="37"/>
      <c r="Q24" s="37"/>
      <c r="R24" s="37"/>
      <c r="S24" s="37"/>
      <c r="T24" s="37"/>
      <c r="U24" s="37"/>
      <c r="V24" s="37"/>
    </row>
    <row r="25" spans="1:22" ht="16.5" customHeight="1">
      <c r="A25" s="898"/>
      <c r="B25" s="1406" t="s">
        <v>1805</v>
      </c>
      <c r="C25" s="422"/>
      <c r="D25" s="419"/>
      <c r="E25" s="419"/>
      <c r="F25" s="419"/>
      <c r="G25" s="419"/>
      <c r="H25" s="419"/>
      <c r="I25" s="423"/>
      <c r="J25" s="423"/>
      <c r="K25" s="423"/>
      <c r="L25" s="355"/>
      <c r="M25" s="424"/>
      <c r="N25" s="1021"/>
      <c r="O25" s="355"/>
      <c r="P25" s="37"/>
      <c r="Q25" s="37"/>
      <c r="R25" s="38" t="s">
        <v>152</v>
      </c>
      <c r="S25" s="37"/>
      <c r="T25" s="37"/>
      <c r="U25" s="37"/>
      <c r="V25" s="37"/>
    </row>
    <row r="26" spans="1:22">
      <c r="A26" s="898"/>
      <c r="B26" s="1660" t="str">
        <f>"Enter the total of the taxable parts on Form 1040, line 16b. Enter the total pension or annuity payments received in "&amp;TaxYear&amp;" on Form 1040, line 16a."</f>
        <v>Enter the total of the taxable parts on Form 1040, line 16b. Enter the total pension or annuity payments received in 2014 on Form 1040, line 16a.</v>
      </c>
      <c r="C26" s="1355"/>
      <c r="D26" s="1355"/>
      <c r="E26" s="1355"/>
      <c r="F26" s="1355"/>
      <c r="G26" s="1355"/>
      <c r="H26" s="1355"/>
      <c r="I26" s="415"/>
      <c r="J26" s="415"/>
      <c r="K26" s="415"/>
      <c r="L26" s="1661"/>
      <c r="M26" s="1662"/>
      <c r="N26" s="1113"/>
      <c r="O26" s="355"/>
      <c r="P26" s="37"/>
      <c r="Q26" s="37"/>
      <c r="R26" s="38" t="s">
        <v>706</v>
      </c>
      <c r="S26" s="37"/>
      <c r="T26" s="37"/>
      <c r="U26" s="37"/>
      <c r="V26" s="37"/>
    </row>
    <row r="27" spans="1:22" ht="16.5" customHeight="1">
      <c r="A27" s="117"/>
      <c r="B27" s="734" t="str">
        <f>"1."</f>
        <v>1.</v>
      </c>
      <c r="C27" s="413" t="s">
        <v>1806</v>
      </c>
      <c r="D27" s="94"/>
      <c r="E27" s="94"/>
      <c r="F27" s="94"/>
      <c r="G27" s="94"/>
      <c r="H27" s="94"/>
      <c r="I27" s="100"/>
      <c r="J27" s="94"/>
      <c r="K27" s="101"/>
      <c r="L27" s="94"/>
      <c r="M27" s="102"/>
      <c r="N27" s="1114"/>
      <c r="O27" s="445"/>
      <c r="P27" s="37"/>
      <c r="Q27" s="37"/>
      <c r="R27" s="37"/>
      <c r="S27" s="37"/>
      <c r="T27" s="37"/>
      <c r="U27" s="37"/>
      <c r="V27" s="37"/>
    </row>
    <row r="28" spans="1:22">
      <c r="A28" s="117"/>
      <c r="B28" s="409"/>
      <c r="C28" s="413" t="s">
        <v>423</v>
      </c>
      <c r="D28" s="94"/>
      <c r="E28" s="94"/>
      <c r="F28" s="94"/>
      <c r="G28" s="94"/>
      <c r="H28" s="94"/>
      <c r="I28" s="100"/>
      <c r="J28" s="106" t="s">
        <v>541</v>
      </c>
      <c r="K28" s="101">
        <v>1</v>
      </c>
      <c r="L28" s="2993">
        <f>IF(R28&lt;&gt;"",R28,Pension_total)</f>
        <v>0</v>
      </c>
      <c r="M28" s="733"/>
      <c r="N28" s="1115"/>
      <c r="O28" s="94"/>
      <c r="P28" s="37"/>
      <c r="Q28" s="37"/>
      <c r="R28" s="550"/>
      <c r="S28" s="37"/>
      <c r="T28" s="37"/>
      <c r="U28" s="37"/>
      <c r="V28" s="37"/>
    </row>
    <row r="29" spans="1:22">
      <c r="A29" s="117"/>
      <c r="B29" s="409">
        <v>2</v>
      </c>
      <c r="C29" s="413" t="s">
        <v>142</v>
      </c>
      <c r="D29" s="94"/>
      <c r="E29" s="94"/>
      <c r="F29" s="1120"/>
      <c r="G29" s="1120"/>
      <c r="H29" s="1120" t="s">
        <v>675</v>
      </c>
      <c r="I29" s="100">
        <v>2</v>
      </c>
      <c r="J29" s="2994"/>
      <c r="K29" s="100"/>
      <c r="L29" s="445"/>
      <c r="M29" s="733"/>
      <c r="N29" s="1114"/>
      <c r="O29" s="94"/>
      <c r="P29" s="37"/>
      <c r="Q29" s="37"/>
      <c r="R29" s="37"/>
      <c r="S29" s="37"/>
      <c r="T29" s="37"/>
      <c r="U29" s="37"/>
      <c r="V29" s="37"/>
    </row>
    <row r="30" spans="1:22" ht="13.5" thickBot="1">
      <c r="A30" s="117"/>
      <c r="B30" s="409"/>
      <c r="C30" s="945" t="s">
        <v>1808</v>
      </c>
      <c r="D30" s="94"/>
      <c r="E30" s="94"/>
      <c r="F30" s="1120"/>
      <c r="G30" s="1120"/>
      <c r="H30" s="1120"/>
      <c r="I30" s="100"/>
      <c r="J30" s="1322"/>
      <c r="K30" s="100"/>
      <c r="L30" s="1598"/>
      <c r="M30" s="733"/>
      <c r="N30" s="1114"/>
      <c r="O30" s="94"/>
      <c r="P30" s="37"/>
      <c r="Q30" s="37"/>
      <c r="R30" s="37"/>
      <c r="S30" s="37"/>
      <c r="T30" s="37"/>
      <c r="U30" s="37"/>
      <c r="V30" s="37"/>
    </row>
    <row r="31" spans="1:22" ht="13.5" thickBot="1">
      <c r="A31" s="117"/>
      <c r="B31" s="409"/>
      <c r="C31" s="413" t="s">
        <v>1807</v>
      </c>
      <c r="D31" s="94"/>
      <c r="E31" s="94"/>
      <c r="F31" s="1120"/>
      <c r="G31" s="1120"/>
      <c r="H31" s="1120"/>
      <c r="I31" s="100"/>
      <c r="J31" s="1322"/>
      <c r="K31" s="100"/>
      <c r="L31" s="1598"/>
      <c r="M31" s="733"/>
      <c r="N31" s="1114"/>
      <c r="O31" s="94"/>
      <c r="P31" s="37"/>
      <c r="Q31" s="2796"/>
      <c r="R31" s="1609" t="s">
        <v>1655</v>
      </c>
      <c r="S31" s="37"/>
      <c r="T31" s="37"/>
      <c r="U31" s="37"/>
      <c r="V31" s="37"/>
    </row>
    <row r="32" spans="1:22" ht="13.5" thickBot="1">
      <c r="A32" s="117"/>
      <c r="B32" s="409"/>
      <c r="C32" s="413" t="s">
        <v>392</v>
      </c>
      <c r="D32" s="94"/>
      <c r="E32" s="94"/>
      <c r="F32" s="1120"/>
      <c r="G32" s="1120"/>
      <c r="H32" s="1120"/>
      <c r="I32" s="100"/>
      <c r="J32" s="1322"/>
      <c r="K32" s="100"/>
      <c r="L32" s="1598"/>
      <c r="M32" s="733"/>
      <c r="N32" s="1114"/>
      <c r="O32" s="94"/>
      <c r="P32" s="37"/>
      <c r="Q32" s="37"/>
      <c r="R32" s="37"/>
      <c r="S32" s="37"/>
      <c r="T32" s="37"/>
      <c r="U32" s="37"/>
      <c r="V32" s="37"/>
    </row>
    <row r="33" spans="1:22" ht="13.5" thickBot="1">
      <c r="A33" s="117"/>
      <c r="B33" s="409">
        <v>3</v>
      </c>
      <c r="C33" s="413" t="s">
        <v>998</v>
      </c>
      <c r="D33" s="94"/>
      <c r="E33" s="94"/>
      <c r="F33" s="94"/>
      <c r="G33" s="94"/>
      <c r="H33" s="94"/>
      <c r="I33" s="100"/>
      <c r="J33" s="1146"/>
      <c r="K33" s="100"/>
      <c r="L33" s="94"/>
      <c r="M33" s="102"/>
      <c r="N33" s="1114"/>
      <c r="O33" s="94"/>
      <c r="P33" s="130"/>
      <c r="Q33" s="48"/>
      <c r="R33" s="48"/>
      <c r="S33" s="48"/>
      <c r="T33" s="48"/>
      <c r="U33" s="139"/>
      <c r="V33" s="37"/>
    </row>
    <row r="34" spans="1:22" ht="11.25" customHeight="1" thickBot="1">
      <c r="A34" s="117"/>
      <c r="B34" s="1237"/>
      <c r="C34" s="1354" t="s">
        <v>999</v>
      </c>
      <c r="D34" s="414"/>
      <c r="E34" s="414"/>
      <c r="F34" s="414"/>
      <c r="G34" s="414"/>
      <c r="H34" s="414"/>
      <c r="I34" s="707"/>
      <c r="J34" s="1664"/>
      <c r="K34" s="707"/>
      <c r="L34" s="2798" t="str">
        <f>IF(R3&lt;J67,"",IF(AND(Q34="",S34=""),"Check one.",IF(AND(Q34&lt;&gt;"",S34&lt;&gt;""),"Check ONLY one.","")))</f>
        <v/>
      </c>
      <c r="M34" s="1665" t="str">
        <f>IF(R3&lt;J67,"",IF(OR(AND(Q34="",S34=""),AND(Q34&lt;&gt;"",S34&lt;&gt;"")),"®",""))</f>
        <v/>
      </c>
      <c r="N34" s="1114"/>
      <c r="O34" s="94"/>
      <c r="P34" s="88"/>
      <c r="Q34" s="862"/>
      <c r="R34" s="370" t="s">
        <v>652</v>
      </c>
      <c r="S34" s="862"/>
      <c r="T34" s="370" t="s">
        <v>653</v>
      </c>
      <c r="U34" s="140"/>
      <c r="V34" s="37"/>
    </row>
    <row r="35" spans="1:22" ht="11.25" customHeight="1">
      <c r="A35" s="117"/>
      <c r="B35" s="154"/>
      <c r="C35" s="413" t="s">
        <v>1000</v>
      </c>
      <c r="D35" s="99"/>
      <c r="E35" s="99"/>
      <c r="F35" s="99"/>
      <c r="G35" s="99"/>
      <c r="H35" s="1120" t="s">
        <v>541</v>
      </c>
      <c r="I35" s="100">
        <v>3</v>
      </c>
      <c r="J35" s="2993" t="str">
        <f>IF(Q31&lt;&gt;"","",IF(R14="","Enter age above",IF(AND(L66="",J76=""),"Enter date above",IF(L67=TRUE,J76,L66))))</f>
        <v>Enter age above</v>
      </c>
      <c r="K35" s="100"/>
      <c r="L35" s="1597" t="s">
        <v>99</v>
      </c>
      <c r="M35" s="102"/>
      <c r="N35" s="1114"/>
      <c r="O35" s="94"/>
      <c r="P35" s="88"/>
      <c r="Q35" s="47"/>
      <c r="R35" s="47" t="s">
        <v>96</v>
      </c>
      <c r="S35" s="47"/>
      <c r="T35" s="47"/>
      <c r="U35" s="354" t="s">
        <v>664</v>
      </c>
      <c r="V35" s="37"/>
    </row>
    <row r="36" spans="1:22">
      <c r="A36" s="117"/>
      <c r="B36" s="409">
        <v>4</v>
      </c>
      <c r="C36" s="413" t="s">
        <v>516</v>
      </c>
      <c r="D36" s="99"/>
      <c r="E36" s="99"/>
      <c r="F36" s="99"/>
      <c r="G36" s="99"/>
      <c r="H36" s="1120" t="s">
        <v>388</v>
      </c>
      <c r="I36" s="100">
        <v>4</v>
      </c>
      <c r="J36" s="2993" t="str">
        <f>IF(L36&lt;&gt;"",L36,IF(OR(J35="",J35=0),"",IF(ISERROR(ROUND((J29/J35),0)),"",ROUND((J29/J35),0))))</f>
        <v/>
      </c>
      <c r="K36" s="100"/>
      <c r="L36" s="2994"/>
      <c r="M36" s="102"/>
      <c r="N36" s="1114"/>
      <c r="O36" s="94"/>
      <c r="P36" s="88"/>
      <c r="Q36" s="1133"/>
      <c r="R36" s="47" t="s">
        <v>3</v>
      </c>
      <c r="S36" s="1133"/>
      <c r="T36" s="1133"/>
      <c r="U36" s="1144"/>
      <c r="V36" s="37"/>
    </row>
    <row r="37" spans="1:22" ht="13.5" thickBot="1">
      <c r="A37" s="117"/>
      <c r="B37" s="409">
        <v>5</v>
      </c>
      <c r="C37" s="413" t="s">
        <v>1231</v>
      </c>
      <c r="D37" s="99"/>
      <c r="E37" s="99"/>
      <c r="F37" s="99"/>
      <c r="G37" s="99"/>
      <c r="H37" s="99"/>
      <c r="I37" s="100"/>
      <c r="J37" s="94"/>
      <c r="K37" s="100"/>
      <c r="L37" s="1134"/>
      <c r="M37" s="102"/>
      <c r="N37" s="1114"/>
      <c r="O37" s="94"/>
      <c r="P37" s="131"/>
      <c r="Q37" s="55"/>
      <c r="R37" s="55"/>
      <c r="S37" s="55"/>
      <c r="T37" s="55"/>
      <c r="U37" s="141"/>
      <c r="V37" s="37"/>
    </row>
    <row r="38" spans="1:22" ht="13.5" thickBot="1">
      <c r="A38" s="117"/>
      <c r="B38" s="154"/>
      <c r="C38" s="413" t="s">
        <v>1232</v>
      </c>
      <c r="D38" s="99"/>
      <c r="E38" s="99"/>
      <c r="F38" s="99"/>
      <c r="G38" s="99"/>
      <c r="H38" s="99"/>
      <c r="I38" s="100"/>
      <c r="J38" s="1142">
        <v>31778</v>
      </c>
      <c r="K38" s="1143">
        <f>IF(R3&lt;J38,1,0)</f>
        <v>1</v>
      </c>
      <c r="L38" s="1134" t="s">
        <v>580</v>
      </c>
      <c r="M38" s="102"/>
      <c r="N38" s="1114"/>
      <c r="O38" s="94"/>
      <c r="P38" s="55"/>
      <c r="Q38" s="55"/>
      <c r="R38" s="55"/>
      <c r="S38" s="55"/>
      <c r="T38" s="55"/>
      <c r="U38" s="55"/>
      <c r="V38" s="37"/>
    </row>
    <row r="39" spans="1:22">
      <c r="A39" s="117"/>
      <c r="B39" s="154"/>
      <c r="C39" s="413" t="s">
        <v>1233</v>
      </c>
      <c r="D39" s="99"/>
      <c r="E39" s="99"/>
      <c r="F39" s="99"/>
      <c r="G39" s="99"/>
      <c r="H39" s="1120" t="s">
        <v>541</v>
      </c>
      <c r="I39" s="100">
        <v>5</v>
      </c>
      <c r="J39" s="2993" t="str">
        <f>IF(OR(R41&gt;12,R41="",J36=""),"",J36*R41)</f>
        <v/>
      </c>
      <c r="K39" s="100"/>
      <c r="L39" s="1134" t="s">
        <v>581</v>
      </c>
      <c r="M39" s="102"/>
      <c r="N39" s="1114"/>
      <c r="O39" s="94"/>
      <c r="P39" s="130"/>
      <c r="Q39" s="48"/>
      <c r="R39" s="48"/>
      <c r="S39" s="48"/>
      <c r="T39" s="48"/>
      <c r="U39" s="139"/>
      <c r="V39" s="37"/>
    </row>
    <row r="40" spans="1:22" ht="13.5" thickBot="1">
      <c r="A40" s="117"/>
      <c r="B40" s="409">
        <v>6</v>
      </c>
      <c r="C40" s="413" t="s">
        <v>847</v>
      </c>
      <c r="D40" s="99"/>
      <c r="E40" s="99"/>
      <c r="F40" s="99"/>
      <c r="G40" s="99"/>
      <c r="H40" s="1120"/>
      <c r="I40" s="100"/>
      <c r="J40" s="1407"/>
      <c r="K40" s="100"/>
      <c r="L40" s="1134" t="s">
        <v>582</v>
      </c>
      <c r="M40" s="102"/>
      <c r="N40" s="1114"/>
      <c r="O40" s="94"/>
      <c r="P40" s="88"/>
      <c r="Q40" s="46"/>
      <c r="R40" s="46"/>
      <c r="S40" s="46"/>
      <c r="T40" s="46"/>
      <c r="U40" s="140"/>
      <c r="V40" s="37"/>
    </row>
    <row r="41" spans="1:22" ht="13.5" customHeight="1" thickBot="1">
      <c r="A41" s="117"/>
      <c r="B41" s="409"/>
      <c r="C41" s="413" t="s">
        <v>635</v>
      </c>
      <c r="D41" s="99"/>
      <c r="E41" s="99"/>
      <c r="F41" s="99"/>
      <c r="G41" s="99"/>
      <c r="H41" s="1120"/>
      <c r="I41" s="100">
        <v>6</v>
      </c>
      <c r="J41" s="2994"/>
      <c r="K41" s="100"/>
      <c r="L41" s="1134" t="s">
        <v>583</v>
      </c>
      <c r="M41" s="1140" t="s">
        <v>536</v>
      </c>
      <c r="N41" s="1114"/>
      <c r="O41" s="94"/>
      <c r="P41" s="88"/>
      <c r="Q41" s="1147"/>
      <c r="R41" s="1141"/>
      <c r="S41" s="46"/>
      <c r="T41" s="46"/>
      <c r="U41" s="140"/>
      <c r="V41" s="37"/>
    </row>
    <row r="42" spans="1:22">
      <c r="A42" s="117"/>
      <c r="B42" s="409">
        <v>7</v>
      </c>
      <c r="C42" s="595" t="s">
        <v>510</v>
      </c>
      <c r="D42" s="99"/>
      <c r="E42" s="99"/>
      <c r="F42" s="99"/>
      <c r="G42" s="99"/>
      <c r="H42" s="1120" t="s">
        <v>240</v>
      </c>
      <c r="I42" s="100">
        <v>7</v>
      </c>
      <c r="J42" s="2993" t="str">
        <f>IF(OR(K38=1,J39=""),"",J29-J41)</f>
        <v/>
      </c>
      <c r="K42" s="100"/>
      <c r="L42" s="94"/>
      <c r="M42" s="102"/>
      <c r="N42" s="1114"/>
      <c r="O42" s="94"/>
      <c r="P42" s="5212" t="s">
        <v>789</v>
      </c>
      <c r="Q42" s="4907"/>
      <c r="R42" s="4907"/>
      <c r="S42" s="4907"/>
      <c r="T42" s="4907"/>
      <c r="U42" s="4908"/>
      <c r="V42" s="37"/>
    </row>
    <row r="43" spans="1:22">
      <c r="A43" s="117"/>
      <c r="B43" s="409">
        <v>8</v>
      </c>
      <c r="C43" s="595" t="s">
        <v>1001</v>
      </c>
      <c r="D43" s="99"/>
      <c r="E43" s="99"/>
      <c r="F43" s="99"/>
      <c r="G43" s="99"/>
      <c r="H43" s="99"/>
      <c r="I43" s="99"/>
      <c r="J43" s="1120" t="s">
        <v>701</v>
      </c>
      <c r="K43" s="100">
        <v>8</v>
      </c>
      <c r="L43" s="2993" t="str">
        <f>IF(K38=1,J39,MIN(J39,J42))</f>
        <v/>
      </c>
      <c r="M43" s="733"/>
      <c r="N43" s="1114"/>
      <c r="O43" s="94"/>
      <c r="P43" s="5212" t="s">
        <v>790</v>
      </c>
      <c r="Q43" s="4907"/>
      <c r="R43" s="4907"/>
      <c r="S43" s="4907"/>
      <c r="T43" s="4907"/>
      <c r="U43" s="4908"/>
      <c r="V43" s="37"/>
    </row>
    <row r="44" spans="1:22" ht="13.5" thickBot="1">
      <c r="A44" s="117"/>
      <c r="B44" s="409">
        <v>9</v>
      </c>
      <c r="C44" s="413" t="s">
        <v>1234</v>
      </c>
      <c r="D44" s="99"/>
      <c r="E44" s="99"/>
      <c r="F44" s="99"/>
      <c r="G44" s="99"/>
      <c r="H44" s="99"/>
      <c r="I44" s="99"/>
      <c r="J44" s="99"/>
      <c r="K44" s="100"/>
      <c r="L44" s="94"/>
      <c r="M44" s="102"/>
      <c r="N44" s="1114"/>
      <c r="O44" s="94"/>
      <c r="P44" s="131"/>
      <c r="Q44" s="55"/>
      <c r="R44" s="55"/>
      <c r="S44" s="55"/>
      <c r="T44" s="55"/>
      <c r="U44" s="141"/>
      <c r="V44" s="37"/>
    </row>
    <row r="45" spans="1:22" ht="12.75" customHeight="1">
      <c r="A45" s="117"/>
      <c r="B45" s="409"/>
      <c r="C45" s="413" t="s">
        <v>1235</v>
      </c>
      <c r="D45" s="110"/>
      <c r="E45" s="110"/>
      <c r="F45" s="110"/>
      <c r="G45" s="110"/>
      <c r="H45" s="110"/>
      <c r="I45" s="100"/>
      <c r="J45" s="94"/>
      <c r="K45" s="100"/>
      <c r="L45" s="94"/>
      <c r="M45" s="102"/>
      <c r="N45" s="1114"/>
      <c r="O45" s="445"/>
      <c r="P45" s="46"/>
      <c r="Q45" s="46"/>
      <c r="R45" s="46"/>
      <c r="S45" s="46"/>
      <c r="T45" s="46"/>
      <c r="U45" s="46"/>
      <c r="V45" s="37"/>
    </row>
    <row r="46" spans="1:22" ht="12.75" customHeight="1">
      <c r="A46" s="117"/>
      <c r="B46" s="409"/>
      <c r="C46" s="413" t="s">
        <v>1236</v>
      </c>
      <c r="D46" s="110"/>
      <c r="E46" s="110"/>
      <c r="F46" s="110"/>
      <c r="G46" s="110"/>
      <c r="H46" s="110"/>
      <c r="I46" s="100"/>
      <c r="J46" s="94"/>
      <c r="K46" s="100"/>
      <c r="L46" s="94"/>
      <c r="M46" s="102"/>
      <c r="N46" s="1114"/>
      <c r="O46" s="445"/>
      <c r="P46" s="46"/>
      <c r="Q46" s="46"/>
      <c r="R46" s="46"/>
      <c r="S46" s="46"/>
      <c r="T46" s="46"/>
      <c r="U46" s="46"/>
      <c r="V46" s="37"/>
    </row>
    <row r="47" spans="1:22">
      <c r="A47" s="117"/>
      <c r="B47" s="409"/>
      <c r="C47" s="1663" t="s">
        <v>1237</v>
      </c>
      <c r="D47" s="94"/>
      <c r="E47" s="94"/>
      <c r="F47" s="94"/>
      <c r="G47" s="94"/>
      <c r="H47" s="94"/>
      <c r="I47" s="100"/>
      <c r="J47" s="1120" t="s">
        <v>701</v>
      </c>
      <c r="K47" s="100">
        <v>9</v>
      </c>
      <c r="L47" s="2993" t="str">
        <f>IF(R47&lt;&gt;"",R47,IF(R3="","",IF(Pension_total="",0,IF(L28-L43&lt;0,0,L28-L43))))</f>
        <v/>
      </c>
      <c r="M47" s="733"/>
      <c r="N47" s="1114"/>
      <c r="O47" s="445"/>
      <c r="P47" s="46"/>
      <c r="Q47" s="46"/>
      <c r="R47" s="550"/>
      <c r="S47" s="46"/>
      <c r="T47" s="46"/>
      <c r="U47" s="46"/>
      <c r="V47" s="37"/>
    </row>
    <row r="48" spans="1:22">
      <c r="A48" s="117"/>
      <c r="B48" s="1324" t="s">
        <v>507</v>
      </c>
      <c r="C48" s="413" t="s">
        <v>343</v>
      </c>
      <c r="D48" s="94"/>
      <c r="E48" s="94"/>
      <c r="F48" s="94"/>
      <c r="G48" s="94"/>
      <c r="H48" s="94"/>
      <c r="I48" s="100"/>
      <c r="J48" s="1120"/>
      <c r="K48" s="100"/>
      <c r="L48" s="445"/>
      <c r="M48" s="733"/>
      <c r="N48" s="1114"/>
      <c r="O48" s="445"/>
      <c r="P48" s="46"/>
      <c r="Q48" s="46"/>
      <c r="R48" s="1323"/>
      <c r="S48" s="46"/>
      <c r="T48" s="46"/>
      <c r="U48" s="46"/>
      <c r="V48" s="37"/>
    </row>
    <row r="49" spans="1:22" ht="7.5" customHeight="1">
      <c r="A49" s="117"/>
      <c r="B49" s="409"/>
      <c r="C49" s="99"/>
      <c r="D49" s="94"/>
      <c r="E49" s="94"/>
      <c r="F49" s="94"/>
      <c r="G49" s="94"/>
      <c r="H49" s="94"/>
      <c r="I49" s="100"/>
      <c r="J49" s="1120"/>
      <c r="K49" s="100"/>
      <c r="L49" s="445"/>
      <c r="M49" s="733"/>
      <c r="N49" s="1114"/>
      <c r="O49" s="445"/>
      <c r="P49" s="46"/>
      <c r="Q49" s="46"/>
      <c r="R49" s="1323"/>
      <c r="S49" s="46"/>
      <c r="T49" s="46"/>
      <c r="U49" s="46"/>
      <c r="V49" s="37"/>
    </row>
    <row r="50" spans="1:22" ht="13.5" customHeight="1">
      <c r="A50" s="117"/>
      <c r="B50" s="409"/>
      <c r="C50" s="577"/>
      <c r="D50" s="1325" t="s">
        <v>346</v>
      </c>
      <c r="E50" s="94" t="s">
        <v>344</v>
      </c>
      <c r="F50" s="94"/>
      <c r="G50" s="94"/>
      <c r="H50" s="94"/>
      <c r="I50" s="100"/>
      <c r="J50" s="1120"/>
      <c r="K50" s="100"/>
      <c r="L50" s="445"/>
      <c r="M50" s="733"/>
      <c r="N50" s="1114"/>
      <c r="O50" s="445"/>
      <c r="P50" s="46"/>
      <c r="Q50" s="46"/>
      <c r="R50" s="1535">
        <v>31778</v>
      </c>
      <c r="S50" s="46"/>
      <c r="T50" s="46"/>
      <c r="U50" s="46"/>
      <c r="V50" s="37"/>
    </row>
    <row r="51" spans="1:22">
      <c r="A51" s="117"/>
      <c r="B51" s="409"/>
      <c r="C51" s="99"/>
      <c r="D51" s="94"/>
      <c r="E51" s="94"/>
      <c r="F51" s="94"/>
      <c r="G51" s="94"/>
      <c r="H51" s="94"/>
      <c r="I51" s="100"/>
      <c r="J51" s="1120"/>
      <c r="K51" s="100"/>
      <c r="L51" s="445"/>
      <c r="M51" s="733"/>
      <c r="N51" s="1114"/>
      <c r="O51" s="445"/>
      <c r="P51" s="46"/>
      <c r="Q51" s="46"/>
      <c r="R51" s="1323"/>
      <c r="S51" s="46"/>
      <c r="T51" s="46"/>
      <c r="U51" s="46"/>
      <c r="V51" s="37"/>
    </row>
    <row r="52" spans="1:22" ht="15" customHeight="1">
      <c r="A52" s="117"/>
      <c r="B52" s="409"/>
      <c r="C52" s="577" t="str">
        <f>IF(R3&lt;R50,"","X")</f>
        <v/>
      </c>
      <c r="D52" s="395" t="s">
        <v>782</v>
      </c>
      <c r="E52" s="94"/>
      <c r="F52" s="94"/>
      <c r="G52" s="94"/>
      <c r="H52" s="94"/>
      <c r="I52" s="100"/>
      <c r="J52" s="382" t="str">
        <f>TaxYear&amp;"."</f>
        <v>2014.</v>
      </c>
      <c r="K52" s="100"/>
      <c r="L52" s="445"/>
      <c r="M52" s="733"/>
      <c r="N52" s="1114"/>
      <c r="O52" s="445"/>
      <c r="P52" s="46"/>
      <c r="Q52" s="46"/>
      <c r="R52" s="1323"/>
      <c r="S52" s="46"/>
      <c r="T52" s="46"/>
      <c r="U52" s="46"/>
      <c r="V52" s="37"/>
    </row>
    <row r="53" spans="1:22">
      <c r="A53" s="117"/>
      <c r="B53" s="409"/>
      <c r="C53" s="99"/>
      <c r="D53" s="94" t="s">
        <v>345</v>
      </c>
      <c r="E53" s="94"/>
      <c r="F53" s="94"/>
      <c r="G53" s="94"/>
      <c r="H53" s="94"/>
      <c r="I53" s="100"/>
      <c r="J53" s="1120" t="s">
        <v>427</v>
      </c>
      <c r="K53" s="109" t="str">
        <f>B48</f>
        <v>10.</v>
      </c>
      <c r="L53" s="2993" t="str">
        <f>IF(R53&lt;&gt;"",R53,IF(R3="","",IF(C50="X","",SUM(J41,L43))))</f>
        <v/>
      </c>
      <c r="M53" s="733"/>
      <c r="N53" s="1114"/>
      <c r="O53" s="445"/>
      <c r="P53" s="46"/>
      <c r="Q53" s="46"/>
      <c r="R53" s="550"/>
      <c r="S53" s="46"/>
      <c r="T53" s="46"/>
      <c r="U53" s="46"/>
      <c r="V53" s="37"/>
    </row>
    <row r="54" spans="1:22" ht="8.25" customHeight="1" thickBot="1">
      <c r="A54" s="117"/>
      <c r="B54" s="1123"/>
      <c r="C54" s="2974"/>
      <c r="D54" s="113"/>
      <c r="E54" s="113"/>
      <c r="F54" s="113"/>
      <c r="G54" s="113"/>
      <c r="H54" s="113"/>
      <c r="I54" s="114"/>
      <c r="J54" s="113"/>
      <c r="K54" s="114"/>
      <c r="L54" s="113"/>
      <c r="M54" s="115"/>
      <c r="N54" s="1115"/>
      <c r="O54" s="94"/>
      <c r="P54" s="46"/>
      <c r="Q54" s="46"/>
      <c r="R54" s="46"/>
      <c r="S54" s="46"/>
      <c r="T54" s="46"/>
      <c r="U54" s="46"/>
      <c r="V54" s="37"/>
    </row>
    <row r="55" spans="1:22" ht="17.25" customHeight="1">
      <c r="A55" s="117"/>
      <c r="B55" s="409"/>
      <c r="C55" s="99"/>
      <c r="D55" s="109"/>
      <c r="E55" s="109"/>
      <c r="F55" s="109" t="s">
        <v>757</v>
      </c>
      <c r="G55" s="109"/>
      <c r="H55" s="109"/>
      <c r="I55" s="109"/>
      <c r="J55" s="94"/>
      <c r="K55" s="100"/>
      <c r="L55" s="94"/>
      <c r="M55" s="151"/>
      <c r="N55" s="1114"/>
      <c r="O55" s="94"/>
      <c r="P55" s="46"/>
      <c r="Q55" s="46"/>
      <c r="R55" s="46"/>
      <c r="S55" s="46"/>
      <c r="T55" s="46"/>
      <c r="U55" s="46"/>
      <c r="V55" s="37"/>
    </row>
    <row r="56" spans="1:22" ht="12" customHeight="1">
      <c r="A56" s="117"/>
      <c r="B56" s="409"/>
      <c r="C56" s="99"/>
      <c r="D56" s="94"/>
      <c r="E56" s="94"/>
      <c r="F56" s="94"/>
      <c r="G56" s="94"/>
      <c r="H56" s="94"/>
      <c r="I56" s="100"/>
      <c r="J56" s="1132">
        <v>35387</v>
      </c>
      <c r="K56" s="100"/>
      <c r="L56" s="1137" t="s">
        <v>144</v>
      </c>
      <c r="M56" s="151"/>
      <c r="N56" s="1114"/>
      <c r="O56" s="94"/>
      <c r="P56" s="46"/>
      <c r="Q56" s="46"/>
      <c r="R56" s="46"/>
      <c r="S56" s="46"/>
      <c r="T56" s="46"/>
      <c r="U56" s="46"/>
      <c r="V56" s="37"/>
    </row>
    <row r="57" spans="1:22">
      <c r="A57" s="117"/>
      <c r="B57" s="409"/>
      <c r="C57" s="99"/>
      <c r="D57" s="146"/>
      <c r="E57" s="146"/>
      <c r="F57" s="100"/>
      <c r="G57" s="105" t="s">
        <v>758</v>
      </c>
      <c r="H57" s="105"/>
      <c r="I57" s="100"/>
      <c r="J57" s="94"/>
      <c r="K57" s="94"/>
      <c r="L57" s="1137" t="s">
        <v>145</v>
      </c>
      <c r="M57" s="151"/>
      <c r="N57" s="1115"/>
      <c r="O57" s="94"/>
      <c r="P57" s="46"/>
      <c r="Q57" s="46"/>
      <c r="R57" s="46"/>
      <c r="S57" s="46"/>
      <c r="T57" s="46"/>
      <c r="U57" s="46"/>
      <c r="V57" s="37"/>
    </row>
    <row r="58" spans="1:22">
      <c r="A58" s="117"/>
      <c r="B58" s="409"/>
      <c r="C58" s="99"/>
      <c r="D58" s="399" t="s">
        <v>1238</v>
      </c>
      <c r="E58" s="399"/>
      <c r="F58" s="109" t="s">
        <v>753</v>
      </c>
      <c r="G58" s="5208">
        <f>J56+1</f>
        <v>35388</v>
      </c>
      <c r="H58" s="5209"/>
      <c r="I58" s="109" t="s">
        <v>752</v>
      </c>
      <c r="J58" s="5208">
        <f>J56</f>
        <v>35387</v>
      </c>
      <c r="K58" s="5209"/>
      <c r="L58" s="1137" t="s">
        <v>716</v>
      </c>
      <c r="M58" s="151"/>
      <c r="N58" s="1114"/>
      <c r="O58" s="94"/>
      <c r="P58" s="46"/>
      <c r="Q58" s="46"/>
      <c r="R58" s="46"/>
      <c r="S58" s="46"/>
      <c r="T58" s="46"/>
      <c r="U58" s="46"/>
      <c r="V58" s="37"/>
    </row>
    <row r="59" spans="1:22" ht="12" customHeight="1">
      <c r="A59" s="117"/>
      <c r="B59" s="409"/>
      <c r="C59" s="99"/>
      <c r="D59" s="592" t="s">
        <v>1239</v>
      </c>
      <c r="E59" s="1126"/>
      <c r="F59" s="1121" t="s">
        <v>4</v>
      </c>
      <c r="G59" s="1121"/>
      <c r="H59" s="1122"/>
      <c r="I59" s="100"/>
      <c r="J59" s="731" t="s">
        <v>236</v>
      </c>
      <c r="K59" s="400"/>
      <c r="L59" s="1137" t="s">
        <v>654</v>
      </c>
      <c r="M59" s="151"/>
      <c r="N59" s="1114"/>
      <c r="O59" s="94"/>
      <c r="P59" s="46"/>
      <c r="Q59" s="46"/>
      <c r="R59" s="46"/>
      <c r="S59" s="46"/>
      <c r="T59" s="46"/>
      <c r="U59" s="46"/>
      <c r="V59" s="37"/>
    </row>
    <row r="60" spans="1:22" ht="5.25" customHeight="1">
      <c r="A60" s="117"/>
      <c r="B60" s="409"/>
      <c r="C60" s="99"/>
      <c r="D60" s="399"/>
      <c r="E60" s="1126"/>
      <c r="F60" s="513"/>
      <c r="G60" s="513"/>
      <c r="H60" s="1131"/>
      <c r="I60" s="100"/>
      <c r="J60" s="400"/>
      <c r="K60" s="400"/>
      <c r="L60" s="400"/>
      <c r="M60" s="151"/>
      <c r="N60" s="1114"/>
      <c r="O60" s="94"/>
      <c r="P60" s="46"/>
      <c r="Q60" s="46"/>
      <c r="R60" s="46"/>
      <c r="S60" s="46"/>
      <c r="T60" s="46"/>
      <c r="U60" s="46"/>
      <c r="V60" s="37"/>
    </row>
    <row r="61" spans="1:22">
      <c r="A61" s="117"/>
      <c r="B61" s="409"/>
      <c r="C61" s="99"/>
      <c r="D61" s="146" t="str">
        <f>(E62-1)&amp;" or under"</f>
        <v>55 or under</v>
      </c>
      <c r="E61" s="1126"/>
      <c r="F61" s="425"/>
      <c r="G61" s="150">
        <v>300</v>
      </c>
      <c r="H61" s="428"/>
      <c r="I61" s="100"/>
      <c r="J61" s="150">
        <v>360</v>
      </c>
      <c r="K61" s="150"/>
      <c r="L61" s="1124"/>
      <c r="M61" s="151"/>
      <c r="N61" s="1114"/>
      <c r="O61" s="94"/>
      <c r="P61" s="46"/>
      <c r="Q61" s="46"/>
      <c r="R61" s="46"/>
      <c r="S61" s="46"/>
      <c r="T61" s="46"/>
      <c r="U61" s="46"/>
      <c r="V61" s="37"/>
    </row>
    <row r="62" spans="1:22">
      <c r="A62" s="117"/>
      <c r="B62" s="409"/>
      <c r="C62" s="99"/>
      <c r="D62" s="146" t="str">
        <f>E62&amp;"--"&amp;(E62+4)</f>
        <v>56--60</v>
      </c>
      <c r="E62" s="1125">
        <v>56</v>
      </c>
      <c r="F62" s="425"/>
      <c r="G62" s="150">
        <v>260</v>
      </c>
      <c r="H62" s="428"/>
      <c r="I62" s="100"/>
      <c r="J62" s="150">
        <v>310</v>
      </c>
      <c r="K62" s="150"/>
      <c r="L62" s="1137"/>
      <c r="M62" s="151"/>
      <c r="N62" s="1114"/>
      <c r="O62" s="94"/>
      <c r="P62" s="46"/>
      <c r="Q62" s="46"/>
      <c r="R62" s="46"/>
      <c r="S62" s="46"/>
      <c r="T62" s="46"/>
      <c r="U62" s="46"/>
      <c r="V62" s="37"/>
    </row>
    <row r="63" spans="1:22">
      <c r="A63" s="117"/>
      <c r="B63" s="409"/>
      <c r="C63" s="99"/>
      <c r="D63" s="146" t="str">
        <f>E63&amp;"--"&amp;(E63+4)</f>
        <v>61--65</v>
      </c>
      <c r="E63" s="1125">
        <v>61</v>
      </c>
      <c r="F63" s="1129"/>
      <c r="G63" s="150">
        <v>240</v>
      </c>
      <c r="H63" s="428"/>
      <c r="I63" s="100"/>
      <c r="J63" s="150">
        <v>260</v>
      </c>
      <c r="K63" s="150"/>
      <c r="L63" s="1137"/>
      <c r="M63" s="151"/>
      <c r="N63" s="1116"/>
      <c r="O63" s="94"/>
      <c r="P63" s="46"/>
      <c r="Q63" s="46"/>
      <c r="R63" s="46"/>
      <c r="S63" s="46"/>
      <c r="T63" s="46"/>
      <c r="U63" s="46"/>
      <c r="V63" s="37"/>
    </row>
    <row r="64" spans="1:22" ht="13.5" customHeight="1">
      <c r="A64" s="117"/>
      <c r="B64" s="409"/>
      <c r="C64" s="99"/>
      <c r="D64" s="146" t="str">
        <f>E64&amp;"--"&amp;(E64+4)</f>
        <v>66--70</v>
      </c>
      <c r="E64" s="1125">
        <v>66</v>
      </c>
      <c r="F64" s="425"/>
      <c r="G64" s="150">
        <v>170</v>
      </c>
      <c r="H64" s="428"/>
      <c r="I64" s="100"/>
      <c r="J64" s="150">
        <v>210</v>
      </c>
      <c r="K64" s="150"/>
      <c r="L64" s="1137"/>
      <c r="M64" s="151"/>
      <c r="N64" s="1117"/>
      <c r="O64" s="94"/>
      <c r="P64" s="46"/>
      <c r="Q64" s="46"/>
      <c r="R64" s="46"/>
      <c r="S64" s="46"/>
      <c r="T64" s="46"/>
      <c r="U64" s="46"/>
      <c r="V64" s="37"/>
    </row>
    <row r="65" spans="1:22">
      <c r="A65" s="117"/>
      <c r="B65" s="409"/>
      <c r="C65" s="99"/>
      <c r="D65" s="146" t="str">
        <f>E65&amp;" or older"</f>
        <v>71 or older</v>
      </c>
      <c r="E65" s="1125">
        <v>71</v>
      </c>
      <c r="F65" s="425"/>
      <c r="G65" s="150">
        <v>120</v>
      </c>
      <c r="H65" s="428"/>
      <c r="I65" s="100"/>
      <c r="J65" s="150">
        <v>160</v>
      </c>
      <c r="K65" s="150"/>
      <c r="L65" s="150"/>
      <c r="M65" s="151"/>
      <c r="N65" s="1118"/>
      <c r="O65" s="94"/>
      <c r="P65" s="46"/>
      <c r="Q65" s="46"/>
      <c r="R65" s="46"/>
      <c r="S65" s="46"/>
      <c r="T65" s="46"/>
      <c r="U65" s="46"/>
      <c r="V65" s="37"/>
    </row>
    <row r="66" spans="1:22" ht="13.5" thickBot="1">
      <c r="A66" s="117"/>
      <c r="B66" s="1123"/>
      <c r="C66" s="112"/>
      <c r="D66" s="113"/>
      <c r="E66" s="113"/>
      <c r="F66" s="1128"/>
      <c r="G66" s="1127">
        <f>IF(R14&lt;E62,G61,LOOKUP(R14,E62:E65,G62:G65))</f>
        <v>300</v>
      </c>
      <c r="H66" s="1127"/>
      <c r="I66" s="426"/>
      <c r="J66" s="1127">
        <f>IF(R14&lt;E62,J61,LOOKUP(R14,E62:E65,J62:J65))</f>
        <v>360</v>
      </c>
      <c r="K66" s="114"/>
      <c r="L66" s="1127" t="str">
        <f>IF(OR(R3="",R14=""),"",IF(R3&gt;J56,J66,G66))</f>
        <v/>
      </c>
      <c r="M66" s="115"/>
      <c r="N66" s="1118"/>
      <c r="O66" s="94"/>
      <c r="P66" s="46"/>
      <c r="Q66" s="46"/>
      <c r="R66" s="46"/>
      <c r="S66" s="46"/>
      <c r="T66" s="46"/>
      <c r="U66" s="46"/>
      <c r="V66" s="37"/>
    </row>
    <row r="67" spans="1:22">
      <c r="A67" s="117"/>
      <c r="B67" s="409"/>
      <c r="C67" s="99"/>
      <c r="D67" s="109"/>
      <c r="E67" s="109"/>
      <c r="F67" s="2995" t="s">
        <v>589</v>
      </c>
      <c r="G67" s="109"/>
      <c r="H67" s="109"/>
      <c r="I67" s="109"/>
      <c r="J67" s="1132">
        <v>35796</v>
      </c>
      <c r="K67" s="774"/>
      <c r="L67" s="320" t="b">
        <f>IF(Q34&lt;&gt;"",TRUE,FALSE)</f>
        <v>0</v>
      </c>
      <c r="M67" s="102"/>
      <c r="N67" s="1118"/>
      <c r="O67" s="94"/>
      <c r="P67" s="46"/>
      <c r="Q67" s="46"/>
      <c r="R67" s="46"/>
      <c r="S67" s="46"/>
      <c r="T67" s="46"/>
      <c r="U67" s="46"/>
      <c r="V67" s="37"/>
    </row>
    <row r="68" spans="1:22">
      <c r="A68" s="117"/>
      <c r="B68" s="409"/>
      <c r="C68" s="99"/>
      <c r="D68" s="94"/>
      <c r="E68" s="94"/>
      <c r="F68" s="94"/>
      <c r="G68" s="94"/>
      <c r="H68" s="94"/>
      <c r="I68" s="100"/>
      <c r="J68" s="94"/>
      <c r="K68" s="100"/>
      <c r="L68" s="1124" t="s">
        <v>841</v>
      </c>
      <c r="M68" s="102"/>
      <c r="N68" s="1118"/>
      <c r="O68" s="94"/>
      <c r="P68" s="46"/>
      <c r="Q68" s="46"/>
      <c r="R68" s="46"/>
      <c r="S68" s="46"/>
      <c r="T68" s="46"/>
      <c r="U68" s="46"/>
      <c r="V68" s="37"/>
    </row>
    <row r="69" spans="1:22" ht="13.5" thickBot="1">
      <c r="A69" s="117"/>
      <c r="B69" s="155"/>
      <c r="C69" s="427" t="s">
        <v>1240</v>
      </c>
      <c r="D69" s="399"/>
      <c r="E69" s="399"/>
      <c r="F69" s="399"/>
      <c r="G69" s="399"/>
      <c r="H69" s="399"/>
      <c r="I69" s="100"/>
      <c r="J69" s="105"/>
      <c r="K69" s="100"/>
      <c r="L69" s="1124" t="s">
        <v>842</v>
      </c>
      <c r="M69" s="102"/>
      <c r="N69" s="1118"/>
      <c r="O69" s="94"/>
      <c r="P69" s="46"/>
      <c r="Q69" s="46"/>
      <c r="R69" s="46"/>
      <c r="S69" s="46"/>
      <c r="T69" s="46"/>
      <c r="U69" s="37"/>
      <c r="V69" s="37"/>
    </row>
    <row r="70" spans="1:22" ht="13.5" thickBot="1">
      <c r="A70" s="117"/>
      <c r="B70" s="156"/>
      <c r="C70" s="593"/>
      <c r="D70" s="709" t="s">
        <v>1241</v>
      </c>
      <c r="E70" s="709"/>
      <c r="F70" s="709"/>
      <c r="G70" s="709"/>
      <c r="H70" s="709"/>
      <c r="I70" s="153" t="s">
        <v>25</v>
      </c>
      <c r="J70" s="94"/>
      <c r="K70" s="100"/>
      <c r="L70" s="1124" t="s">
        <v>327</v>
      </c>
      <c r="M70" s="148"/>
      <c r="N70" s="1114"/>
      <c r="O70" s="94"/>
      <c r="P70" s="132"/>
      <c r="Q70" s="133"/>
      <c r="R70" s="133"/>
      <c r="S70" s="133"/>
      <c r="T70" s="1130"/>
      <c r="U70" s="37"/>
      <c r="V70" s="37"/>
    </row>
    <row r="71" spans="1:22" ht="13.5" customHeight="1" thickBot="1">
      <c r="A71" s="117"/>
      <c r="B71" s="155"/>
      <c r="C71" s="152"/>
      <c r="D71" s="146" t="str">
        <f>(E72-1)&amp;" or under"</f>
        <v>110 or under</v>
      </c>
      <c r="E71" s="146"/>
      <c r="F71" s="146"/>
      <c r="G71" s="146"/>
      <c r="H71" s="146"/>
      <c r="I71" s="428"/>
      <c r="J71" s="150">
        <v>410</v>
      </c>
      <c r="K71" s="100"/>
      <c r="L71" s="1124" t="s">
        <v>716</v>
      </c>
      <c r="M71" s="1110" t="s">
        <v>536</v>
      </c>
      <c r="N71" s="1114"/>
      <c r="O71" s="100"/>
      <c r="P71" s="134"/>
      <c r="Q71" s="135"/>
      <c r="R71" s="1139"/>
      <c r="S71" s="1135"/>
      <c r="T71" s="934"/>
      <c r="U71" s="37"/>
      <c r="V71" s="37"/>
    </row>
    <row r="72" spans="1:22">
      <c r="A72" s="117"/>
      <c r="B72" s="155"/>
      <c r="C72" s="152"/>
      <c r="D72" s="146" t="str">
        <f>E72&amp;"--"&amp;E72+9</f>
        <v>111--120</v>
      </c>
      <c r="E72" s="1125">
        <v>111</v>
      </c>
      <c r="F72" s="146"/>
      <c r="G72" s="146"/>
      <c r="H72" s="146"/>
      <c r="I72" s="428"/>
      <c r="J72" s="150">
        <v>360</v>
      </c>
      <c r="K72" s="100"/>
      <c r="L72" s="150"/>
      <c r="M72" s="151"/>
      <c r="N72" s="1114"/>
      <c r="O72" s="150"/>
      <c r="P72" s="5206" t="s">
        <v>657</v>
      </c>
      <c r="Q72" s="4970"/>
      <c r="R72" s="4970"/>
      <c r="S72" s="4970"/>
      <c r="T72" s="5207"/>
      <c r="U72" s="37"/>
      <c r="V72" s="37"/>
    </row>
    <row r="73" spans="1:22">
      <c r="A73" s="117"/>
      <c r="B73" s="155"/>
      <c r="C73" s="152"/>
      <c r="D73" s="146" t="str">
        <f>E73&amp;"--"&amp;E73+9</f>
        <v>121--130</v>
      </c>
      <c r="E73" s="1125">
        <v>121</v>
      </c>
      <c r="F73" s="146"/>
      <c r="G73" s="146"/>
      <c r="H73" s="146"/>
      <c r="I73" s="428"/>
      <c r="J73" s="150">
        <v>310</v>
      </c>
      <c r="K73" s="100"/>
      <c r="L73" s="150"/>
      <c r="M73" s="151"/>
      <c r="N73" s="1114"/>
      <c r="O73" s="150"/>
      <c r="P73" s="5206" t="s">
        <v>656</v>
      </c>
      <c r="Q73" s="4970"/>
      <c r="R73" s="4970"/>
      <c r="S73" s="4970"/>
      <c r="T73" s="5207"/>
      <c r="U73" s="37"/>
      <c r="V73" s="37"/>
    </row>
    <row r="74" spans="1:22" ht="13.5" thickBot="1">
      <c r="A74" s="117"/>
      <c r="B74" s="155"/>
      <c r="C74" s="152"/>
      <c r="D74" s="146" t="str">
        <f>E74&amp;"--"&amp;E74+9</f>
        <v>131--140</v>
      </c>
      <c r="E74" s="1125">
        <v>131</v>
      </c>
      <c r="F74" s="146"/>
      <c r="G74" s="146"/>
      <c r="H74" s="146"/>
      <c r="I74" s="428"/>
      <c r="J74" s="150">
        <v>260</v>
      </c>
      <c r="K74" s="100"/>
      <c r="L74" s="150"/>
      <c r="M74" s="151"/>
      <c r="N74" s="1116"/>
      <c r="O74" s="150"/>
      <c r="P74" s="137"/>
      <c r="Q74" s="123"/>
      <c r="R74" s="138"/>
      <c r="S74" s="138"/>
      <c r="T74" s="935"/>
      <c r="U74" s="37"/>
      <c r="V74" s="37"/>
    </row>
    <row r="75" spans="1:22">
      <c r="A75" s="117"/>
      <c r="B75" s="155"/>
      <c r="C75" s="152"/>
      <c r="D75" s="146" t="str">
        <f>E75&amp;" or older"</f>
        <v>141 or older</v>
      </c>
      <c r="E75" s="1125">
        <v>141</v>
      </c>
      <c r="F75" s="146"/>
      <c r="G75" s="146"/>
      <c r="H75" s="146"/>
      <c r="I75" s="428"/>
      <c r="J75" s="150">
        <v>210</v>
      </c>
      <c r="K75" s="100"/>
      <c r="L75" s="150"/>
      <c r="M75" s="151"/>
      <c r="N75" s="1118"/>
      <c r="O75" s="178"/>
      <c r="P75" s="37"/>
      <c r="Q75" s="37"/>
      <c r="R75" s="37"/>
      <c r="S75" s="37"/>
      <c r="T75" s="37"/>
      <c r="U75" s="37"/>
      <c r="V75" s="37"/>
    </row>
    <row r="76" spans="1:22" ht="13.5" thickBot="1">
      <c r="A76" s="117"/>
      <c r="B76" s="1123"/>
      <c r="C76" s="112"/>
      <c r="D76" s="113"/>
      <c r="E76" s="113"/>
      <c r="F76" s="113"/>
      <c r="G76" s="113"/>
      <c r="H76" s="113"/>
      <c r="I76" s="114"/>
      <c r="J76" s="1127" t="str">
        <f>IF(OR(Q34="",R71=""),"",IF(R71&lt;E72,J71,LOOKUP(R71,E72:E75,J72:J75)))</f>
        <v/>
      </c>
      <c r="K76" s="114"/>
      <c r="L76" s="113"/>
      <c r="M76" s="115"/>
      <c r="N76" s="1118"/>
      <c r="O76" s="178"/>
      <c r="P76" s="37"/>
      <c r="Q76" s="37"/>
      <c r="R76" s="37"/>
      <c r="S76" s="37"/>
      <c r="T76" s="37"/>
      <c r="U76" s="37"/>
      <c r="V76" s="37"/>
    </row>
    <row r="77" spans="1:22" ht="9.75" customHeight="1">
      <c r="A77" s="117"/>
      <c r="B77" s="1148"/>
      <c r="C77" s="1149"/>
      <c r="D77" s="1150"/>
      <c r="E77" s="1150"/>
      <c r="F77" s="1150"/>
      <c r="G77" s="1150"/>
      <c r="H77" s="1150"/>
      <c r="I77" s="1151"/>
      <c r="J77" s="1152"/>
      <c r="K77" s="1153"/>
      <c r="L77" s="1152"/>
      <c r="M77" s="1152"/>
      <c r="N77" s="1118"/>
      <c r="O77" s="178"/>
      <c r="P77" s="37"/>
      <c r="Q77" s="37"/>
      <c r="R77" s="37"/>
      <c r="S77" s="37"/>
      <c r="T77" s="37"/>
      <c r="U77" s="37"/>
      <c r="V77" s="37"/>
    </row>
    <row r="78" spans="1:22" ht="12.75" customHeight="1">
      <c r="A78" s="179"/>
      <c r="B78" s="179"/>
      <c r="C78" s="179"/>
      <c r="D78" s="180"/>
      <c r="E78" s="180"/>
      <c r="F78" s="180"/>
      <c r="G78" s="180"/>
      <c r="H78" s="180"/>
      <c r="I78" s="181"/>
      <c r="J78" s="178"/>
      <c r="K78" s="181"/>
      <c r="L78" s="178"/>
      <c r="M78" s="178"/>
      <c r="N78" s="178"/>
      <c r="O78" s="178"/>
      <c r="P78" s="37"/>
      <c r="Q78" s="37"/>
      <c r="R78" s="37"/>
      <c r="S78" s="37"/>
      <c r="T78" s="37"/>
      <c r="U78" s="178"/>
      <c r="V78" s="37"/>
    </row>
    <row r="79" spans="1:22" ht="13.5" customHeight="1"/>
    <row r="80" spans="1:22" ht="14.25" customHeight="1"/>
  </sheetData>
  <sheetProtection password="F07E" sheet="1" scenarios="1"/>
  <mergeCells count="12">
    <mergeCell ref="G58:H58"/>
    <mergeCell ref="P7:T7"/>
    <mergeCell ref="P18:T18"/>
    <mergeCell ref="P73:T73"/>
    <mergeCell ref="P42:U42"/>
    <mergeCell ref="P43:U43"/>
    <mergeCell ref="J58:K58"/>
    <mergeCell ref="R3:S3"/>
    <mergeCell ref="R14:S14"/>
    <mergeCell ref="P15:T15"/>
    <mergeCell ref="P16:T16"/>
    <mergeCell ref="P72:T72"/>
  </mergeCells>
  <phoneticPr fontId="12" type="noConversion"/>
  <conditionalFormatting sqref="L61">
    <cfRule type="expression" dxfId="147" priority="12" stopIfTrue="1">
      <formula>IF(OR($L$67=TRUE,$R$59&lt;&gt;""),1,0)</formula>
    </cfRule>
  </conditionalFormatting>
  <conditionalFormatting sqref="L68:L71 M71">
    <cfRule type="expression" dxfId="146" priority="13" stopIfTrue="1">
      <formula>IF(OR($R$71&lt;&gt;"",$L$67=FALSE),1,0)</formula>
    </cfRule>
  </conditionalFormatting>
  <conditionalFormatting sqref="L41:M41 L37:L40">
    <cfRule type="expression" dxfId="145" priority="14" stopIfTrue="1">
      <formula>IF($R$41&lt;=12,1,0)</formula>
    </cfRule>
  </conditionalFormatting>
  <conditionalFormatting sqref="J71:J75">
    <cfRule type="expression" dxfId="144" priority="16" stopIfTrue="1">
      <formula>IF(AND($L$67=TRUE,J71=$J$76),1,0)</formula>
    </cfRule>
  </conditionalFormatting>
  <conditionalFormatting sqref="L62:L64">
    <cfRule type="expression" dxfId="143" priority="23" stopIfTrue="1">
      <formula>IF($R$3&lt;&gt;"",1,0)</formula>
    </cfRule>
  </conditionalFormatting>
  <conditionalFormatting sqref="D50">
    <cfRule type="expression" dxfId="142" priority="28" stopIfTrue="1">
      <formula>IF(C50="X",1,0)</formula>
    </cfRule>
  </conditionalFormatting>
  <conditionalFormatting sqref="L30:L32">
    <cfRule type="expression" dxfId="141" priority="31" stopIfTrue="1">
      <formula>IF($K$31&lt;&gt;"",1,0)</formula>
    </cfRule>
  </conditionalFormatting>
  <conditionalFormatting sqref="L35">
    <cfRule type="expression" dxfId="140" priority="32" stopIfTrue="1">
      <formula>IF(AND($K$31&lt;&gt;"",$L$36=""),1,0)</formula>
    </cfRule>
  </conditionalFormatting>
  <conditionalFormatting sqref="S35:T36 Q35:Q36">
    <cfRule type="expression" dxfId="139" priority="770" stopIfTrue="1">
      <formula>IF($R$3&lt;$J$57,1,0)</formula>
    </cfRule>
  </conditionalFormatting>
  <conditionalFormatting sqref="U33 P33">
    <cfRule type="expression" dxfId="138" priority="772" stopIfTrue="1">
      <formula>IF($R$3&lt;$J$57,1,0)</formula>
    </cfRule>
  </conditionalFormatting>
  <conditionalFormatting sqref="P34:P36">
    <cfRule type="expression" dxfId="137" priority="774" stopIfTrue="1">
      <formula>IF($R$3&lt;$J$57,1,0)</formula>
    </cfRule>
  </conditionalFormatting>
  <conditionalFormatting sqref="P37:U37">
    <cfRule type="expression" dxfId="136" priority="775" stopIfTrue="1">
      <formula>IF($R$3&lt;$J$57,1,0)</formula>
    </cfRule>
  </conditionalFormatting>
  <conditionalFormatting sqref="U34:U36">
    <cfRule type="expression" dxfId="135" priority="776" stopIfTrue="1">
      <formula>IF($R$3&lt;$J$57,1,0)</formula>
    </cfRule>
  </conditionalFormatting>
  <conditionalFormatting sqref="L56:L59">
    <cfRule type="expression" dxfId="134" priority="777" stopIfTrue="1">
      <formula>IF(OR($R$3="",$L$57=TRUE,$R$14&lt;&gt;""),1,0)</formula>
    </cfRule>
  </conditionalFormatting>
  <conditionalFormatting sqref="Q33:T33">
    <cfRule type="expression" dxfId="133" priority="778" stopIfTrue="1">
      <formula>IF($R$3&lt;$J$57,1,0)</formula>
    </cfRule>
  </conditionalFormatting>
  <conditionalFormatting sqref="T34 R34:R36">
    <cfRule type="expression" dxfId="132" priority="779" stopIfTrue="1">
      <formula>IF($R$3&lt;$J$65,1,0)</formula>
    </cfRule>
  </conditionalFormatting>
  <conditionalFormatting sqref="Q34">
    <cfRule type="expression" dxfId="131" priority="781" stopIfTrue="1">
      <formula>IF($R$3&lt;$J$65,1,0)</formula>
    </cfRule>
  </conditionalFormatting>
  <conditionalFormatting sqref="S34">
    <cfRule type="expression" dxfId="130" priority="782" stopIfTrue="1">
      <formula>IF($R$3&lt;$J$65,1,0)</formula>
    </cfRule>
  </conditionalFormatting>
  <conditionalFormatting sqref="G61:G65">
    <cfRule type="expression" dxfId="129" priority="783" stopIfTrue="1">
      <formula>IF(AND($L$67=FALSE,G61=$L$66,$R$3&lt;=$J$56),1,0)</formula>
    </cfRule>
  </conditionalFormatting>
  <conditionalFormatting sqref="J61:J65">
    <cfRule type="expression" dxfId="128" priority="784" stopIfTrue="1">
      <formula>IF(AND($L$67=FALSE,J61=$L$66,$R$3&gt;$J$56),1,0)</formula>
    </cfRule>
  </conditionalFormatting>
  <conditionalFormatting sqref="R31">
    <cfRule type="expression" dxfId="127" priority="11">
      <formula>IF(Q31="",1,0)</formula>
    </cfRule>
  </conditionalFormatting>
  <conditionalFormatting sqref="L28">
    <cfRule type="expression" dxfId="126" priority="10">
      <formula>IF(NoColor,1,0)</formula>
    </cfRule>
  </conditionalFormatting>
  <conditionalFormatting sqref="J35:J36">
    <cfRule type="expression" dxfId="125" priority="9">
      <formula>IF(NoColor,1,0)</formula>
    </cfRule>
  </conditionalFormatting>
  <conditionalFormatting sqref="J39">
    <cfRule type="expression" dxfId="124" priority="8">
      <formula>IF(NoColor,1,0)</formula>
    </cfRule>
  </conditionalFormatting>
  <conditionalFormatting sqref="J42">
    <cfRule type="expression" dxfId="123" priority="7">
      <formula>IF(NoColor,1,0)</formula>
    </cfRule>
  </conditionalFormatting>
  <conditionalFormatting sqref="L43">
    <cfRule type="expression" dxfId="122" priority="6">
      <formula>IF(NoColor,1,0)</formula>
    </cfRule>
  </conditionalFormatting>
  <conditionalFormatting sqref="L47">
    <cfRule type="expression" dxfId="121" priority="5">
      <formula>IF(NoColor,1,0)</formula>
    </cfRule>
  </conditionalFormatting>
  <conditionalFormatting sqref="L53">
    <cfRule type="expression" dxfId="120" priority="4">
      <formula>IF(NoColor,1,0)</formula>
    </cfRule>
  </conditionalFormatting>
  <conditionalFormatting sqref="J29">
    <cfRule type="expression" dxfId="119" priority="3">
      <formula>IF(NoColor,1,0)</formula>
    </cfRule>
  </conditionalFormatting>
  <conditionalFormatting sqref="L36">
    <cfRule type="expression" dxfId="118" priority="2">
      <formula>IF(NoColor,1,0)</formula>
    </cfRule>
  </conditionalFormatting>
  <conditionalFormatting sqref="J41">
    <cfRule type="expression" dxfId="117" priority="1">
      <formula>IF(NoColor,1,0)</formula>
    </cfRule>
  </conditionalFormatting>
  <pageMargins left="0.75" right="0.46" top="0.37" bottom="0.55000000000000004" header="0.35" footer="0.5"/>
  <pageSetup scale="84" orientation="portrait" horizontalDpi="360" verticalDpi="360"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59"/>
  <sheetViews>
    <sheetView zoomScaleNormal="100" workbookViewId="0">
      <selection activeCell="P18" sqref="P18"/>
    </sheetView>
  </sheetViews>
  <sheetFormatPr defaultColWidth="9.140625" defaultRowHeight="12.75"/>
  <cols>
    <col min="1" max="1" width="2.42578125" style="68" customWidth="1"/>
    <col min="2" max="2" width="1.5703125" style="68" customWidth="1"/>
    <col min="3" max="3" width="3.5703125" style="68" customWidth="1"/>
    <col min="4" max="4" width="2.28515625" style="68" customWidth="1"/>
    <col min="5" max="5" width="50.140625" style="68" customWidth="1"/>
    <col min="6" max="6" width="9.7109375" style="68" customWidth="1"/>
    <col min="7" max="7" width="10" style="68" customWidth="1"/>
    <col min="8" max="8" width="11.140625" style="68" customWidth="1"/>
    <col min="9" max="9" width="4.28515625" style="68" customWidth="1"/>
    <col min="10" max="10" width="16.42578125" style="68" customWidth="1"/>
    <col min="11" max="13" width="2.140625" style="68" customWidth="1"/>
    <col min="14" max="14" width="2" style="68" customWidth="1"/>
    <col min="15" max="15" width="3.140625" style="68" customWidth="1"/>
    <col min="16" max="16" width="11.42578125" style="68" customWidth="1"/>
    <col min="17" max="17" width="8.42578125" style="68" customWidth="1"/>
    <col min="18" max="16384" width="9.140625" style="68"/>
  </cols>
  <sheetData>
    <row r="1" spans="1:18">
      <c r="A1" s="117"/>
      <c r="B1" s="117"/>
      <c r="C1" s="117"/>
      <c r="D1" s="117"/>
      <c r="E1" s="117"/>
      <c r="F1" s="117"/>
      <c r="G1" s="117"/>
      <c r="H1" s="117"/>
      <c r="I1" s="117"/>
      <c r="J1" s="117"/>
      <c r="K1" s="117"/>
      <c r="L1" s="117"/>
      <c r="M1" s="37"/>
      <c r="N1" s="178"/>
      <c r="O1" s="37"/>
      <c r="P1" s="37"/>
      <c r="Q1" s="37"/>
      <c r="R1" s="37"/>
    </row>
    <row r="2" spans="1:18" s="129" customFormat="1" ht="37.5" customHeight="1" thickBot="1">
      <c r="A2" s="1048"/>
      <c r="B2" s="185"/>
      <c r="C2" s="518" t="s">
        <v>810</v>
      </c>
      <c r="D2" s="1156"/>
      <c r="E2" s="112"/>
      <c r="F2" s="1156"/>
      <c r="G2" s="1157"/>
      <c r="H2" s="1158" t="s">
        <v>300</v>
      </c>
      <c r="I2" s="1158"/>
      <c r="J2" s="1159"/>
      <c r="K2" s="1160"/>
      <c r="L2" s="1164"/>
      <c r="M2" s="1160"/>
      <c r="N2" s="178"/>
      <c r="O2" s="37"/>
      <c r="P2" s="37"/>
      <c r="Q2" s="37"/>
      <c r="R2" s="37"/>
    </row>
    <row r="3" spans="1:18" ht="18.75" customHeight="1">
      <c r="A3" s="1169"/>
      <c r="B3" s="1170"/>
      <c r="C3" s="386" t="s">
        <v>362</v>
      </c>
      <c r="D3" s="386"/>
      <c r="E3" s="387"/>
      <c r="F3" s="386"/>
      <c r="G3" s="388"/>
      <c r="H3" s="388"/>
      <c r="I3" s="389"/>
      <c r="J3" s="94"/>
      <c r="K3" s="97"/>
      <c r="L3" s="1114"/>
      <c r="M3" s="94"/>
      <c r="N3" s="178"/>
      <c r="O3" s="37"/>
      <c r="P3" s="37"/>
      <c r="Q3" s="37"/>
      <c r="R3" s="37"/>
    </row>
    <row r="4" spans="1:18" ht="13.5" customHeight="1" thickBot="1">
      <c r="A4" s="1048"/>
      <c r="B4" s="154"/>
      <c r="C4" s="383" t="s">
        <v>73</v>
      </c>
      <c r="D4" s="125"/>
      <c r="E4" s="80" t="s">
        <v>636</v>
      </c>
      <c r="F4" s="384"/>
      <c r="G4" s="385"/>
      <c r="H4" s="385"/>
      <c r="I4" s="382"/>
      <c r="J4" s="94"/>
      <c r="K4" s="102"/>
      <c r="L4" s="1114"/>
      <c r="M4" s="94"/>
      <c r="N4" s="178"/>
      <c r="O4" s="37"/>
      <c r="P4" s="37"/>
      <c r="Q4" s="37"/>
      <c r="R4" s="37"/>
    </row>
    <row r="5" spans="1:18" ht="13.5" customHeight="1" thickBot="1">
      <c r="A5" s="1048"/>
      <c r="B5" s="154"/>
      <c r="C5" s="383" t="s">
        <v>73</v>
      </c>
      <c r="D5" s="125"/>
      <c r="E5" s="80" t="s">
        <v>700</v>
      </c>
      <c r="F5" s="384"/>
      <c r="G5" s="385"/>
      <c r="H5" s="385"/>
      <c r="I5" s="382"/>
      <c r="J5" s="94"/>
      <c r="K5" s="102"/>
      <c r="L5" s="1114"/>
      <c r="M5" s="94"/>
      <c r="N5" s="130"/>
      <c r="O5" s="48"/>
      <c r="P5" s="48"/>
      <c r="Q5" s="139"/>
      <c r="R5" s="37"/>
    </row>
    <row r="6" spans="1:18" ht="13.5" customHeight="1" thickBot="1">
      <c r="A6" s="1048"/>
      <c r="B6" s="154"/>
      <c r="C6" s="383"/>
      <c r="D6" s="125"/>
      <c r="E6" s="78" t="s">
        <v>1242</v>
      </c>
      <c r="F6" s="384"/>
      <c r="G6" s="385"/>
      <c r="H6" s="385"/>
      <c r="I6" s="382"/>
      <c r="J6" s="94"/>
      <c r="K6" s="102"/>
      <c r="L6" s="1114"/>
      <c r="M6" s="94"/>
      <c r="N6" s="88"/>
      <c r="O6" s="2944"/>
      <c r="P6" s="608" t="str">
        <f>IF(File_Marr_Sep&lt;&gt;"","  YES","")</f>
        <v/>
      </c>
      <c r="Q6" s="937"/>
      <c r="R6" s="37"/>
    </row>
    <row r="7" spans="1:18" ht="13.5" customHeight="1">
      <c r="A7" s="1048"/>
      <c r="B7" s="154"/>
      <c r="C7" s="383" t="s">
        <v>73</v>
      </c>
      <c r="D7" s="125"/>
      <c r="E7" s="80" t="str">
        <f>"If you are married filing separately and you lived apart from your spouse for all of "&amp;TaxYear&amp;","</f>
        <v>If you are married filing separately and you lived apart from your spouse for all of 2014,</v>
      </c>
      <c r="F7" s="384"/>
      <c r="G7" s="385"/>
      <c r="H7" s="385"/>
      <c r="I7" s="382"/>
      <c r="J7" s="1138" t="str">
        <f>IF(File_Marr_Sep="","",IF(AND(O6&lt;&gt;"",O8&lt;&gt;""),"Check ONLY one box. →",IF(AND(O6="",O8=""),"Check one box.  →","")))</f>
        <v/>
      </c>
      <c r="K7" s="102"/>
      <c r="L7" s="1114"/>
      <c r="M7" s="94"/>
      <c r="N7" s="88"/>
      <c r="O7" s="619" t="str">
        <f>IF(File_Marr_Sep="","",IF(OR(AND(O6="",O8=""),AND(O6="X",O8="X")),"?",IF(AND(O6="X",O8=""),"X","")))</f>
        <v/>
      </c>
      <c r="P7" s="608"/>
      <c r="Q7" s="937"/>
      <c r="R7" s="37"/>
    </row>
    <row r="8" spans="1:18" ht="12" customHeight="1">
      <c r="A8" s="1048"/>
      <c r="B8" s="154"/>
      <c r="C8" s="383"/>
      <c r="D8" s="125"/>
      <c r="E8" s="78" t="s">
        <v>1244</v>
      </c>
      <c r="F8" s="384"/>
      <c r="G8" s="385"/>
      <c r="H8" s="385"/>
      <c r="I8" s="382"/>
      <c r="J8" s="722"/>
      <c r="K8" s="723"/>
      <c r="L8" s="1165"/>
      <c r="M8" s="507"/>
      <c r="N8" s="88"/>
      <c r="O8" s="2996"/>
      <c r="P8" s="608" t="str">
        <f>IF(File_Marr_Sep&lt;&gt;"","  NO","")</f>
        <v/>
      </c>
      <c r="Q8" s="937"/>
      <c r="R8" s="37"/>
    </row>
    <row r="9" spans="1:18" ht="12" customHeight="1">
      <c r="A9" s="1048"/>
      <c r="B9" s="154"/>
      <c r="C9" s="383"/>
      <c r="D9" s="125"/>
      <c r="E9" s="78" t="s">
        <v>1245</v>
      </c>
      <c r="F9" s="384"/>
      <c r="G9" s="385"/>
      <c r="H9" s="385"/>
      <c r="I9" s="382"/>
      <c r="J9" s="722"/>
      <c r="K9" s="723"/>
      <c r="L9" s="1165"/>
      <c r="M9" s="507"/>
      <c r="N9" s="88"/>
      <c r="O9" s="1163" t="str">
        <f>IF(File_Marr_Sep&lt;&gt;"","Did you live apart","")</f>
        <v/>
      </c>
      <c r="P9" s="608"/>
      <c r="Q9" s="937"/>
      <c r="R9" s="37"/>
    </row>
    <row r="10" spans="1:18" ht="11.25" customHeight="1">
      <c r="A10" s="1048"/>
      <c r="B10" s="154"/>
      <c r="C10" s="383" t="s">
        <v>73</v>
      </c>
      <c r="D10" s="125"/>
      <c r="E10" s="78" t="s">
        <v>1615</v>
      </c>
      <c r="F10" s="384"/>
      <c r="G10" s="385"/>
      <c r="H10" s="385"/>
      <c r="I10" s="382"/>
      <c r="J10" s="94"/>
      <c r="K10" s="102"/>
      <c r="L10" s="1114"/>
      <c r="M10" s="94"/>
      <c r="N10" s="88"/>
      <c r="O10" s="1163" t="str">
        <f>IF(File_Marr_Sep&lt;&gt;"","apart from your spouse","")</f>
        <v/>
      </c>
      <c r="P10" s="46"/>
      <c r="Q10" s="140"/>
      <c r="R10" s="37"/>
    </row>
    <row r="11" spans="1:18" ht="12" customHeight="1">
      <c r="A11" s="1048"/>
      <c r="B11" s="154"/>
      <c r="C11" s="125"/>
      <c r="D11" s="125"/>
      <c r="E11" s="78" t="s">
        <v>1243</v>
      </c>
      <c r="F11" s="384"/>
      <c r="G11" s="385"/>
      <c r="H11" s="385"/>
      <c r="I11" s="382"/>
      <c r="J11" s="94"/>
      <c r="K11" s="102"/>
      <c r="L11" s="1114"/>
      <c r="M11" s="94"/>
      <c r="N11" s="88"/>
      <c r="O11" s="1163" t="str">
        <f>IF(File_Marr_Sep&lt;&gt;"","for ALL of "&amp;TaxYear&amp;"?","")</f>
        <v/>
      </c>
      <c r="P11" s="46"/>
      <c r="Q11" s="140"/>
      <c r="R11" s="37"/>
    </row>
    <row r="12" spans="1:18" ht="12.75" customHeight="1" thickBot="1">
      <c r="A12" s="117"/>
      <c r="B12" s="1171"/>
      <c r="C12" s="158"/>
      <c r="D12" s="159"/>
      <c r="E12" s="160"/>
      <c r="F12" s="161"/>
      <c r="G12" s="161"/>
      <c r="H12" s="161"/>
      <c r="I12" s="161"/>
      <c r="J12" s="145"/>
      <c r="K12" s="1154"/>
      <c r="L12" s="1114"/>
      <c r="M12" s="94"/>
      <c r="N12" s="131"/>
      <c r="O12" s="936"/>
      <c r="P12" s="55"/>
      <c r="Q12" s="141"/>
      <c r="R12" s="37"/>
    </row>
    <row r="13" spans="1:18" ht="12" customHeight="1" thickBot="1">
      <c r="A13" s="117"/>
      <c r="B13" s="88"/>
      <c r="C13" s="866"/>
      <c r="D13" s="143"/>
      <c r="E13" s="867"/>
      <c r="F13" s="186"/>
      <c r="G13" s="186"/>
      <c r="H13" s="186"/>
      <c r="I13" s="186"/>
      <c r="J13" s="94"/>
      <c r="K13" s="102"/>
      <c r="L13" s="1114"/>
      <c r="M13" s="94"/>
      <c r="N13" s="37"/>
      <c r="O13" s="37"/>
      <c r="P13" s="37"/>
      <c r="Q13" s="37"/>
      <c r="R13" s="37"/>
    </row>
    <row r="14" spans="1:18" ht="12.75" customHeight="1" thickTop="1" thickBot="1">
      <c r="A14" s="117"/>
      <c r="B14" s="88"/>
      <c r="C14" s="125">
        <v>1</v>
      </c>
      <c r="D14" s="595" t="s">
        <v>1002</v>
      </c>
      <c r="E14" s="94"/>
      <c r="F14" s="100"/>
      <c r="G14" s="94"/>
      <c r="H14" s="94"/>
      <c r="I14" s="101"/>
      <c r="J14" s="94"/>
      <c r="K14" s="102"/>
      <c r="L14" s="1114"/>
      <c r="M14" s="94"/>
      <c r="N14" s="37"/>
      <c r="O14" s="37"/>
      <c r="P14" s="1666"/>
      <c r="Q14" s="37"/>
      <c r="R14" s="37"/>
    </row>
    <row r="15" spans="1:18" ht="13.5" thickTop="1">
      <c r="A15" s="117"/>
      <c r="B15" s="88"/>
      <c r="C15" s="174"/>
      <c r="D15" s="946" t="s">
        <v>1003</v>
      </c>
      <c r="E15" s="94"/>
      <c r="F15" s="100">
        <v>1</v>
      </c>
      <c r="G15" s="5213">
        <f>IF(P14&lt;&gt;"",P14,ROUND(SUM('SSA-1099'!D5,'SSA-1099'!D10),0))</f>
        <v>0</v>
      </c>
      <c r="H15" s="5214"/>
      <c r="I15" s="101"/>
      <c r="J15" s="94"/>
      <c r="K15" s="102"/>
      <c r="L15" s="1114"/>
      <c r="M15" s="94"/>
      <c r="N15" s="37"/>
      <c r="O15" s="37"/>
      <c r="P15" s="37"/>
      <c r="Q15" s="37"/>
      <c r="R15" s="37"/>
    </row>
    <row r="16" spans="1:18">
      <c r="A16" s="117"/>
      <c r="B16" s="88"/>
      <c r="C16" s="174">
        <v>2</v>
      </c>
      <c r="D16" s="413" t="s">
        <v>584</v>
      </c>
      <c r="E16" s="94"/>
      <c r="F16" s="100"/>
      <c r="G16" s="94"/>
      <c r="H16" s="1120" t="s">
        <v>970</v>
      </c>
      <c r="I16" s="100">
        <f>C16</f>
        <v>2</v>
      </c>
      <c r="J16" s="2997">
        <f>ROUND((0.5*G15),0)</f>
        <v>0</v>
      </c>
      <c r="K16" s="102"/>
      <c r="L16" s="1114"/>
      <c r="M16" s="509"/>
      <c r="N16" s="37"/>
      <c r="O16" s="37"/>
      <c r="P16" s="38" t="s">
        <v>152</v>
      </c>
      <c r="Q16" s="37"/>
      <c r="R16" s="37"/>
    </row>
    <row r="17" spans="1:18">
      <c r="A17" s="117"/>
      <c r="B17" s="88"/>
      <c r="C17" s="174">
        <v>3</v>
      </c>
      <c r="D17" s="413" t="s">
        <v>1004</v>
      </c>
      <c r="E17" s="99"/>
      <c r="F17" s="99"/>
      <c r="G17" s="99"/>
      <c r="H17" s="99"/>
      <c r="I17" s="100"/>
      <c r="J17" s="509"/>
      <c r="K17" s="162"/>
      <c r="L17" s="1166"/>
      <c r="M17" s="508"/>
      <c r="N17" s="37"/>
      <c r="O17" s="37"/>
      <c r="P17" s="38" t="s">
        <v>706</v>
      </c>
      <c r="Q17" s="37"/>
      <c r="R17" s="37"/>
    </row>
    <row r="18" spans="1:18">
      <c r="A18" s="117"/>
      <c r="B18" s="88"/>
      <c r="C18" s="174"/>
      <c r="D18" s="413" t="s">
        <v>1005</v>
      </c>
      <c r="E18" s="99"/>
      <c r="F18" s="99"/>
      <c r="G18" s="99"/>
      <c r="H18" s="1120" t="s">
        <v>1248</v>
      </c>
      <c r="I18" s="100">
        <f>C17</f>
        <v>3</v>
      </c>
      <c r="J18" s="2997">
        <f>IF(P18&lt;&gt;"",P18,ROUND(SUM(Wages,'1040'!AB39,'1040'!AB41,SUM('1040'!AB43:AB47),'1040'!AB48,'1040'!AB49,SUM('1040'!AB50:AB52),'1040'!AB54),0))</f>
        <v>0</v>
      </c>
      <c r="K18" s="724"/>
      <c r="L18" s="1167"/>
      <c r="M18" s="508"/>
      <c r="N18" s="37"/>
      <c r="O18" s="37"/>
      <c r="P18" s="550"/>
      <c r="Q18" s="37"/>
      <c r="R18" s="37"/>
    </row>
    <row r="19" spans="1:18">
      <c r="A19" s="117"/>
      <c r="B19" s="88"/>
      <c r="C19" s="174">
        <v>4</v>
      </c>
      <c r="D19" s="413" t="s">
        <v>483</v>
      </c>
      <c r="E19" s="99"/>
      <c r="F19" s="100"/>
      <c r="G19" s="99"/>
      <c r="H19" s="1120" t="s">
        <v>1247</v>
      </c>
      <c r="I19" s="100">
        <f>C19</f>
        <v>4</v>
      </c>
      <c r="J19" s="2997">
        <f>IF(P19&lt;&gt;"",P19,ROUND('1040'!V40,0))</f>
        <v>0</v>
      </c>
      <c r="K19" s="724"/>
      <c r="L19" s="1167"/>
      <c r="M19" s="508"/>
      <c r="N19" s="37"/>
      <c r="O19" s="37"/>
      <c r="P19" s="550"/>
      <c r="Q19" s="37"/>
      <c r="R19" s="37"/>
    </row>
    <row r="20" spans="1:18">
      <c r="A20" s="117"/>
      <c r="B20" s="88"/>
      <c r="C20" s="174">
        <v>5</v>
      </c>
      <c r="D20" s="413" t="s">
        <v>1006</v>
      </c>
      <c r="E20" s="99"/>
      <c r="F20" s="100"/>
      <c r="G20" s="99"/>
      <c r="H20" s="1120" t="s">
        <v>972</v>
      </c>
      <c r="I20" s="100">
        <f>C20</f>
        <v>5</v>
      </c>
      <c r="J20" s="2997">
        <f>SUM(J16,J18,J19)</f>
        <v>0</v>
      </c>
      <c r="K20" s="724"/>
      <c r="L20" s="1167"/>
      <c r="M20" s="508"/>
      <c r="N20" s="37"/>
      <c r="O20" s="37"/>
      <c r="P20" s="37"/>
      <c r="Q20" s="37"/>
      <c r="R20" s="37"/>
    </row>
    <row r="21" spans="1:18">
      <c r="A21" s="117"/>
      <c r="B21" s="88"/>
      <c r="C21" s="174">
        <v>6</v>
      </c>
      <c r="D21" s="413" t="s">
        <v>1007</v>
      </c>
      <c r="E21" s="99"/>
      <c r="F21" s="100"/>
      <c r="G21" s="99"/>
      <c r="H21" s="99"/>
      <c r="I21" s="100"/>
      <c r="J21" s="1155"/>
      <c r="K21" s="724"/>
      <c r="L21" s="1167"/>
      <c r="M21" s="508"/>
      <c r="N21" s="37"/>
      <c r="O21" s="37"/>
      <c r="P21" s="37"/>
      <c r="Q21" s="37"/>
      <c r="R21" s="37"/>
    </row>
    <row r="22" spans="1:18">
      <c r="A22" s="117"/>
      <c r="B22" s="88"/>
      <c r="C22" s="174"/>
      <c r="D22" s="413" t="s">
        <v>1249</v>
      </c>
      <c r="E22" s="99"/>
      <c r="F22" s="99"/>
      <c r="G22" s="99"/>
      <c r="H22" s="1120" t="s">
        <v>1250</v>
      </c>
      <c r="I22" s="100">
        <f>C21</f>
        <v>6</v>
      </c>
      <c r="J22" s="2997">
        <f>SUM(SUM('1040'!V56:V65),Dotted_Line)</f>
        <v>0</v>
      </c>
      <c r="K22" s="163"/>
      <c r="L22" s="1113"/>
      <c r="M22" s="510"/>
      <c r="N22" s="37"/>
      <c r="O22" s="37"/>
      <c r="P22" s="37"/>
      <c r="Q22" s="37"/>
      <c r="R22" s="37"/>
    </row>
    <row r="23" spans="1:18">
      <c r="A23" s="117"/>
      <c r="B23" s="88"/>
      <c r="C23" s="174">
        <v>7</v>
      </c>
      <c r="D23" s="413" t="s">
        <v>384</v>
      </c>
      <c r="E23" s="99"/>
      <c r="F23" s="99"/>
      <c r="G23" s="99"/>
      <c r="H23" s="99"/>
      <c r="I23" s="100"/>
      <c r="J23" s="510"/>
      <c r="K23" s="163"/>
      <c r="L23" s="1113"/>
      <c r="M23" s="510"/>
      <c r="N23" s="37"/>
      <c r="O23" s="37"/>
      <c r="P23" s="37"/>
      <c r="Q23" s="37"/>
      <c r="R23" s="37"/>
    </row>
    <row r="24" spans="1:18" ht="13.5" thickBot="1">
      <c r="A24" s="117"/>
      <c r="B24" s="88"/>
      <c r="C24" s="174"/>
      <c r="D24" s="99"/>
      <c r="E24" s="99"/>
      <c r="F24" s="99"/>
      <c r="G24" s="99"/>
      <c r="H24" s="99"/>
      <c r="I24" s="100"/>
      <c r="J24" s="510"/>
      <c r="K24" s="163"/>
      <c r="L24" s="1113"/>
      <c r="M24" s="510"/>
      <c r="N24" s="37"/>
      <c r="O24" s="37"/>
      <c r="P24" s="37"/>
      <c r="Q24" s="37"/>
      <c r="R24" s="37"/>
    </row>
    <row r="25" spans="1:18" ht="13.5" thickBot="1">
      <c r="A25" s="117"/>
      <c r="B25" s="88"/>
      <c r="C25" s="174"/>
      <c r="D25" s="390" t="str">
        <f>IF(J22&lt;J20,"","X")</f>
        <v>X</v>
      </c>
      <c r="E25" s="105" t="s">
        <v>677</v>
      </c>
      <c r="F25" s="100"/>
      <c r="G25" s="94"/>
      <c r="H25" s="94"/>
      <c r="I25" s="100"/>
      <c r="J25" s="94"/>
      <c r="K25" s="102"/>
      <c r="L25" s="1114"/>
      <c r="M25" s="94"/>
      <c r="N25" s="37"/>
      <c r="O25" s="37"/>
      <c r="P25" s="37"/>
      <c r="Q25" s="37"/>
      <c r="R25" s="37"/>
    </row>
    <row r="26" spans="1:18" ht="15" customHeight="1" thickBot="1">
      <c r="A26" s="117"/>
      <c r="B26" s="88"/>
      <c r="C26" s="174"/>
      <c r="D26" s="174"/>
      <c r="E26" s="510" t="s">
        <v>678</v>
      </c>
      <c r="F26" s="100"/>
      <c r="G26" s="94"/>
      <c r="H26" s="94"/>
      <c r="I26" s="100"/>
      <c r="J26" s="94"/>
      <c r="K26" s="102"/>
      <c r="L26" s="1114"/>
      <c r="M26" s="94"/>
      <c r="N26" s="46"/>
      <c r="O26" s="46"/>
      <c r="P26" s="46"/>
      <c r="Q26" s="46"/>
      <c r="R26" s="37"/>
    </row>
    <row r="27" spans="1:18" ht="15" customHeight="1" thickBot="1">
      <c r="A27" s="117"/>
      <c r="B27" s="88"/>
      <c r="C27" s="174"/>
      <c r="D27" s="356" t="str">
        <f>IF(J22&lt;J20,"X","")</f>
        <v/>
      </c>
      <c r="E27" s="395" t="s">
        <v>1251</v>
      </c>
      <c r="F27" s="99"/>
      <c r="G27" s="99"/>
      <c r="H27" s="1120" t="s">
        <v>972</v>
      </c>
      <c r="I27" s="100">
        <f>C23</f>
        <v>7</v>
      </c>
      <c r="J27" s="2997" t="str">
        <f>IF(D25="X","Stop",J20-J22)</f>
        <v>Stop</v>
      </c>
      <c r="K27" s="724"/>
      <c r="L27" s="1167"/>
      <c r="M27" s="94"/>
      <c r="N27" s="46"/>
      <c r="O27" s="46"/>
      <c r="P27" s="46"/>
      <c r="Q27" s="46"/>
      <c r="R27" s="37"/>
    </row>
    <row r="28" spans="1:18" ht="14.25" customHeight="1">
      <c r="A28" s="117"/>
      <c r="B28" s="88"/>
      <c r="C28" s="174"/>
      <c r="D28" s="99"/>
      <c r="E28" s="99"/>
      <c r="F28" s="99"/>
      <c r="G28" s="99"/>
      <c r="H28" s="99"/>
      <c r="I28" s="100"/>
      <c r="J28" s="510"/>
      <c r="K28" s="163"/>
      <c r="L28" s="1113"/>
      <c r="M28" s="94"/>
      <c r="N28" s="46"/>
      <c r="O28" s="46"/>
      <c r="P28" s="46"/>
      <c r="Q28" s="46"/>
      <c r="R28" s="37"/>
    </row>
    <row r="29" spans="1:18">
      <c r="A29" s="117"/>
      <c r="B29" s="88"/>
      <c r="C29" s="174">
        <v>8</v>
      </c>
      <c r="D29" s="99" t="s">
        <v>385</v>
      </c>
      <c r="E29" s="99"/>
      <c r="F29" s="99"/>
      <c r="G29" s="99"/>
      <c r="H29" s="99"/>
      <c r="I29" s="100"/>
      <c r="J29" s="510"/>
      <c r="K29" s="163"/>
      <c r="L29" s="1167"/>
      <c r="M29" s="94"/>
      <c r="N29" s="46"/>
      <c r="O29" s="46"/>
      <c r="P29" s="46"/>
      <c r="Q29" s="46"/>
      <c r="R29" s="37"/>
    </row>
    <row r="30" spans="1:18">
      <c r="A30" s="117"/>
      <c r="B30" s="88"/>
      <c r="C30" s="174"/>
      <c r="D30" s="730" t="s">
        <v>45</v>
      </c>
      <c r="E30" s="94" t="str">
        <f>"Married filing jointly, enter "&amp;TEXT(H30,"$0,000")</f>
        <v>Married filing jointly, enter $32,000</v>
      </c>
      <c r="F30" s="94"/>
      <c r="G30" s="99"/>
      <c r="H30" s="1162">
        <v>32000</v>
      </c>
      <c r="I30" s="100"/>
      <c r="J30" s="510"/>
      <c r="K30" s="163"/>
      <c r="L30" s="1167"/>
      <c r="M30" s="94"/>
      <c r="N30" s="46"/>
      <c r="O30" s="46"/>
      <c r="P30" s="46"/>
      <c r="Q30" s="46"/>
      <c r="R30" s="37"/>
    </row>
    <row r="31" spans="1:18">
      <c r="A31" s="117"/>
      <c r="B31" s="88"/>
      <c r="C31" s="174"/>
      <c r="D31" s="730" t="s">
        <v>45</v>
      </c>
      <c r="E31" s="94" t="s">
        <v>44</v>
      </c>
      <c r="F31" s="94"/>
      <c r="G31" s="99"/>
      <c r="H31" s="99"/>
      <c r="I31" s="100"/>
      <c r="J31" s="510"/>
      <c r="K31" s="163"/>
      <c r="L31" s="1167"/>
      <c r="M31" s="94"/>
      <c r="N31" s="46"/>
      <c r="O31" s="46"/>
      <c r="P31" s="46"/>
      <c r="Q31" s="46"/>
      <c r="R31" s="37"/>
    </row>
    <row r="32" spans="1:18">
      <c r="A32" s="117"/>
      <c r="B32" s="88"/>
      <c r="C32" s="174"/>
      <c r="D32" s="730"/>
      <c r="E32" s="94" t="s">
        <v>484</v>
      </c>
      <c r="F32" s="94" t="str">
        <f>TaxYear&amp;","</f>
        <v>2014,</v>
      </c>
      <c r="G32" s="99"/>
      <c r="H32" s="1162">
        <v>25000</v>
      </c>
      <c r="I32" s="100"/>
      <c r="J32" s="510"/>
      <c r="K32" s="163"/>
      <c r="L32" s="1113"/>
      <c r="M32" s="94"/>
      <c r="N32" s="46"/>
      <c r="O32" s="46"/>
      <c r="P32" s="46"/>
      <c r="Q32" s="46"/>
      <c r="R32" s="37"/>
    </row>
    <row r="33" spans="1:18">
      <c r="A33" s="117"/>
      <c r="B33" s="88"/>
      <c r="C33" s="174"/>
      <c r="D33" s="730"/>
      <c r="E33" s="94" t="str">
        <f>"enter "&amp;TEXT(H32,"$0,000")</f>
        <v>enter $25,000</v>
      </c>
      <c r="F33" s="94"/>
      <c r="G33" s="99"/>
      <c r="H33" s="1120" t="s">
        <v>974</v>
      </c>
      <c r="I33" s="100">
        <f>C29</f>
        <v>8</v>
      </c>
      <c r="J33" s="2997" t="str">
        <f>IF(LivedApart="?","Answer question.",IF(OR(D25="X",H37,AND(LivedApart&lt;&gt;"",O8&lt;&gt;"")),"",IF(File_Marr_Joint&lt;&gt;"",H30,IF(OR(File_Single&lt;&gt;"",File_Head&lt;&gt;"",File_Qual_Widow&lt;&gt;"",NOT(H37)),H32,""))))</f>
        <v/>
      </c>
      <c r="K33" s="163"/>
      <c r="L33" s="1113"/>
      <c r="M33" s="94"/>
      <c r="N33" s="46"/>
      <c r="O33" s="46"/>
      <c r="P33" s="46"/>
      <c r="Q33" s="46"/>
      <c r="R33" s="37"/>
    </row>
    <row r="34" spans="1:18">
      <c r="A34" s="117"/>
      <c r="B34" s="88"/>
      <c r="C34" s="174"/>
      <c r="D34" s="730" t="s">
        <v>45</v>
      </c>
      <c r="E34" s="94" t="s">
        <v>485</v>
      </c>
      <c r="F34" s="94"/>
      <c r="G34" s="99"/>
      <c r="H34" s="99"/>
      <c r="I34" s="100"/>
      <c r="J34" s="510"/>
      <c r="K34" s="163"/>
      <c r="L34" s="1113"/>
      <c r="M34" s="94"/>
      <c r="N34" s="46"/>
      <c r="O34" s="46"/>
      <c r="P34" s="46"/>
      <c r="Q34" s="46"/>
      <c r="R34" s="37"/>
    </row>
    <row r="35" spans="1:18">
      <c r="A35" s="117"/>
      <c r="B35" s="88"/>
      <c r="C35" s="174"/>
      <c r="D35" s="730"/>
      <c r="E35" s="94" t="str">
        <f>"in "&amp;TaxYear&amp;", skip lines 8 through 15; multiply line 7 by "&amp;TEXT(H35,"0%")&amp;" ("&amp;TEXT(H35,".00")&amp;") and"</f>
        <v>in 2014, skip lines 8 through 15; multiply line 7 by 85% (.85) and</v>
      </c>
      <c r="F35" s="94"/>
      <c r="G35" s="99"/>
      <c r="H35" s="82">
        <v>0.85</v>
      </c>
      <c r="I35" s="100"/>
      <c r="J35" s="510"/>
      <c r="K35" s="163"/>
      <c r="L35" s="1113"/>
      <c r="M35" s="94"/>
      <c r="N35" s="46"/>
      <c r="O35" s="46"/>
      <c r="P35" s="46"/>
      <c r="Q35" s="46"/>
      <c r="R35" s="37"/>
    </row>
    <row r="36" spans="1:18" ht="12.75" customHeight="1">
      <c r="A36" s="117"/>
      <c r="B36" s="88"/>
      <c r="C36" s="174"/>
      <c r="D36" s="99"/>
      <c r="E36" s="99" t="s">
        <v>59</v>
      </c>
      <c r="F36" s="99"/>
      <c r="G36" s="99"/>
      <c r="H36" s="1299" t="e">
        <f>ROUND(J27*H35,0)</f>
        <v>#VALUE!</v>
      </c>
      <c r="I36" s="99"/>
      <c r="J36" s="99"/>
      <c r="K36" s="724"/>
      <c r="L36" s="1167"/>
      <c r="M36" s="94"/>
      <c r="N36" s="46"/>
      <c r="O36" s="46"/>
      <c r="P36" s="46"/>
      <c r="Q36" s="46"/>
      <c r="R36" s="37"/>
    </row>
    <row r="37" spans="1:18">
      <c r="A37" s="117"/>
      <c r="B37" s="88"/>
      <c r="C37" s="174">
        <v>9</v>
      </c>
      <c r="D37" s="78" t="s">
        <v>231</v>
      </c>
      <c r="E37" s="99"/>
      <c r="F37" s="99"/>
      <c r="G37" s="99"/>
      <c r="H37" s="82" t="b">
        <f>IF(LivedApart="?","",IF(AND(File_Marr_Sep&lt;&gt;"",LivedApart=""),TRUE,FALSE))</f>
        <v>0</v>
      </c>
      <c r="I37" s="99"/>
      <c r="J37" s="99"/>
      <c r="K37" s="724"/>
      <c r="L37" s="1167"/>
      <c r="M37" s="94"/>
      <c r="N37" s="46"/>
      <c r="O37" s="46"/>
      <c r="P37" s="46"/>
      <c r="Q37" s="46"/>
      <c r="R37" s="37"/>
    </row>
    <row r="38" spans="1:18" ht="8.25" customHeight="1" thickBot="1">
      <c r="A38" s="117"/>
      <c r="B38" s="88"/>
      <c r="C38" s="174"/>
      <c r="D38" s="78"/>
      <c r="E38" s="99"/>
      <c r="F38" s="99"/>
      <c r="G38" s="99"/>
      <c r="H38" s="82"/>
      <c r="I38" s="99"/>
      <c r="J38" s="99"/>
      <c r="K38" s="724"/>
      <c r="L38" s="1167"/>
      <c r="M38" s="94"/>
      <c r="N38" s="46"/>
      <c r="O38" s="46"/>
      <c r="P38" s="46"/>
      <c r="Q38" s="46"/>
      <c r="R38" s="37"/>
    </row>
    <row r="39" spans="1:18" ht="13.5" thickBot="1">
      <c r="A39" s="117"/>
      <c r="B39" s="88"/>
      <c r="C39" s="174"/>
      <c r="D39" s="164" t="str">
        <f>IF(OR(D25="X",H37),"",IF(J33&lt;J27,"","X"))</f>
        <v/>
      </c>
      <c r="E39" s="103" t="s">
        <v>1246</v>
      </c>
      <c r="F39" s="99"/>
      <c r="G39" s="99"/>
      <c r="H39" s="99"/>
      <c r="I39" s="100"/>
      <c r="J39" s="94"/>
      <c r="K39" s="102"/>
      <c r="L39" s="1114"/>
      <c r="M39" s="94"/>
      <c r="N39" s="46"/>
      <c r="O39" s="46"/>
      <c r="P39" s="46"/>
      <c r="Q39" s="46"/>
      <c r="R39" s="37"/>
    </row>
    <row r="40" spans="1:18" ht="15" customHeight="1">
      <c r="A40" s="117"/>
      <c r="B40" s="88"/>
      <c r="C40" s="174"/>
      <c r="D40" s="99"/>
      <c r="E40" s="152" t="s">
        <v>71</v>
      </c>
      <c r="F40" s="100"/>
      <c r="G40" s="94"/>
      <c r="H40" s="1161"/>
      <c r="I40" s="100"/>
      <c r="J40" s="94"/>
      <c r="K40" s="102"/>
      <c r="L40" s="1114"/>
      <c r="M40" s="94"/>
      <c r="N40" s="46"/>
      <c r="O40" s="46"/>
      <c r="P40" s="46"/>
      <c r="Q40" s="46"/>
      <c r="R40" s="37"/>
    </row>
    <row r="41" spans="1:18" ht="13.5" thickBot="1">
      <c r="A41" s="117"/>
      <c r="B41" s="88"/>
      <c r="C41" s="174"/>
      <c r="D41" s="99"/>
      <c r="E41" s="510" t="str">
        <f>TaxYear&amp; ", be sure you entered “D” to the right of the word “benefits” on line 20a."</f>
        <v>2014, be sure you entered “D” to the right of the word “benefits” on line 20a.</v>
      </c>
      <c r="F41" s="94"/>
      <c r="G41" s="94"/>
      <c r="H41" s="94"/>
      <c r="I41" s="100"/>
      <c r="J41" s="94"/>
      <c r="K41" s="102"/>
      <c r="L41" s="1114"/>
      <c r="M41" s="94"/>
      <c r="N41" s="46"/>
      <c r="O41" s="46"/>
      <c r="P41" s="46"/>
      <c r="Q41" s="46"/>
      <c r="R41" s="37"/>
    </row>
    <row r="42" spans="1:18" ht="13.5" thickBot="1">
      <c r="A42" s="117"/>
      <c r="B42" s="88"/>
      <c r="C42" s="174"/>
      <c r="D42" s="164" t="str">
        <f>IF(OR(D25="X",AND(File_Marr_Sep&lt;&gt;"",O6="")),"",IF(J33&lt;J27,"X",""))</f>
        <v/>
      </c>
      <c r="E42" s="395" t="s">
        <v>58</v>
      </c>
      <c r="F42" s="100"/>
      <c r="G42" s="94"/>
      <c r="H42" s="94"/>
      <c r="I42" s="100">
        <f>C37</f>
        <v>9</v>
      </c>
      <c r="J42" s="2997" t="str">
        <f>IF(OR(D25="X",H37,D39="X"),"",J27-J33)</f>
        <v/>
      </c>
      <c r="K42" s="102"/>
      <c r="L42" s="1114"/>
      <c r="M42" s="94"/>
      <c r="N42" s="46"/>
      <c r="O42" s="46"/>
      <c r="P42" s="46"/>
      <c r="Q42" s="46"/>
      <c r="R42" s="37"/>
    </row>
    <row r="43" spans="1:18" ht="15" customHeight="1">
      <c r="A43" s="117"/>
      <c r="B43" s="88"/>
      <c r="C43" s="174">
        <v>10</v>
      </c>
      <c r="D43" s="99" t="str">
        <f>"Enter: "&amp;TEXT(P44,"$0,000")&amp;" if married filing jointly; "&amp;TEXT(P45,"$0,000")&amp;" if single, head of household, qualifying"</f>
        <v>Enter: $12,000 if married filing jointly; $9,000 if single, head of household, qualifying</v>
      </c>
      <c r="E43" s="146"/>
      <c r="F43" s="100"/>
      <c r="G43" s="105"/>
      <c r="H43" s="105"/>
      <c r="I43" s="100"/>
      <c r="J43" s="94"/>
      <c r="K43" s="102"/>
      <c r="L43" s="1114"/>
      <c r="M43" s="94"/>
      <c r="N43" s="46"/>
      <c r="O43" s="46"/>
      <c r="P43" s="46"/>
      <c r="Q43" s="46"/>
      <c r="R43" s="37"/>
    </row>
    <row r="44" spans="1:18">
      <c r="A44" s="117"/>
      <c r="B44" s="88"/>
      <c r="C44" s="174"/>
      <c r="D44" s="99" t="s">
        <v>717</v>
      </c>
      <c r="E44" s="149"/>
      <c r="F44" s="100"/>
      <c r="G44" s="94"/>
      <c r="H44" s="1161">
        <f>TaxYear</f>
        <v>2014</v>
      </c>
      <c r="I44" s="100">
        <f>C43</f>
        <v>10</v>
      </c>
      <c r="J44" s="2997" t="str">
        <f>IF(OR(D25="X",D39="X",H37),"",IF(OR(File_Single&lt;&gt;"",File_Head&lt;&gt;"",File_Qual_Widow&lt;&gt;"",AND(File_Marr_Sep&lt;&gt;"",O6&lt;&gt;"")),P45,IF(AND(File_Marr_Joint&lt;&gt;""),P44,IF(AND(File_Marr_Sep&lt;&gt;"",O6=""),0,0))))</f>
        <v/>
      </c>
      <c r="K44" s="724"/>
      <c r="L44" s="1167"/>
      <c r="M44" s="94"/>
      <c r="N44" s="46"/>
      <c r="O44" s="46"/>
      <c r="P44" s="22">
        <v>12000</v>
      </c>
      <c r="Q44" s="46"/>
      <c r="R44" s="37"/>
    </row>
    <row r="45" spans="1:18">
      <c r="A45" s="117"/>
      <c r="B45" s="88"/>
      <c r="C45" s="174">
        <v>11</v>
      </c>
      <c r="D45" s="99" t="s">
        <v>143</v>
      </c>
      <c r="E45" s="146"/>
      <c r="F45" s="100"/>
      <c r="G45" s="150"/>
      <c r="H45" s="150"/>
      <c r="I45" s="100">
        <v>11</v>
      </c>
      <c r="J45" s="2997" t="str">
        <f>IF(OR(D25="X",D39="X",H37),"",IF((J42-J44)&lt;0,0,(J42-J44)))</f>
        <v/>
      </c>
      <c r="K45" s="725"/>
      <c r="L45" s="1168"/>
      <c r="M45" s="94"/>
      <c r="N45" s="46"/>
      <c r="O45" s="46"/>
      <c r="P45" s="22">
        <v>9000</v>
      </c>
      <c r="Q45" s="46"/>
      <c r="R45" s="37"/>
    </row>
    <row r="46" spans="1:18">
      <c r="A46" s="117"/>
      <c r="B46" s="88"/>
      <c r="C46" s="174">
        <v>12</v>
      </c>
      <c r="D46" s="99" t="s">
        <v>299</v>
      </c>
      <c r="E46" s="146"/>
      <c r="F46" s="100"/>
      <c r="G46" s="150"/>
      <c r="H46" s="150"/>
      <c r="I46" s="100">
        <v>12</v>
      </c>
      <c r="J46" s="2997" t="str">
        <f>IF(OR(D25="X",D39="X",H37),"",MIN(J42,J44))</f>
        <v/>
      </c>
      <c r="K46" s="725"/>
      <c r="L46" s="1168"/>
      <c r="M46" s="94"/>
      <c r="N46" s="46"/>
      <c r="O46" s="46"/>
      <c r="P46" s="46"/>
      <c r="Q46" s="46"/>
      <c r="R46" s="37"/>
    </row>
    <row r="47" spans="1:18">
      <c r="A47" s="117"/>
      <c r="B47" s="88"/>
      <c r="C47" s="174">
        <v>13</v>
      </c>
      <c r="D47" s="99" t="s">
        <v>567</v>
      </c>
      <c r="E47" s="146"/>
      <c r="F47" s="100"/>
      <c r="G47" s="150"/>
      <c r="H47" s="150"/>
      <c r="I47" s="100">
        <v>13</v>
      </c>
      <c r="J47" s="2997" t="str">
        <f>IF(OR(D25="X",D39="X",H37),"",0.5*J46)</f>
        <v/>
      </c>
      <c r="K47" s="725"/>
      <c r="L47" s="1168"/>
      <c r="M47" s="94"/>
      <c r="N47" s="46"/>
      <c r="O47" s="46"/>
      <c r="P47" s="46"/>
      <c r="Q47" s="46"/>
      <c r="R47" s="37"/>
    </row>
    <row r="48" spans="1:18">
      <c r="A48" s="117"/>
      <c r="B48" s="88"/>
      <c r="C48" s="174">
        <v>14</v>
      </c>
      <c r="D48" s="99" t="s">
        <v>568</v>
      </c>
      <c r="E48" s="146"/>
      <c r="F48" s="100"/>
      <c r="G48" s="150"/>
      <c r="H48" s="150"/>
      <c r="I48" s="100">
        <v>14</v>
      </c>
      <c r="J48" s="2997" t="str">
        <f>IF(OR(D25="X",D39="X",H37),"",MIN(J16,J47))</f>
        <v/>
      </c>
      <c r="K48" s="725"/>
      <c r="L48" s="1168"/>
      <c r="M48" s="94"/>
      <c r="N48" s="46"/>
      <c r="O48" s="46"/>
      <c r="P48" s="46"/>
      <c r="Q48" s="46"/>
      <c r="R48" s="37"/>
    </row>
    <row r="49" spans="1:18">
      <c r="A49" s="117"/>
      <c r="B49" s="88"/>
      <c r="C49" s="174">
        <v>15</v>
      </c>
      <c r="D49" s="99" t="str">
        <f>"Multiply line 11 by "&amp;TEXT(H35,"0%")&amp;" ("&amp;TEXT(H35,".00")&amp;").  If line 11 is zero, enter -0-."</f>
        <v>Multiply line 11 by 85% (.85).  If line 11 is zero, enter -0-.</v>
      </c>
      <c r="E49" s="146"/>
      <c r="F49" s="100"/>
      <c r="G49" s="150"/>
      <c r="H49" s="150"/>
      <c r="I49" s="100">
        <v>15</v>
      </c>
      <c r="J49" s="2997" t="str">
        <f>IF(OR(D25="X",D39="X",H37),"",J45*H35)</f>
        <v/>
      </c>
      <c r="K49" s="725"/>
      <c r="L49" s="1168"/>
      <c r="M49" s="94"/>
      <c r="N49" s="46"/>
      <c r="O49" s="46"/>
      <c r="P49" s="46"/>
      <c r="Q49" s="46"/>
      <c r="R49" s="37"/>
    </row>
    <row r="50" spans="1:18">
      <c r="A50" s="117"/>
      <c r="B50" s="88"/>
      <c r="C50" s="174">
        <v>16</v>
      </c>
      <c r="D50" s="99" t="s">
        <v>74</v>
      </c>
      <c r="E50" s="146"/>
      <c r="F50" s="100"/>
      <c r="G50" s="150"/>
      <c r="H50" s="150"/>
      <c r="I50" s="100">
        <v>16</v>
      </c>
      <c r="J50" s="2997" t="str">
        <f>IF(OR(D25="X",D39="X"),"",IF(H37,H36,IF(D39="X","",SUM(J48,J49))))</f>
        <v/>
      </c>
      <c r="K50" s="725"/>
      <c r="L50" s="1168"/>
      <c r="M50" s="94"/>
      <c r="N50" s="46"/>
      <c r="O50" s="46"/>
      <c r="P50" s="46"/>
      <c r="Q50" s="46"/>
      <c r="R50" s="37"/>
    </row>
    <row r="51" spans="1:18">
      <c r="A51" s="117"/>
      <c r="B51" s="88"/>
      <c r="C51" s="174">
        <v>17</v>
      </c>
      <c r="D51" s="99" t="str">
        <f>"Multiply line 1 by "&amp;TEXT(H35,"0%")&amp;" ("&amp;TEXT(H35,".00")&amp;")."</f>
        <v>Multiply line 1 by 85% (.85).</v>
      </c>
      <c r="E51" s="99"/>
      <c r="F51" s="100"/>
      <c r="G51" s="150"/>
      <c r="H51" s="150"/>
      <c r="I51" s="100">
        <v>17</v>
      </c>
      <c r="J51" s="2997" t="str">
        <f>IF(D25="X","",IF(AND(File_Marr_Sep&lt;&gt;"",O6=""),G15*H35,IF(D39="X","",G15*H35)))</f>
        <v/>
      </c>
      <c r="K51" s="725"/>
      <c r="L51" s="1168"/>
      <c r="M51" s="94"/>
      <c r="N51" s="46"/>
      <c r="O51" s="46"/>
      <c r="P51" s="46"/>
      <c r="Q51" s="46"/>
      <c r="R51" s="37"/>
    </row>
    <row r="52" spans="1:18">
      <c r="A52" s="117"/>
      <c r="B52" s="88"/>
      <c r="C52" s="174">
        <v>18</v>
      </c>
      <c r="D52" s="107" t="s">
        <v>332</v>
      </c>
      <c r="E52" s="146"/>
      <c r="F52" s="100"/>
      <c r="G52" s="150"/>
      <c r="H52" s="150"/>
      <c r="I52" s="100">
        <f>C52</f>
        <v>18</v>
      </c>
      <c r="J52" s="2997">
        <f>IF(P52&lt;&gt;"",P52,IF(LivedApart="?","Answer question.",IF(OR(D25="X",D39="X"),0,IF(H37,MIN(J50,J51),IF(D39="X",0,MIN(J50,J51))))))</f>
        <v>0</v>
      </c>
      <c r="K52" s="725"/>
      <c r="L52" s="1168"/>
      <c r="M52" s="94"/>
      <c r="N52" s="46"/>
      <c r="O52" s="46"/>
      <c r="P52" s="550"/>
      <c r="Q52" s="46"/>
      <c r="R52" s="37"/>
    </row>
    <row r="53" spans="1:18">
      <c r="A53" s="117"/>
      <c r="B53" s="88"/>
      <c r="C53" s="174"/>
      <c r="D53" s="152" t="s">
        <v>679</v>
      </c>
      <c r="E53" s="152"/>
      <c r="F53" s="100"/>
      <c r="G53" s="150"/>
      <c r="H53" s="150"/>
      <c r="I53" s="100"/>
      <c r="J53" s="150"/>
      <c r="K53" s="151"/>
      <c r="L53" s="1118"/>
      <c r="M53" s="94"/>
      <c r="N53" s="46"/>
      <c r="O53" s="46"/>
      <c r="P53" s="46"/>
      <c r="Q53" s="46"/>
      <c r="R53" s="37"/>
    </row>
    <row r="54" spans="1:18" ht="7.5" customHeight="1">
      <c r="A54" s="117"/>
      <c r="B54" s="88"/>
      <c r="C54" s="174"/>
      <c r="D54" s="165"/>
      <c r="E54" s="166"/>
      <c r="F54" s="100"/>
      <c r="G54" s="150"/>
      <c r="H54" s="150"/>
      <c r="I54" s="100"/>
      <c r="J54" s="150"/>
      <c r="K54" s="151"/>
      <c r="L54" s="1118"/>
      <c r="M54" s="94"/>
      <c r="N54" s="46"/>
      <c r="O54" s="46"/>
      <c r="P54" s="46"/>
      <c r="Q54" s="46"/>
      <c r="R54" s="37"/>
    </row>
    <row r="55" spans="1:18" ht="12.75" customHeight="1">
      <c r="A55" s="117"/>
      <c r="B55" s="88"/>
      <c r="C55" s="174"/>
      <c r="D55" s="864"/>
      <c r="E55" s="166" t="str">
        <f>"   If any of your benefits are taxable for "&amp;TaxYear&amp;" and they include a lump-sum benefit payment that was for an earlier"</f>
        <v xml:space="preserve">   If any of your benefits are taxable for 2014 and they include a lump-sum benefit payment that was for an earlier</v>
      </c>
      <c r="F55" s="100"/>
      <c r="G55" s="150"/>
      <c r="H55" s="150"/>
      <c r="I55" s="100"/>
      <c r="J55" s="150"/>
      <c r="K55" s="151"/>
      <c r="L55" s="1118"/>
      <c r="M55" s="94"/>
      <c r="N55" s="46"/>
      <c r="O55" s="46"/>
      <c r="P55" s="46"/>
      <c r="Q55" s="46"/>
      <c r="R55" s="37"/>
    </row>
    <row r="56" spans="1:18">
      <c r="A56" s="117"/>
      <c r="B56" s="88"/>
      <c r="C56" s="174"/>
      <c r="D56" s="165"/>
      <c r="E56" s="865" t="s">
        <v>2252</v>
      </c>
      <c r="F56" s="100"/>
      <c r="G56" s="150"/>
      <c r="H56" s="150"/>
      <c r="I56" s="100"/>
      <c r="J56" s="150"/>
      <c r="K56" s="151"/>
      <c r="L56" s="1118"/>
      <c r="M56" s="94"/>
      <c r="N56" s="46"/>
      <c r="O56" s="46"/>
      <c r="P56" s="46"/>
      <c r="Q56" s="46"/>
      <c r="R56" s="37"/>
    </row>
    <row r="57" spans="1:18" ht="13.5" thickBot="1">
      <c r="A57" s="117"/>
      <c r="B57" s="131"/>
      <c r="C57" s="55"/>
      <c r="D57" s="55"/>
      <c r="E57" s="55"/>
      <c r="F57" s="55"/>
      <c r="G57" s="55"/>
      <c r="H57" s="55"/>
      <c r="I57" s="55"/>
      <c r="J57" s="55"/>
      <c r="K57" s="141"/>
      <c r="L57" s="117"/>
      <c r="M57" s="94"/>
      <c r="N57" s="46"/>
      <c r="O57" s="46"/>
      <c r="P57" s="46"/>
      <c r="Q57" s="46"/>
      <c r="R57" s="37"/>
    </row>
    <row r="58" spans="1:18">
      <c r="A58" s="117"/>
      <c r="B58" s="117"/>
      <c r="C58" s="117"/>
      <c r="D58" s="117"/>
      <c r="E58" s="117"/>
      <c r="F58" s="117"/>
      <c r="G58" s="117"/>
      <c r="H58" s="117"/>
      <c r="I58" s="117"/>
      <c r="J58" s="117"/>
      <c r="K58" s="117"/>
      <c r="L58" s="117"/>
      <c r="M58" s="94"/>
      <c r="N58" s="46"/>
      <c r="O58" s="46"/>
      <c r="P58" s="46"/>
      <c r="Q58" s="46"/>
      <c r="R58" s="37"/>
    </row>
    <row r="59" spans="1:18" ht="11.25" customHeight="1">
      <c r="A59" s="94"/>
      <c r="B59" s="46"/>
      <c r="C59" s="46"/>
      <c r="D59" s="46"/>
      <c r="E59" s="46"/>
      <c r="F59" s="37"/>
      <c r="G59" s="94"/>
      <c r="H59" s="46"/>
      <c r="I59" s="46"/>
      <c r="J59" s="46"/>
      <c r="K59" s="46"/>
      <c r="L59" s="37"/>
    </row>
  </sheetData>
  <sheetProtection password="F07E" sheet="1" objects="1" scenarios="1"/>
  <mergeCells count="1">
    <mergeCell ref="G15:H15"/>
  </mergeCells>
  <phoneticPr fontId="12" type="noConversion"/>
  <conditionalFormatting sqref="O6 O8">
    <cfRule type="expression" dxfId="116" priority="9" stopIfTrue="1">
      <formula>IF(File_Marr_Sep&lt;&gt;"",1,0)</formula>
    </cfRule>
  </conditionalFormatting>
  <conditionalFormatting sqref="G15:H15">
    <cfRule type="expression" dxfId="115" priority="8">
      <formula>IF(NoColor,1,0)</formula>
    </cfRule>
  </conditionalFormatting>
  <conditionalFormatting sqref="J16">
    <cfRule type="expression" dxfId="114" priority="7">
      <formula>IF(NoColor,1,0)</formula>
    </cfRule>
  </conditionalFormatting>
  <conditionalFormatting sqref="J18:J20">
    <cfRule type="expression" dxfId="113" priority="6">
      <formula>IF(NoColor,1,0)</formula>
    </cfRule>
  </conditionalFormatting>
  <conditionalFormatting sqref="J22">
    <cfRule type="expression" dxfId="112" priority="5">
      <formula>IF(NoColor,1,0)</formula>
    </cfRule>
  </conditionalFormatting>
  <conditionalFormatting sqref="J27">
    <cfRule type="expression" dxfId="111" priority="4">
      <formula>IF(NoColor,1,0)</formula>
    </cfRule>
  </conditionalFormatting>
  <conditionalFormatting sqref="J33">
    <cfRule type="expression" dxfId="110" priority="3">
      <formula>IF(NoColor,1,0)</formula>
    </cfRule>
  </conditionalFormatting>
  <conditionalFormatting sqref="J42">
    <cfRule type="expression" dxfId="109" priority="2">
      <formula>IF(NoColor,1,0)</formula>
    </cfRule>
  </conditionalFormatting>
  <conditionalFormatting sqref="J44:J52">
    <cfRule type="expression" dxfId="108" priority="1">
      <formula>IF(NoColor,1,0)</formula>
    </cfRule>
  </conditionalFormatting>
  <printOptions horizontalCentered="1"/>
  <pageMargins left="0.2" right="0.2" top="0.5" bottom="0.25" header="0" footer="0"/>
  <pageSetup scale="94"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E109"/>
  <sheetViews>
    <sheetView zoomScaleNormal="100" workbookViewId="0">
      <selection activeCell="K13" sqref="K13"/>
    </sheetView>
  </sheetViews>
  <sheetFormatPr defaultRowHeight="12.75"/>
  <cols>
    <col min="1" max="1" width="1.7109375" customWidth="1"/>
    <col min="2" max="2" width="3.5703125" customWidth="1"/>
    <col min="3" max="3" width="2.7109375" customWidth="1"/>
    <col min="4" max="4" width="5.28515625" customWidth="1"/>
    <col min="5" max="5" width="7" customWidth="1"/>
    <col min="6" max="6" width="6.28515625" customWidth="1"/>
    <col min="7" max="7" width="40.28515625" customWidth="1"/>
    <col min="8" max="8" width="9" customWidth="1"/>
    <col min="9" max="9" width="7.85546875" customWidth="1"/>
    <col min="10" max="10" width="9.28515625" customWidth="1"/>
    <col min="11" max="11" width="3.28515625" customWidth="1"/>
    <col min="12" max="12" width="8" customWidth="1"/>
    <col min="13" max="13" width="3.28515625" customWidth="1"/>
    <col min="14" max="14" width="4.5703125" customWidth="1"/>
    <col min="15" max="15" width="1.5703125" customWidth="1"/>
    <col min="16" max="16" width="3.28515625" customWidth="1"/>
    <col min="17" max="17" width="6.28515625" customWidth="1"/>
    <col min="18" max="18" width="3" customWidth="1"/>
    <col min="19" max="19" width="4.42578125" customWidth="1"/>
    <col min="20" max="20" width="2" customWidth="1"/>
    <col min="21" max="21" width="1.85546875" customWidth="1"/>
    <col min="22" max="22" width="1.42578125" customWidth="1"/>
    <col min="23" max="23" width="3.140625" customWidth="1"/>
    <col min="24" max="24" width="12.85546875" customWidth="1"/>
    <col min="25" max="25" width="3.85546875" customWidth="1"/>
    <col min="26" max="26" width="2.140625" customWidth="1"/>
    <col min="27" max="27" width="13.28515625" customWidth="1"/>
    <col min="28" max="28" width="4.28515625" customWidth="1"/>
  </cols>
  <sheetData>
    <row r="1" spans="1:31" ht="9.75" customHeight="1">
      <c r="A1" s="1172"/>
      <c r="B1" s="1172"/>
      <c r="C1" s="1173"/>
      <c r="D1" s="1173"/>
      <c r="E1" s="1174"/>
      <c r="F1" s="1174"/>
      <c r="G1" s="1174"/>
      <c r="H1" s="1172"/>
      <c r="I1" s="1175"/>
      <c r="J1" s="1175"/>
      <c r="K1" s="1172"/>
      <c r="L1" s="1176"/>
      <c r="M1" s="1176"/>
      <c r="N1" s="1176"/>
      <c r="O1" s="1176"/>
      <c r="P1" s="1176"/>
      <c r="Q1" s="1176"/>
      <c r="R1" s="1176"/>
      <c r="S1" s="1176"/>
      <c r="T1" s="1176"/>
      <c r="U1" s="1176"/>
      <c r="V1" s="39"/>
      <c r="W1" s="39"/>
      <c r="X1" s="1461"/>
      <c r="Y1" s="401"/>
      <c r="Z1" s="401"/>
      <c r="AA1" s="401"/>
      <c r="AB1" s="401"/>
      <c r="AC1" s="401"/>
      <c r="AD1" s="401"/>
      <c r="AE1" s="401"/>
    </row>
    <row r="2" spans="1:31" s="3" customFormat="1" ht="35.25" customHeight="1">
      <c r="A2" s="1023"/>
      <c r="B2" s="2759" t="s">
        <v>548</v>
      </c>
      <c r="C2" s="41"/>
      <c r="D2" s="41"/>
      <c r="E2" s="41"/>
      <c r="F2" s="41"/>
      <c r="G2" s="41"/>
      <c r="H2" s="41"/>
      <c r="I2" s="41"/>
      <c r="J2" s="41"/>
      <c r="K2" s="41"/>
      <c r="L2" s="41"/>
      <c r="M2" s="41"/>
      <c r="N2" s="41"/>
      <c r="O2" s="41"/>
      <c r="P2" s="2760" t="s">
        <v>300</v>
      </c>
      <c r="Q2" s="1413"/>
      <c r="R2" s="1413"/>
      <c r="S2" s="1413"/>
      <c r="T2" s="1413"/>
      <c r="U2" s="1414"/>
      <c r="V2" s="1415"/>
      <c r="W2" s="1415"/>
      <c r="X2" s="1462"/>
      <c r="Y2" s="377"/>
      <c r="Z2" s="377"/>
      <c r="AA2" s="377"/>
      <c r="AB2" s="377"/>
      <c r="AC2" s="377"/>
      <c r="AD2" s="377"/>
      <c r="AE2" s="377"/>
    </row>
    <row r="3" spans="1:31" ht="18" customHeight="1">
      <c r="A3" s="1172"/>
      <c r="B3" s="1408"/>
      <c r="C3" s="1409"/>
      <c r="D3" s="1409"/>
      <c r="E3" s="1667" t="str">
        <f>"If you were age 70½ or older at the end of "&amp;TaxYear&amp;", you cannot deduct any contributions made to your traditional IRA or treat them"</f>
        <v>If you were age 70½ or older at the end of 2014, you cannot deduct any contributions made to your traditional IRA or treat them</v>
      </c>
      <c r="F3" s="1416"/>
      <c r="G3" s="41"/>
      <c r="H3" s="1408"/>
      <c r="I3" s="1410"/>
      <c r="J3" s="1410"/>
      <c r="K3" s="1408"/>
      <c r="L3" s="1411"/>
      <c r="M3" s="1411"/>
      <c r="N3" s="1411"/>
      <c r="O3" s="1411"/>
      <c r="P3" s="1411"/>
      <c r="Q3" s="1411"/>
      <c r="R3" s="1411"/>
      <c r="S3" s="1411"/>
      <c r="T3" s="1411"/>
      <c r="U3" s="1176"/>
      <c r="V3" s="39"/>
      <c r="W3" s="39"/>
      <c r="X3" s="1461"/>
      <c r="Y3" s="401"/>
      <c r="Z3" s="401"/>
      <c r="AA3" s="401"/>
      <c r="AB3" s="401"/>
      <c r="AC3" s="401"/>
      <c r="AD3" s="401"/>
      <c r="AE3" s="401"/>
    </row>
    <row r="4" spans="1:31" ht="15" customHeight="1">
      <c r="A4" s="1172"/>
      <c r="B4" s="1408"/>
      <c r="C4" s="1409"/>
      <c r="D4" s="1409"/>
      <c r="E4" s="3278" t="s">
        <v>2248</v>
      </c>
      <c r="F4" s="1416"/>
      <c r="G4" s="1412"/>
      <c r="H4" s="1408"/>
      <c r="I4" s="1410"/>
      <c r="J4" s="1410"/>
      <c r="K4" s="1408"/>
      <c r="L4" s="1411"/>
      <c r="M4" s="1668" t="str">
        <f>TEXT(TaxYear,"0000")&amp;". If you are"</f>
        <v>2014. If you are</v>
      </c>
      <c r="N4" s="1411"/>
      <c r="O4" s="1411"/>
      <c r="P4" s="1411"/>
      <c r="Q4" s="1411"/>
      <c r="R4" s="1411"/>
      <c r="S4" s="1411"/>
      <c r="T4" s="1411"/>
      <c r="U4" s="1176"/>
      <c r="V4" s="39"/>
      <c r="W4" s="39"/>
      <c r="X4" s="1461"/>
      <c r="Y4" s="401"/>
      <c r="Z4" s="401"/>
      <c r="AA4" s="401"/>
      <c r="AB4" s="401"/>
      <c r="AC4" s="401"/>
      <c r="AD4" s="401"/>
      <c r="AE4" s="401"/>
    </row>
    <row r="5" spans="1:31" ht="15" customHeight="1">
      <c r="A5" s="1172"/>
      <c r="B5" s="1408"/>
      <c r="C5" s="1409"/>
      <c r="D5" s="1409"/>
      <c r="E5" s="1667" t="str">
        <f>"married filing jointly and only one spouse was under age 70½ at the end of "&amp;TaxYear&amp;", complete this worksheet only for that spouse."</f>
        <v>married filing jointly and only one spouse was under age 70½ at the end of 2014, complete this worksheet only for that spouse.</v>
      </c>
      <c r="F5" s="1416"/>
      <c r="G5" s="1412"/>
      <c r="H5" s="1408"/>
      <c r="I5" s="1410"/>
      <c r="J5" s="1410"/>
      <c r="K5" s="1408"/>
      <c r="L5" s="1411"/>
      <c r="M5" s="1411"/>
      <c r="N5" s="1411"/>
      <c r="O5" s="1411"/>
      <c r="P5" s="1411"/>
      <c r="Q5" s="1411"/>
      <c r="R5" s="1411"/>
      <c r="S5" s="1411"/>
      <c r="T5" s="1411"/>
      <c r="U5" s="1176"/>
      <c r="V5" s="39"/>
      <c r="W5" s="39"/>
      <c r="X5" s="1461"/>
      <c r="Y5" s="401"/>
      <c r="Z5" s="401"/>
      <c r="AA5" s="401"/>
      <c r="AB5" s="401"/>
      <c r="AC5" s="401"/>
      <c r="AD5" s="401"/>
      <c r="AE5" s="401"/>
    </row>
    <row r="6" spans="1:31" ht="12" customHeight="1" thickBot="1">
      <c r="A6" s="942"/>
      <c r="B6" s="406"/>
      <c r="C6" s="40"/>
      <c r="D6" s="40"/>
      <c r="E6" s="40"/>
      <c r="F6" s="40"/>
      <c r="G6" s="40"/>
      <c r="H6" s="40"/>
      <c r="I6" s="40"/>
      <c r="J6" s="40"/>
      <c r="K6" s="40"/>
      <c r="L6" s="40"/>
      <c r="M6" s="40"/>
      <c r="N6" s="40"/>
      <c r="O6" s="40"/>
      <c r="P6" s="1159"/>
      <c r="Q6" s="1159"/>
      <c r="R6" s="1159"/>
      <c r="S6" s="1159"/>
      <c r="T6" s="1159"/>
      <c r="U6" s="1177"/>
      <c r="V6" s="42"/>
      <c r="W6" s="42"/>
      <c r="X6" s="1463"/>
      <c r="Y6" s="401"/>
      <c r="Z6" s="401"/>
      <c r="AA6" s="401"/>
      <c r="AB6" s="401"/>
      <c r="AC6" s="401"/>
      <c r="AD6" s="401"/>
      <c r="AE6" s="401"/>
    </row>
    <row r="7" spans="1:31" ht="15.75" customHeight="1">
      <c r="A7" s="942"/>
      <c r="B7" s="738" t="s">
        <v>362</v>
      </c>
      <c r="C7" s="1328"/>
      <c r="D7" s="1328"/>
      <c r="E7" s="1328"/>
      <c r="F7" s="1507" t="s">
        <v>73</v>
      </c>
      <c r="G7" s="1669" t="s">
        <v>2249</v>
      </c>
      <c r="H7" s="1328"/>
      <c r="I7" s="1328"/>
      <c r="J7" s="41"/>
      <c r="K7" s="41"/>
      <c r="L7" s="41"/>
      <c r="M7" s="41"/>
      <c r="N7" s="41"/>
      <c r="O7" s="41"/>
      <c r="P7" s="41"/>
      <c r="Q7" s="41"/>
      <c r="R7" s="41"/>
      <c r="S7" s="41"/>
      <c r="T7" s="403"/>
      <c r="U7" s="1179"/>
      <c r="V7" s="42"/>
      <c r="W7" s="42"/>
      <c r="X7" s="1463"/>
      <c r="Y7" s="401"/>
      <c r="Z7" s="401"/>
      <c r="AA7" s="401"/>
      <c r="AB7" s="401"/>
      <c r="AC7" s="401"/>
      <c r="AD7" s="401"/>
      <c r="AE7" s="401"/>
    </row>
    <row r="8" spans="1:31" ht="12.75" customHeight="1">
      <c r="A8" s="942"/>
      <c r="B8" s="739"/>
      <c r="C8" s="41"/>
      <c r="D8" s="41"/>
      <c r="E8" s="41"/>
      <c r="F8" s="1509" t="s">
        <v>73</v>
      </c>
      <c r="G8" s="1874" t="s">
        <v>1252</v>
      </c>
      <c r="H8" s="41"/>
      <c r="I8" s="41"/>
      <c r="J8" s="1326"/>
      <c r="K8" s="41"/>
      <c r="L8" s="41"/>
      <c r="M8" s="41"/>
      <c r="N8" s="41"/>
      <c r="O8" s="41"/>
      <c r="P8" s="41"/>
      <c r="Q8" s="41"/>
      <c r="R8" s="41"/>
      <c r="S8" s="41"/>
      <c r="T8" s="403"/>
      <c r="U8" s="1179"/>
      <c r="V8" s="42"/>
      <c r="W8" s="42"/>
      <c r="X8" s="1463"/>
      <c r="Y8" s="401"/>
      <c r="Z8" s="401"/>
      <c r="AA8" s="401"/>
      <c r="AB8" s="401"/>
      <c r="AC8" s="401"/>
      <c r="AD8" s="401"/>
      <c r="AE8" s="401"/>
    </row>
    <row r="9" spans="1:31" ht="12.75" customHeight="1">
      <c r="A9" s="942"/>
      <c r="B9" s="739"/>
      <c r="C9" s="41"/>
      <c r="D9" s="41"/>
      <c r="E9" s="41"/>
      <c r="F9" s="1509" t="s">
        <v>73</v>
      </c>
      <c r="G9" s="1508" t="str">
        <f>"If you are married filing separately and you lived apart from your spouse for all of "&amp;TaxYear&amp;", enter “D” on the dotted"</f>
        <v>If you are married filing separately and you lived apart from your spouse for all of 2014, enter “D” on the dotted</v>
      </c>
      <c r="H9" s="41"/>
      <c r="I9" s="41"/>
      <c r="J9" s="1326"/>
      <c r="K9" s="41"/>
      <c r="L9" s="41"/>
      <c r="M9" s="41"/>
      <c r="N9" s="41"/>
      <c r="O9" s="41"/>
      <c r="P9" s="41"/>
      <c r="Q9" s="41"/>
      <c r="R9" s="41"/>
      <c r="S9" s="41"/>
      <c r="T9" s="403"/>
      <c r="U9" s="1179"/>
      <c r="V9" s="42"/>
      <c r="W9" s="42"/>
      <c r="X9" s="1463"/>
      <c r="Y9" s="401"/>
      <c r="Z9" s="401"/>
      <c r="AA9" s="401"/>
      <c r="AB9" s="401"/>
      <c r="AC9" s="401"/>
      <c r="AD9" s="401"/>
      <c r="AE9" s="401"/>
    </row>
    <row r="10" spans="1:31" ht="16.5" customHeight="1">
      <c r="A10" s="1020"/>
      <c r="B10" s="740"/>
      <c r="C10" s="167"/>
      <c r="D10" s="167"/>
      <c r="E10" s="167"/>
      <c r="F10" s="167"/>
      <c r="G10" s="1327" t="s">
        <v>776</v>
      </c>
      <c r="H10" s="168"/>
      <c r="I10" s="168"/>
      <c r="J10" s="168"/>
      <c r="K10" s="168"/>
      <c r="L10" s="168"/>
      <c r="M10" s="168"/>
      <c r="N10" s="168"/>
      <c r="O10" s="168"/>
      <c r="P10" s="168"/>
      <c r="Q10" s="168"/>
      <c r="R10" s="168"/>
      <c r="S10" s="168"/>
      <c r="T10" s="402"/>
      <c r="U10" s="1178"/>
      <c r="V10" s="42"/>
      <c r="W10" s="42"/>
      <c r="X10" s="1463"/>
      <c r="Y10" s="401"/>
      <c r="Z10" s="401"/>
      <c r="AA10" s="401"/>
      <c r="AB10" s="401"/>
      <c r="AC10" s="401"/>
      <c r="AD10" s="401"/>
      <c r="AE10" s="401"/>
    </row>
    <row r="11" spans="1:31" s="992" customFormat="1" ht="21.75" customHeight="1">
      <c r="A11" s="1020"/>
      <c r="B11" s="1184"/>
      <c r="C11" s="515"/>
      <c r="D11" s="515"/>
      <c r="E11" s="515"/>
      <c r="F11" s="515"/>
      <c r="G11" s="516"/>
      <c r="H11" s="514"/>
      <c r="I11" s="514"/>
      <c r="J11" s="1187"/>
      <c r="K11" s="1185"/>
      <c r="L11" s="1188" t="s">
        <v>418</v>
      </c>
      <c r="M11" s="1185"/>
      <c r="N11" s="1189" t="s">
        <v>42</v>
      </c>
      <c r="O11" s="1189"/>
      <c r="P11" s="1185"/>
      <c r="Q11" s="1185"/>
      <c r="R11" s="1185"/>
      <c r="S11" s="1185"/>
      <c r="T11" s="512"/>
      <c r="U11" s="1178"/>
      <c r="V11" s="1190"/>
      <c r="W11" s="1190"/>
      <c r="X11" s="1464"/>
      <c r="Y11" s="1191"/>
      <c r="Z11" s="1191"/>
      <c r="AA11" s="1191"/>
      <c r="AB11" s="1191"/>
      <c r="AC11" s="1191"/>
      <c r="AD11" s="1191"/>
      <c r="AE11" s="1191"/>
    </row>
    <row r="12" spans="1:31" ht="13.5" thickBot="1">
      <c r="A12" s="942"/>
      <c r="B12" s="734" t="s">
        <v>19</v>
      </c>
      <c r="C12" s="108" t="s">
        <v>1253</v>
      </c>
      <c r="D12" s="99"/>
      <c r="E12" s="94"/>
      <c r="F12" s="94"/>
      <c r="G12" s="94"/>
      <c r="H12" s="100"/>
      <c r="I12" s="109"/>
      <c r="J12" s="109"/>
      <c r="K12" s="109"/>
      <c r="L12" s="109"/>
      <c r="M12" s="109"/>
      <c r="N12" s="105"/>
      <c r="O12" s="105"/>
      <c r="P12" s="1183"/>
      <c r="Q12" s="94"/>
      <c r="R12" s="94"/>
      <c r="S12" s="94"/>
      <c r="T12" s="102"/>
      <c r="U12" s="1114"/>
      <c r="V12" s="42"/>
      <c r="W12" s="42"/>
      <c r="X12" s="1301">
        <v>5500</v>
      </c>
      <c r="Y12" s="401"/>
      <c r="Z12" s="401"/>
      <c r="AA12" s="401"/>
      <c r="AB12" s="401"/>
      <c r="AC12" s="401"/>
      <c r="AD12" s="401"/>
      <c r="AE12" s="401"/>
    </row>
    <row r="13" spans="1:31" ht="13.5" thickBot="1">
      <c r="A13" s="942"/>
      <c r="B13" s="734"/>
      <c r="C13" s="108" t="s">
        <v>2250</v>
      </c>
      <c r="D13" s="99"/>
      <c r="E13" s="94"/>
      <c r="F13" s="94"/>
      <c r="G13" s="94"/>
      <c r="H13" s="100"/>
      <c r="I13" s="106" t="s">
        <v>2251</v>
      </c>
      <c r="J13" s="109" t="s">
        <v>20</v>
      </c>
      <c r="K13" s="2999"/>
      <c r="L13" s="105" t="s">
        <v>460</v>
      </c>
      <c r="M13" s="2998" t="str">
        <f>IF(OR(Yourself="",K13&lt;&gt;""),"","X")</f>
        <v/>
      </c>
      <c r="N13" s="105" t="s">
        <v>461</v>
      </c>
      <c r="O13" s="105"/>
      <c r="P13" s="1183"/>
      <c r="Q13" s="94"/>
      <c r="R13" s="94"/>
      <c r="S13" s="94"/>
      <c r="T13" s="102"/>
      <c r="U13" s="1114"/>
      <c r="V13" s="42"/>
      <c r="W13" s="42"/>
      <c r="X13" s="1301"/>
      <c r="Y13" s="401"/>
      <c r="Z13" s="401"/>
      <c r="AA13" s="401"/>
      <c r="AB13" s="401"/>
      <c r="AC13" s="401"/>
      <c r="AD13" s="401"/>
      <c r="AE13" s="401"/>
    </row>
    <row r="14" spans="1:31" ht="13.5" thickBot="1">
      <c r="A14" s="942"/>
      <c r="B14" s="734" t="s">
        <v>22</v>
      </c>
      <c r="C14" s="99" t="s">
        <v>355</v>
      </c>
      <c r="D14" s="99"/>
      <c r="E14" s="94"/>
      <c r="F14" s="94"/>
      <c r="G14" s="94"/>
      <c r="H14" s="100"/>
      <c r="I14" s="94"/>
      <c r="J14" s="109"/>
      <c r="K14" s="106"/>
      <c r="L14" s="106"/>
      <c r="M14" s="1120" t="s">
        <v>1254</v>
      </c>
      <c r="N14" s="106"/>
      <c r="O14" s="106" t="s">
        <v>21</v>
      </c>
      <c r="P14" s="2999"/>
      <c r="Q14" s="105" t="s">
        <v>460</v>
      </c>
      <c r="R14" s="2998" t="str">
        <f>IF(OR(Spouse="",P14&lt;&gt;""),"","X")</f>
        <v/>
      </c>
      <c r="S14" s="105" t="s">
        <v>461</v>
      </c>
      <c r="T14" s="102"/>
      <c r="U14" s="1114"/>
      <c r="V14" s="42"/>
      <c r="W14" s="42"/>
      <c r="X14" s="1301">
        <v>6500</v>
      </c>
      <c r="Y14" s="401"/>
      <c r="Z14" s="401"/>
      <c r="AA14" s="401"/>
      <c r="AB14" s="401"/>
      <c r="AC14" s="401"/>
      <c r="AD14" s="401"/>
      <c r="AE14" s="401"/>
    </row>
    <row r="15" spans="1:31" ht="18.75" customHeight="1">
      <c r="A15" s="942"/>
      <c r="B15" s="734"/>
      <c r="C15" s="103" t="s">
        <v>5</v>
      </c>
      <c r="D15" s="103"/>
      <c r="E15" s="94"/>
      <c r="F15" s="94"/>
      <c r="G15" s="94"/>
      <c r="H15" s="100"/>
      <c r="I15" s="106"/>
      <c r="J15" s="106"/>
      <c r="K15" s="106"/>
      <c r="L15" s="106"/>
      <c r="M15" s="105"/>
      <c r="N15" s="171"/>
      <c r="O15" s="171"/>
      <c r="P15" s="1186"/>
      <c r="Q15" s="105"/>
      <c r="R15" s="170"/>
      <c r="S15" s="105"/>
      <c r="T15" s="172"/>
      <c r="U15" s="1180"/>
      <c r="V15" s="42"/>
      <c r="W15" s="42"/>
      <c r="X15" s="1301"/>
      <c r="Y15" s="401"/>
      <c r="Z15" s="401"/>
      <c r="AA15" s="401"/>
      <c r="AB15" s="401"/>
      <c r="AC15" s="401"/>
      <c r="AD15" s="401"/>
      <c r="AE15" s="401"/>
    </row>
    <row r="16" spans="1:31">
      <c r="A16" s="942"/>
      <c r="B16" s="734"/>
      <c r="C16" s="173" t="s">
        <v>1255</v>
      </c>
      <c r="D16" s="173"/>
      <c r="E16" s="94"/>
      <c r="F16" s="94"/>
      <c r="G16" s="94"/>
      <c r="H16" s="100"/>
      <c r="I16" s="94"/>
      <c r="J16" s="94"/>
      <c r="K16" s="171"/>
      <c r="L16" s="105"/>
      <c r="M16" s="105"/>
      <c r="N16" s="105"/>
      <c r="O16" s="105"/>
      <c r="P16" s="105"/>
      <c r="Q16" s="105"/>
      <c r="R16" s="105"/>
      <c r="S16" s="105"/>
      <c r="T16" s="172"/>
      <c r="U16" s="1180"/>
      <c r="V16" s="42"/>
      <c r="W16" s="1670" t="str">
        <f>IF(OR(AND(File_Marr_Joint="",DependentYOU="",K13=""),AND(File_Marr_Joint&lt;&gt;"",DependentYOU="",DependentSPOUSE="",K13="",P14="")),"No","Yes")</f>
        <v>No</v>
      </c>
      <c r="X16" s="1301"/>
      <c r="Y16" s="401"/>
      <c r="Z16" s="401"/>
      <c r="AA16" s="401"/>
      <c r="AB16" s="401"/>
      <c r="AC16" s="401"/>
      <c r="AD16" s="401"/>
      <c r="AE16" s="401"/>
    </row>
    <row r="17" spans="1:31">
      <c r="A17" s="942"/>
      <c r="B17" s="734"/>
      <c r="C17" s="173" t="s">
        <v>1256</v>
      </c>
      <c r="D17" s="173"/>
      <c r="E17" s="94"/>
      <c r="F17" s="94"/>
      <c r="G17" s="94"/>
      <c r="H17" s="100"/>
      <c r="I17" s="94"/>
      <c r="J17" s="94"/>
      <c r="K17" s="171"/>
      <c r="L17" s="105"/>
      <c r="M17" s="105"/>
      <c r="N17" s="105"/>
      <c r="O17" s="105"/>
      <c r="P17" s="105"/>
      <c r="Q17" s="105"/>
      <c r="R17" s="105"/>
      <c r="S17" s="105"/>
      <c r="T17" s="172"/>
      <c r="U17" s="1180"/>
      <c r="V17" s="42"/>
      <c r="W17" s="875"/>
      <c r="X17" s="1301"/>
      <c r="Y17" s="401"/>
      <c r="Z17" s="401"/>
      <c r="AA17" s="401"/>
      <c r="AB17" s="401"/>
      <c r="AC17" s="401"/>
      <c r="AD17" s="401"/>
      <c r="AE17" s="401"/>
    </row>
    <row r="18" spans="1:31">
      <c r="A18" s="942"/>
      <c r="B18" s="734"/>
      <c r="C18" s="1418" t="s">
        <v>720</v>
      </c>
      <c r="D18" s="94" t="str">
        <f>TEXT(X12,"$0,000")&amp;", if under age 50 at the end of "&amp;TaxYear&amp;"."</f>
        <v>$5,500, if under age 50 at the end of 2014.</v>
      </c>
      <c r="E18" s="94"/>
      <c r="F18" s="94"/>
      <c r="G18" s="94"/>
      <c r="H18" s="99"/>
      <c r="I18" s="99"/>
      <c r="J18" s="99"/>
      <c r="K18" s="100"/>
      <c r="L18" s="94"/>
      <c r="M18" s="94"/>
      <c r="N18" s="94"/>
      <c r="O18" s="94"/>
      <c r="P18" s="781"/>
      <c r="Q18" s="94"/>
      <c r="R18" s="94"/>
      <c r="S18" s="94"/>
      <c r="T18" s="102"/>
      <c r="U18" s="1114"/>
      <c r="V18" s="1190"/>
      <c r="W18" s="1190"/>
      <c r="X18" s="1417">
        <v>70000</v>
      </c>
      <c r="Y18" s="1191"/>
      <c r="Z18" s="1191"/>
      <c r="AA18" s="401"/>
      <c r="AB18" s="401"/>
      <c r="AC18" s="401"/>
      <c r="AD18" s="401"/>
      <c r="AE18" s="401"/>
    </row>
    <row r="19" spans="1:31">
      <c r="A19" s="942"/>
      <c r="B19" s="734"/>
      <c r="C19" s="1418" t="s">
        <v>720</v>
      </c>
      <c r="D19" s="94" t="str">
        <f>TEXT(X14,"$0,000")&amp;", if age 50 or older but under age 70½ at the end of "&amp;TaxYear&amp;"."</f>
        <v>$6,500, if age 50 or older but under age 70½ at the end of 2014.</v>
      </c>
      <c r="E19" s="94"/>
      <c r="F19" s="94"/>
      <c r="G19" s="94"/>
      <c r="H19" s="99"/>
      <c r="I19" s="99"/>
      <c r="J19" s="99"/>
      <c r="K19" s="100"/>
      <c r="L19" s="1506" t="e">
        <f>IF(AND(YourAge&lt;&gt;"",YourAgeDecimal&gt;70.5),"See above CAUTION.","")</f>
        <v>#N/A</v>
      </c>
      <c r="M19" s="94"/>
      <c r="N19" s="94"/>
      <c r="O19" s="94"/>
      <c r="P19" s="781"/>
      <c r="Q19" s="1506" t="e">
        <f>IF(AND(SpouseAge&lt;&gt;"",SpouseAgeDecimal&gt;70.5),"See above CAUTION.","")</f>
        <v>#N/A</v>
      </c>
      <c r="R19" s="94"/>
      <c r="S19" s="94"/>
      <c r="T19" s="102"/>
      <c r="U19" s="1114"/>
      <c r="V19" s="1190"/>
      <c r="W19" s="1190"/>
      <c r="X19" s="1417">
        <v>116000</v>
      </c>
      <c r="Y19" s="1191"/>
      <c r="Z19" s="1191"/>
      <c r="AA19" s="401"/>
      <c r="AB19" s="401"/>
      <c r="AC19" s="401"/>
      <c r="AD19" s="401"/>
      <c r="AE19" s="401"/>
    </row>
    <row r="20" spans="1:31">
      <c r="A20" s="942"/>
      <c r="B20" s="734"/>
      <c r="C20" s="173" t="s">
        <v>6</v>
      </c>
      <c r="D20" s="173"/>
      <c r="E20" s="94"/>
      <c r="F20" s="94"/>
      <c r="G20" s="94"/>
      <c r="H20" s="100"/>
      <c r="I20" s="94"/>
      <c r="J20" s="94"/>
      <c r="K20" s="171"/>
      <c r="L20" s="105"/>
      <c r="M20" s="105"/>
      <c r="N20" s="105"/>
      <c r="O20" s="105"/>
      <c r="P20" s="781" t="str">
        <f>IF(AND(File_Marr_Joint="",P14&lt;&gt;""),"Your filing status must be","")</f>
        <v/>
      </c>
      <c r="Q20" s="105"/>
      <c r="R20" s="105"/>
      <c r="S20" s="105"/>
      <c r="T20" s="172"/>
      <c r="U20" s="1180"/>
      <c r="V20" s="42"/>
      <c r="W20" s="875"/>
      <c r="X20" s="1301">
        <v>191000</v>
      </c>
      <c r="Y20" s="401"/>
      <c r="Z20" s="401"/>
      <c r="AA20" s="401"/>
      <c r="AB20" s="401"/>
      <c r="AC20" s="401"/>
      <c r="AD20" s="401"/>
      <c r="AE20" s="401"/>
    </row>
    <row r="21" spans="1:31" s="950" customFormat="1" ht="20.25" customHeight="1" thickBot="1">
      <c r="A21" s="1032"/>
      <c r="B21" s="734">
        <v>2</v>
      </c>
      <c r="C21" s="99" t="s">
        <v>564</v>
      </c>
      <c r="D21" s="99"/>
      <c r="E21" s="434"/>
      <c r="F21" s="434"/>
      <c r="G21" s="434"/>
      <c r="H21" s="99"/>
      <c r="I21" s="99"/>
      <c r="J21" s="99"/>
      <c r="K21" s="125"/>
      <c r="L21" s="434"/>
      <c r="M21" s="434"/>
      <c r="N21" s="434"/>
      <c r="O21" s="434"/>
      <c r="P21" s="781" t="str">
        <f>IF(AND(File_Marr_Joint="",P14&lt;&gt;""),"Married Filing Jointly","")</f>
        <v/>
      </c>
      <c r="Q21" s="434"/>
      <c r="R21" s="434"/>
      <c r="S21" s="434"/>
      <c r="T21" s="499"/>
      <c r="U21" s="1329"/>
      <c r="V21" s="39"/>
      <c r="W21" s="39"/>
      <c r="X21" s="1353">
        <v>10000</v>
      </c>
      <c r="Y21" s="517"/>
      <c r="Z21" s="517"/>
      <c r="AA21" s="517"/>
      <c r="AB21" s="517"/>
      <c r="AC21" s="517"/>
      <c r="AD21" s="517"/>
      <c r="AE21" s="517"/>
    </row>
    <row r="22" spans="1:31">
      <c r="A22" s="942"/>
      <c r="B22" s="734"/>
      <c r="C22" s="1418" t="s">
        <v>720</v>
      </c>
      <c r="D22" s="94" t="s">
        <v>565</v>
      </c>
      <c r="E22" s="94"/>
      <c r="F22" s="94"/>
      <c r="G22" s="94"/>
      <c r="H22" s="99"/>
      <c r="I22" s="99"/>
      <c r="J22" s="99"/>
      <c r="K22" s="100"/>
      <c r="L22" s="94"/>
      <c r="M22" s="94"/>
      <c r="N22" s="94"/>
      <c r="O22" s="94"/>
      <c r="P22" s="781" t="str">
        <f>IF(AND(File_Marr_Joint="",P14&lt;&gt;""),"to use the 'b' column.","")</f>
        <v/>
      </c>
      <c r="Q22" s="94"/>
      <c r="R22" s="94"/>
      <c r="S22" s="94"/>
      <c r="T22" s="102"/>
      <c r="U22" s="1114"/>
      <c r="V22" s="130"/>
      <c r="W22" s="48"/>
      <c r="X22" s="48"/>
      <c r="Y22" s="392"/>
      <c r="Z22" s="377"/>
      <c r="AA22" s="1419"/>
      <c r="AB22" s="401"/>
      <c r="AC22" s="401"/>
      <c r="AD22" s="401"/>
      <c r="AE22" s="401"/>
    </row>
    <row r="23" spans="1:31">
      <c r="A23" s="942"/>
      <c r="B23" s="734"/>
      <c r="C23" s="99"/>
      <c r="D23" s="510" t="str">
        <f>"from your spouse for all of "&amp;TaxYear&amp;", enter "&amp;TEXT(X18,"$0,000")</f>
        <v>from your spouse for all of 2014, enter $70,000</v>
      </c>
      <c r="E23" s="510"/>
      <c r="F23" s="510"/>
      <c r="G23" s="105"/>
      <c r="H23" s="99"/>
      <c r="I23" s="99"/>
      <c r="J23" s="99"/>
      <c r="K23" s="100"/>
      <c r="L23" s="94"/>
      <c r="M23" s="94"/>
      <c r="N23" s="94"/>
      <c r="O23" s="94"/>
      <c r="P23" s="781"/>
      <c r="Q23" s="94"/>
      <c r="R23" s="94"/>
      <c r="S23" s="94"/>
      <c r="T23" s="102"/>
      <c r="U23" s="1114"/>
      <c r="V23" s="88"/>
      <c r="W23" s="1252"/>
      <c r="X23" s="1163" t="str">
        <f>IF(File_Marr_Sep="","","  Yes")</f>
        <v/>
      </c>
      <c r="Y23" s="393"/>
      <c r="Z23" s="377"/>
      <c r="AA23" s="1419" t="str">
        <f>IF(File_Marr_Sep="","","Married persons filing separately.")</f>
        <v/>
      </c>
      <c r="AB23" s="401"/>
      <c r="AC23" s="401"/>
      <c r="AD23" s="401"/>
      <c r="AE23" s="401"/>
    </row>
    <row r="24" spans="1:31">
      <c r="A24" s="942"/>
      <c r="B24" s="734"/>
      <c r="C24" s="1418" t="s">
        <v>720</v>
      </c>
      <c r="D24" s="99" t="str">
        <f>"Qualifying widow(er), enter "&amp;TEXT(X19,"$0,000")</f>
        <v>Qualifying widow(er), enter $116,000</v>
      </c>
      <c r="E24" s="99"/>
      <c r="F24" s="99"/>
      <c r="G24" s="105"/>
      <c r="H24" s="99"/>
      <c r="I24" s="99"/>
      <c r="J24" s="99"/>
      <c r="K24" s="100"/>
      <c r="L24" s="94"/>
      <c r="M24" s="94"/>
      <c r="N24" s="94"/>
      <c r="O24" s="94"/>
      <c r="P24" s="94"/>
      <c r="Q24" s="94"/>
      <c r="R24" s="94"/>
      <c r="S24" s="94"/>
      <c r="T24" s="102"/>
      <c r="U24" s="1114"/>
      <c r="V24" s="88"/>
      <c r="W24" s="1421"/>
      <c r="X24" s="46"/>
      <c r="Y24" s="393"/>
      <c r="Z24" s="377"/>
      <c r="AA24" s="401" t="str">
        <f>IF(File_Marr_Sep="","","If you were not covered by a retirement plan but")</f>
        <v/>
      </c>
      <c r="AB24" s="401"/>
      <c r="AC24" s="401"/>
      <c r="AD24" s="401"/>
      <c r="AE24" s="401"/>
    </row>
    <row r="25" spans="1:31">
      <c r="A25" s="942"/>
      <c r="B25" s="734"/>
      <c r="C25" s="1418" t="s">
        <v>720</v>
      </c>
      <c r="D25" s="173" t="str">
        <f>"Married filing jointly, enter "&amp;TEXT(X19,"$0,000")&amp;" in both columns. But if you checked"</f>
        <v>Married filing jointly, enter $116,000 in both columns. But if you checked</v>
      </c>
      <c r="E25" s="173"/>
      <c r="F25" s="173"/>
      <c r="G25" s="173"/>
      <c r="H25" s="99"/>
      <c r="I25" s="99"/>
      <c r="J25" s="99"/>
      <c r="K25" s="109" t="s">
        <v>586</v>
      </c>
      <c r="L25" s="5222" t="e">
        <f>IF(AND(YourAge&lt;&gt;"",YourAgeDecimal&gt;70.5),"Age &gt; 70½    ",IF(W16="No","",IF(OR(File_Single&lt;&gt;"",File_Head&lt;&gt;"",AND(File_Marr_Sep&lt;&gt;"",Lived_apart&lt;&gt;"")),X18,IF(File_Qual_Widow&lt;&gt;"",X19,IF(AND(File_Marr_Joint&lt;&gt;"",K13&lt;&gt;""),X19,IF(AND(File_Marr_Joint&lt;&gt;"",K13=""),X20,IF(AND(File_Marr_Sep&lt;&gt;"",Lived_apart=""),X21,0)))))))</f>
        <v>#N/A</v>
      </c>
      <c r="M25" s="5223"/>
      <c r="N25" s="5223"/>
      <c r="O25" s="1366"/>
      <c r="P25" s="106" t="s">
        <v>587</v>
      </c>
      <c r="Q25" s="5222" t="e">
        <f>IF(AND(SpouseAge&lt;&gt;"",SpouseAgeDecimal&gt;70.5),"Age &gt; 70½   ",IF(OR(File_Marr_Joint="",W16="No"),"",IF(P14&lt;&gt;"",X19,IF(P14="",X20,0))))</f>
        <v>#N/A</v>
      </c>
      <c r="R25" s="5223"/>
      <c r="S25" s="5223"/>
      <c r="T25" s="396"/>
      <c r="U25" s="1181"/>
      <c r="V25" s="88"/>
      <c r="W25" s="1252"/>
      <c r="X25" s="1163" t="str">
        <f>IF(File_Marr_Sep="","","  No")</f>
        <v/>
      </c>
      <c r="Y25" s="393"/>
      <c r="Z25" s="377"/>
      <c r="AA25" s="401" t="str">
        <f>IF(File_Marr_Sep="","","your spouse was, you are considered covered")</f>
        <v/>
      </c>
      <c r="AB25" s="401"/>
      <c r="AC25" s="401"/>
      <c r="AD25" s="401"/>
      <c r="AE25" s="401"/>
    </row>
    <row r="26" spans="1:31">
      <c r="A26" s="942"/>
      <c r="B26" s="734"/>
      <c r="C26" s="99"/>
      <c r="D26" s="173" t="str">
        <f>"'No' on either line 1a or 1b, enter "&amp;TEXT(X20,"$0,000")&amp;" for the person who was not"</f>
        <v>'No' on either line 1a or 1b, enter $191,000 for the person who was not</v>
      </c>
      <c r="E26" s="173"/>
      <c r="F26" s="173"/>
      <c r="G26" s="173"/>
      <c r="H26" s="99"/>
      <c r="I26" s="99"/>
      <c r="J26" s="99"/>
      <c r="K26" s="100"/>
      <c r="L26" s="94"/>
      <c r="M26" s="94"/>
      <c r="N26" s="94"/>
      <c r="O26" s="94"/>
      <c r="P26" s="94"/>
      <c r="Q26" s="94"/>
      <c r="R26" s="94"/>
      <c r="S26" s="94"/>
      <c r="T26" s="102"/>
      <c r="U26" s="1114"/>
      <c r="V26" s="88"/>
      <c r="W26" s="1421" t="str">
        <f>IF(File_Marr_Sep="","","Did you LIVE APART from")</f>
        <v/>
      </c>
      <c r="X26" s="46"/>
      <c r="Y26" s="393"/>
      <c r="Z26" s="377"/>
      <c r="AA26" s="401" t="str">
        <f>IF(File_Marr_Sep="","","by a plan unless you lived apart from")</f>
        <v/>
      </c>
      <c r="AB26" s="401"/>
      <c r="AC26" s="401"/>
      <c r="AD26" s="401"/>
      <c r="AE26" s="401"/>
    </row>
    <row r="27" spans="1:31">
      <c r="A27" s="942"/>
      <c r="B27" s="734"/>
      <c r="C27" s="99"/>
      <c r="D27" s="94" t="s">
        <v>566</v>
      </c>
      <c r="E27" s="94"/>
      <c r="F27" s="94"/>
      <c r="G27" s="94"/>
      <c r="H27" s="99"/>
      <c r="I27" s="99"/>
      <c r="J27" s="99"/>
      <c r="K27" s="100"/>
      <c r="L27" s="94"/>
      <c r="M27" s="94"/>
      <c r="N27" s="94"/>
      <c r="O27" s="94"/>
      <c r="P27" s="94"/>
      <c r="Q27" s="94"/>
      <c r="R27" s="94"/>
      <c r="S27" s="94"/>
      <c r="T27" s="102"/>
      <c r="U27" s="1114"/>
      <c r="V27" s="88"/>
      <c r="W27" s="1421" t="str">
        <f>IF(File_Marr_Sep="","","your spouse")</f>
        <v/>
      </c>
      <c r="X27" s="46"/>
      <c r="Y27" s="393"/>
      <c r="Z27" s="377"/>
      <c r="AA27" s="401" t="str">
        <f>IF(File_Marr_Sep="","","your spouse for all of "&amp;TaxYear&amp;".")</f>
        <v/>
      </c>
      <c r="AB27" s="401"/>
      <c r="AC27" s="401"/>
      <c r="AD27" s="401"/>
      <c r="AE27" s="401"/>
    </row>
    <row r="28" spans="1:31">
      <c r="A28" s="942"/>
      <c r="B28" s="734"/>
      <c r="C28" s="1418" t="s">
        <v>720</v>
      </c>
      <c r="D28" s="173" t="str">
        <f>"Married filing separately and you lived with your spouse at any time in "&amp;TaxYear&amp;","</f>
        <v>Married filing separately and you lived with your spouse at any time in 2014,</v>
      </c>
      <c r="E28" s="173"/>
      <c r="F28" s="173"/>
      <c r="G28" s="173"/>
      <c r="H28" s="99"/>
      <c r="I28" s="99"/>
      <c r="J28" s="99"/>
      <c r="K28" s="100"/>
      <c r="L28" s="94"/>
      <c r="M28" s="94"/>
      <c r="N28" s="94"/>
      <c r="O28" s="94"/>
      <c r="P28" s="94"/>
      <c r="Q28" s="94"/>
      <c r="R28" s="94"/>
      <c r="S28" s="94"/>
      <c r="T28" s="102"/>
      <c r="U28" s="1114"/>
      <c r="V28" s="88"/>
      <c r="W28" s="1421" t="str">
        <f>IF(File_Marr_Sep="","","for ALL of "&amp;TaxYear&amp;"?")</f>
        <v/>
      </c>
      <c r="X28" s="46"/>
      <c r="Y28" s="393"/>
      <c r="Z28" s="377"/>
      <c r="AA28" s="401"/>
      <c r="AB28" s="401"/>
      <c r="AC28" s="401"/>
      <c r="AD28" s="401"/>
      <c r="AE28" s="401"/>
    </row>
    <row r="29" spans="1:31" ht="13.5" thickBot="1">
      <c r="A29" s="942"/>
      <c r="B29" s="734"/>
      <c r="C29" s="99"/>
      <c r="D29" s="173" t="str">
        <f>"enter "&amp;TEXT(X21,"$0,000")&amp;"."</f>
        <v>enter $10,000.</v>
      </c>
      <c r="E29" s="173"/>
      <c r="F29" s="173"/>
      <c r="G29" s="1422" t="str">
        <f>IF(File_Marr_Sep="","",IF(AND(K13="",W25&lt;&gt;"",R14&lt;&gt;"X",Lived_apart=""),"See NOTE in Column AA and check box 1a 'Yes' if spouse was covered by a retirement plan or check box 1b 'No'.",""))</f>
        <v/>
      </c>
      <c r="H29" s="99"/>
      <c r="I29" s="99"/>
      <c r="J29" s="99"/>
      <c r="K29" s="100"/>
      <c r="L29" s="94"/>
      <c r="M29" s="94"/>
      <c r="N29" s="94"/>
      <c r="O29" s="94"/>
      <c r="P29" s="94"/>
      <c r="Q29" s="94"/>
      <c r="R29" s="94"/>
      <c r="S29" s="94"/>
      <c r="T29" s="102"/>
      <c r="U29" s="1114"/>
      <c r="V29" s="131"/>
      <c r="W29" s="55"/>
      <c r="X29" s="55"/>
      <c r="Y29" s="932"/>
      <c r="Z29" s="377"/>
      <c r="AA29" s="401"/>
      <c r="AB29" s="401"/>
      <c r="AC29" s="401"/>
      <c r="AD29" s="401"/>
      <c r="AE29" s="401"/>
    </row>
    <row r="30" spans="1:31">
      <c r="A30" s="942"/>
      <c r="B30" s="734">
        <v>3</v>
      </c>
      <c r="C30" s="108" t="s">
        <v>1257</v>
      </c>
      <c r="D30" s="99"/>
      <c r="E30" s="99"/>
      <c r="F30" s="99"/>
      <c r="G30" s="99"/>
      <c r="H30" s="174">
        <v>3</v>
      </c>
      <c r="I30" s="5216"/>
      <c r="J30" s="3903"/>
      <c r="K30" s="100"/>
      <c r="L30" s="320"/>
      <c r="M30" s="320"/>
      <c r="N30" s="320"/>
      <c r="O30" s="320"/>
      <c r="P30" s="94"/>
      <c r="Q30" s="94"/>
      <c r="R30" s="94"/>
      <c r="S30" s="94"/>
      <c r="T30" s="102"/>
      <c r="U30" s="1114"/>
      <c r="V30" s="37"/>
      <c r="W30" s="38"/>
      <c r="X30" s="38"/>
      <c r="Y30" s="401"/>
      <c r="Z30" s="401"/>
      <c r="AA30" s="401"/>
      <c r="AB30" s="401"/>
      <c r="AC30" s="401"/>
      <c r="AD30" s="401"/>
      <c r="AE30" s="401"/>
    </row>
    <row r="31" spans="1:31">
      <c r="A31" s="942"/>
      <c r="B31" s="734"/>
      <c r="C31" s="1300" t="str">
        <f>IF(AND(OR(K13&lt;&gt;"",P14&lt;&gt;""),I30=""),"(You must manually enter this value.)","")</f>
        <v/>
      </c>
      <c r="D31" s="99"/>
      <c r="E31" s="99"/>
      <c r="F31" s="99"/>
      <c r="G31" s="99"/>
      <c r="H31" s="174"/>
      <c r="I31" s="1423"/>
      <c r="J31" s="1367"/>
      <c r="K31" s="100"/>
      <c r="L31" s="320"/>
      <c r="M31" s="320"/>
      <c r="N31" s="320"/>
      <c r="O31" s="320"/>
      <c r="P31" s="94"/>
      <c r="Q31" s="94"/>
      <c r="R31" s="94"/>
      <c r="S31" s="94"/>
      <c r="T31" s="102"/>
      <c r="U31" s="1114"/>
      <c r="V31" s="37"/>
      <c r="W31" s="38" t="s">
        <v>152</v>
      </c>
      <c r="X31" s="38"/>
      <c r="Y31" s="401"/>
      <c r="Z31" s="401"/>
      <c r="AA31" s="401"/>
      <c r="AB31" s="401"/>
      <c r="AC31" s="401"/>
      <c r="AD31" s="401"/>
      <c r="AE31" s="401"/>
    </row>
    <row r="32" spans="1:31">
      <c r="A32" s="942"/>
      <c r="B32" s="734">
        <v>4</v>
      </c>
      <c r="C32" s="494" t="s">
        <v>111</v>
      </c>
      <c r="D32" s="494"/>
      <c r="E32" s="1300"/>
      <c r="F32" s="1300"/>
      <c r="G32" s="99"/>
      <c r="H32" s="100"/>
      <c r="I32" s="99"/>
      <c r="J32" s="99"/>
      <c r="K32" s="100"/>
      <c r="L32" s="94"/>
      <c r="M32" s="94"/>
      <c r="N32" s="94"/>
      <c r="O32" s="94"/>
      <c r="P32" s="94"/>
      <c r="Q32" s="94"/>
      <c r="R32" s="94"/>
      <c r="S32" s="94"/>
      <c r="T32" s="102"/>
      <c r="U32" s="1114"/>
      <c r="V32" s="37"/>
      <c r="W32" s="5217" t="s">
        <v>706</v>
      </c>
      <c r="X32" s="5218"/>
      <c r="Y32" s="5218"/>
      <c r="Z32" s="1393"/>
      <c r="AA32" s="401"/>
      <c r="AB32" s="401"/>
      <c r="AC32" s="401"/>
      <c r="AD32" s="401"/>
      <c r="AE32" s="401"/>
    </row>
    <row r="33" spans="1:31">
      <c r="A33" s="942"/>
      <c r="B33" s="734"/>
      <c r="C33" s="494" t="s">
        <v>513</v>
      </c>
      <c r="D33" s="494"/>
      <c r="E33" s="1300"/>
      <c r="F33" s="1300"/>
      <c r="G33" s="99"/>
      <c r="H33" s="100"/>
      <c r="I33" s="99"/>
      <c r="J33" s="99"/>
      <c r="K33" s="100"/>
      <c r="L33" s="94"/>
      <c r="M33" s="94"/>
      <c r="N33" s="94"/>
      <c r="O33" s="94"/>
      <c r="P33" s="94"/>
      <c r="Q33" s="94"/>
      <c r="R33" s="94"/>
      <c r="S33" s="94"/>
      <c r="T33" s="102"/>
      <c r="U33" s="1114"/>
      <c r="V33" s="37"/>
      <c r="W33" s="117"/>
      <c r="X33" s="1073"/>
      <c r="Y33" s="942"/>
      <c r="Z33" s="942"/>
      <c r="AA33" s="401"/>
      <c r="AB33" s="401"/>
      <c r="AC33" s="401"/>
      <c r="AD33" s="401"/>
      <c r="AE33" s="401"/>
    </row>
    <row r="34" spans="1:31">
      <c r="A34" s="942"/>
      <c r="B34" s="734"/>
      <c r="C34" s="108" t="s">
        <v>1258</v>
      </c>
      <c r="D34" s="494"/>
      <c r="E34" s="1300"/>
      <c r="F34" s="1300"/>
      <c r="G34" s="99"/>
      <c r="H34" s="174">
        <v>4</v>
      </c>
      <c r="I34" s="5215">
        <f>IF(X34&lt;&gt;"",X34,SUM('1040'!V56:V64,Dotted_Line))</f>
        <v>0</v>
      </c>
      <c r="J34" s="5227"/>
      <c r="K34" s="100"/>
      <c r="L34" s="94"/>
      <c r="M34" s="94"/>
      <c r="N34" s="94"/>
      <c r="O34" s="94"/>
      <c r="P34" s="94"/>
      <c r="Q34" s="94"/>
      <c r="R34" s="94"/>
      <c r="S34" s="94"/>
      <c r="T34" s="102"/>
      <c r="U34" s="1114"/>
      <c r="V34" s="37"/>
      <c r="W34" s="117"/>
      <c r="X34" s="1302"/>
      <c r="Y34" s="942"/>
      <c r="Z34" s="942"/>
      <c r="AA34" s="401"/>
      <c r="AB34" s="401"/>
      <c r="AC34" s="401"/>
      <c r="AD34" s="401"/>
      <c r="AE34" s="401"/>
    </row>
    <row r="35" spans="1:31" ht="15.75" customHeight="1">
      <c r="A35" s="942"/>
      <c r="B35" s="734">
        <v>5</v>
      </c>
      <c r="C35" s="108" t="s">
        <v>1259</v>
      </c>
      <c r="D35" s="99"/>
      <c r="E35" s="99"/>
      <c r="F35" s="99"/>
      <c r="G35" s="99"/>
      <c r="H35" s="100"/>
      <c r="I35" s="99"/>
      <c r="J35" s="75" t="s">
        <v>1260</v>
      </c>
      <c r="K35" s="109" t="s">
        <v>627</v>
      </c>
      <c r="L35" s="5222" t="str">
        <f>IF(W16="No","",I30-I34)</f>
        <v/>
      </c>
      <c r="M35" s="5223"/>
      <c r="N35" s="5223"/>
      <c r="O35" s="1366"/>
      <c r="P35" s="106" t="s">
        <v>628</v>
      </c>
      <c r="Q35" s="5222" t="str">
        <f>IF(OR(File_Marr_Joint="",W16="No"),"",(I30-I34))</f>
        <v/>
      </c>
      <c r="R35" s="5223"/>
      <c r="S35" s="5223"/>
      <c r="T35" s="396"/>
      <c r="U35" s="1181"/>
      <c r="V35" s="37"/>
      <c r="W35" s="117"/>
      <c r="X35" s="1073"/>
      <c r="Y35" s="942"/>
      <c r="Z35" s="942"/>
      <c r="AA35" s="401"/>
      <c r="AB35" s="401"/>
      <c r="AC35" s="401"/>
      <c r="AD35" s="401"/>
      <c r="AE35" s="401"/>
    </row>
    <row r="36" spans="1:31" ht="15.75" customHeight="1">
      <c r="A36" s="942"/>
      <c r="B36" s="734">
        <v>6</v>
      </c>
      <c r="C36" s="99" t="s">
        <v>518</v>
      </c>
      <c r="D36" s="99"/>
      <c r="E36" s="99"/>
      <c r="F36" s="99"/>
      <c r="G36" s="99"/>
      <c r="H36" s="99"/>
      <c r="I36" s="99"/>
      <c r="J36" s="99"/>
      <c r="K36" s="100"/>
      <c r="L36" s="94"/>
      <c r="M36" s="94"/>
      <c r="N36" s="94"/>
      <c r="O36" s="94"/>
      <c r="P36" s="94"/>
      <c r="Q36" s="94"/>
      <c r="R36" s="94"/>
      <c r="S36" s="94"/>
      <c r="T36" s="102"/>
      <c r="U36" s="1114"/>
      <c r="V36" s="37"/>
      <c r="W36" s="37"/>
      <c r="X36" s="1304"/>
      <c r="Y36" s="401"/>
      <c r="Z36" s="401"/>
      <c r="AA36" s="401"/>
      <c r="AB36" s="401"/>
      <c r="AC36" s="401"/>
      <c r="AD36" s="401"/>
      <c r="AE36" s="401"/>
    </row>
    <row r="37" spans="1:31" ht="6" customHeight="1" thickBot="1">
      <c r="A37" s="942"/>
      <c r="B37" s="734"/>
      <c r="C37" s="99"/>
      <c r="D37" s="99"/>
      <c r="E37" s="99"/>
      <c r="F37" s="99"/>
      <c r="G37" s="99"/>
      <c r="H37" s="99"/>
      <c r="I37" s="99"/>
      <c r="J37" s="99"/>
      <c r="K37" s="100"/>
      <c r="L37" s="94"/>
      <c r="M37" s="94"/>
      <c r="N37" s="94"/>
      <c r="O37" s="94"/>
      <c r="P37" s="94"/>
      <c r="Q37" s="94"/>
      <c r="R37" s="94"/>
      <c r="S37" s="94"/>
      <c r="T37" s="102"/>
      <c r="U37" s="1114"/>
      <c r="V37" s="37"/>
      <c r="W37" s="37"/>
      <c r="X37" s="1304"/>
      <c r="Y37" s="401"/>
      <c r="Z37" s="401"/>
      <c r="AA37" s="401"/>
      <c r="AB37" s="401"/>
      <c r="AC37" s="401"/>
      <c r="AD37" s="401"/>
      <c r="AE37" s="401"/>
    </row>
    <row r="38" spans="1:31" ht="12.75" customHeight="1" thickBot="1">
      <c r="A38" s="942"/>
      <c r="B38" s="734"/>
      <c r="C38" s="164" t="str">
        <f>IF(W16="No","",IF(OR(LEFT(L38,2)="No",LEFT(Q38,2)="No"),"X",""))</f>
        <v/>
      </c>
      <c r="D38" s="64"/>
      <c r="E38" s="103" t="s">
        <v>1008</v>
      </c>
      <c r="F38" s="107"/>
      <c r="G38" s="99" t="s">
        <v>1009</v>
      </c>
      <c r="H38" s="99"/>
      <c r="I38" s="100"/>
      <c r="J38" s="100"/>
      <c r="K38" s="94"/>
      <c r="L38" s="1244" t="str">
        <f>IF(OR(K13="",W16="No"),"",IF(AND(K13="",P14=""),"",IF(L35&lt;L25,"Yes","No.  Stop.")))</f>
        <v/>
      </c>
      <c r="M38" s="786"/>
      <c r="N38" s="786"/>
      <c r="O38" s="786"/>
      <c r="P38" s="787"/>
      <c r="Q38" s="1244" t="str">
        <f>IF(OR(File_Marr_Joint="",W16="No"),"",IF(Q35&lt;Q25,"Yes","No.  Stop."))</f>
        <v/>
      </c>
      <c r="R38" s="786"/>
      <c r="S38" s="786"/>
      <c r="T38" s="412"/>
      <c r="U38" s="444"/>
      <c r="V38" s="37"/>
      <c r="W38" s="37"/>
      <c r="X38" s="1304"/>
      <c r="Y38" s="401"/>
      <c r="Z38" s="401"/>
      <c r="AA38" s="401"/>
      <c r="AB38" s="401"/>
      <c r="AC38" s="401"/>
      <c r="AD38" s="401"/>
      <c r="AE38" s="401"/>
    </row>
    <row r="39" spans="1:31" ht="12" customHeight="1" thickBot="1">
      <c r="A39" s="942"/>
      <c r="B39" s="734"/>
      <c r="C39" s="64"/>
      <c r="D39" s="64"/>
      <c r="E39" s="107"/>
      <c r="F39" s="107"/>
      <c r="G39" s="99" t="s">
        <v>708</v>
      </c>
      <c r="H39" s="99"/>
      <c r="I39" s="100"/>
      <c r="J39" s="100"/>
      <c r="K39" s="94"/>
      <c r="L39" s="787"/>
      <c r="M39" s="787"/>
      <c r="N39" s="787"/>
      <c r="O39" s="787"/>
      <c r="P39" s="787"/>
      <c r="Q39" s="785"/>
      <c r="R39" s="785"/>
      <c r="S39" s="785"/>
      <c r="T39" s="102"/>
      <c r="U39" s="1114"/>
      <c r="V39" s="37"/>
      <c r="W39" s="37"/>
      <c r="X39" s="1304"/>
      <c r="Y39" s="401"/>
      <c r="Z39" s="401"/>
      <c r="AA39" s="401"/>
      <c r="AB39" s="401"/>
      <c r="AC39" s="401"/>
      <c r="AD39" s="401"/>
      <c r="AE39" s="401"/>
    </row>
    <row r="40" spans="1:31" ht="12.75" customHeight="1" thickBot="1">
      <c r="A40" s="942"/>
      <c r="B40" s="734"/>
      <c r="C40" s="164" t="str">
        <f>IF(W16="No","",IF(OR(LEFT(L38,3)="Yes",LEFT(Q38,3)="Yes"),"X",""))</f>
        <v/>
      </c>
      <c r="D40" s="64"/>
      <c r="E40" s="107" t="s">
        <v>713</v>
      </c>
      <c r="F40" s="107"/>
      <c r="G40" s="99" t="s">
        <v>8</v>
      </c>
      <c r="H40" s="103"/>
      <c r="I40" s="100"/>
      <c r="J40" s="100"/>
      <c r="K40" s="94"/>
      <c r="L40" s="787"/>
      <c r="M40" s="787"/>
      <c r="N40" s="787"/>
      <c r="O40" s="787"/>
      <c r="P40" s="787"/>
      <c r="Q40" s="785"/>
      <c r="R40" s="785"/>
      <c r="S40" s="785"/>
      <c r="T40" s="102"/>
      <c r="U40" s="1114"/>
      <c r="V40" s="37"/>
      <c r="W40" s="37"/>
      <c r="X40" s="21"/>
      <c r="Y40" s="401"/>
      <c r="Z40" s="401"/>
      <c r="AA40" s="401"/>
      <c r="AB40" s="401"/>
      <c r="AC40" s="401"/>
      <c r="AD40" s="401"/>
      <c r="AE40" s="401"/>
    </row>
    <row r="41" spans="1:31" ht="10.5" customHeight="1">
      <c r="A41" s="942"/>
      <c r="B41" s="734"/>
      <c r="C41" s="107"/>
      <c r="D41" s="107"/>
      <c r="E41" s="103"/>
      <c r="F41" s="103"/>
      <c r="G41" s="612" t="s">
        <v>7</v>
      </c>
      <c r="H41" s="99"/>
      <c r="I41" s="100"/>
      <c r="J41" s="100"/>
      <c r="K41" s="94"/>
      <c r="L41" s="787"/>
      <c r="M41" s="787"/>
      <c r="N41" s="787"/>
      <c r="O41" s="787"/>
      <c r="P41" s="787"/>
      <c r="Q41" s="785"/>
      <c r="R41" s="785"/>
      <c r="S41" s="785"/>
      <c r="T41" s="102"/>
      <c r="U41" s="1114"/>
      <c r="V41" s="37"/>
      <c r="W41" s="37"/>
      <c r="X41" s="21"/>
      <c r="Y41" s="401"/>
      <c r="Z41" s="401"/>
      <c r="AA41" s="401"/>
      <c r="AB41" s="401"/>
      <c r="AC41" s="401"/>
      <c r="AD41" s="401"/>
      <c r="AE41" s="401"/>
    </row>
    <row r="42" spans="1:31" ht="12" customHeight="1">
      <c r="A42" s="942"/>
      <c r="B42" s="734"/>
      <c r="C42" s="107"/>
      <c r="D42" s="1418" t="s">
        <v>720</v>
      </c>
      <c r="E42" s="494" t="s">
        <v>9</v>
      </c>
      <c r="F42" s="494"/>
      <c r="G42" s="99"/>
      <c r="H42" s="99"/>
      <c r="I42" s="100"/>
      <c r="J42" s="100"/>
      <c r="K42" s="94"/>
      <c r="L42" s="787"/>
      <c r="M42" s="787"/>
      <c r="N42" s="787"/>
      <c r="O42" s="787"/>
      <c r="P42" s="787"/>
      <c r="Q42" s="785"/>
      <c r="R42" s="785"/>
      <c r="S42" s="785"/>
      <c r="T42" s="102"/>
      <c r="U42" s="1114"/>
      <c r="V42" s="37"/>
      <c r="W42" s="37"/>
      <c r="X42" s="21"/>
      <c r="Y42" s="401"/>
      <c r="Z42" s="401"/>
      <c r="AA42" s="401"/>
      <c r="AB42" s="401"/>
      <c r="AC42" s="401"/>
      <c r="AD42" s="401"/>
      <c r="AE42" s="401"/>
    </row>
    <row r="43" spans="1:31" ht="12" customHeight="1">
      <c r="A43" s="942"/>
      <c r="B43" s="734"/>
      <c r="C43" s="107"/>
      <c r="D43" s="107"/>
      <c r="E43" s="494" t="str">
        <f>"result is "&amp;TEXT(X21,"$0,000")&amp;" or more, enter the applicable amount below on"</f>
        <v>result is $10,000 or more, enter the applicable amount below on</v>
      </c>
      <c r="F43" s="494"/>
      <c r="G43" s="99"/>
      <c r="H43" s="99"/>
      <c r="I43" s="100"/>
      <c r="J43" s="100"/>
      <c r="K43" s="94"/>
      <c r="L43" s="787"/>
      <c r="M43" s="787"/>
      <c r="N43" s="787"/>
      <c r="O43" s="787"/>
      <c r="P43" s="787"/>
      <c r="Q43" s="785"/>
      <c r="R43" s="785"/>
      <c r="S43" s="785"/>
      <c r="T43" s="102"/>
      <c r="U43" s="1114"/>
      <c r="V43" s="37"/>
      <c r="W43" s="37"/>
      <c r="X43" s="21"/>
      <c r="Y43" s="401"/>
      <c r="Z43" s="401"/>
      <c r="AA43" s="401"/>
      <c r="AB43" s="401"/>
      <c r="AC43" s="401"/>
      <c r="AD43" s="401"/>
      <c r="AE43" s="401"/>
    </row>
    <row r="44" spans="1:31" ht="12" customHeight="1">
      <c r="A44" s="942"/>
      <c r="B44" s="734"/>
      <c r="C44" s="107"/>
      <c r="D44" s="107"/>
      <c r="E44" s="494" t="s">
        <v>10</v>
      </c>
      <c r="F44" s="494"/>
      <c r="G44" s="99"/>
      <c r="H44" s="99"/>
      <c r="I44" s="100"/>
      <c r="J44" s="100"/>
      <c r="K44" s="94"/>
      <c r="L44" s="787"/>
      <c r="M44" s="787"/>
      <c r="N44" s="787"/>
      <c r="O44" s="787"/>
      <c r="P44" s="787"/>
      <c r="Q44" s="785"/>
      <c r="R44" s="785"/>
      <c r="S44" s="785"/>
      <c r="T44" s="102"/>
      <c r="U44" s="1114"/>
      <c r="V44" s="37"/>
      <c r="W44" s="37"/>
      <c r="X44" s="21"/>
      <c r="Y44" s="401"/>
      <c r="Z44" s="401"/>
      <c r="AA44" s="401"/>
      <c r="AB44" s="401"/>
      <c r="AC44" s="401"/>
      <c r="AD44" s="401"/>
      <c r="AE44" s="401"/>
    </row>
    <row r="45" spans="1:31" ht="12" customHeight="1">
      <c r="A45" s="942"/>
      <c r="B45" s="734"/>
      <c r="C45" s="107"/>
      <c r="D45" s="107"/>
      <c r="E45" s="494"/>
      <c r="F45" s="494"/>
      <c r="G45" s="99" t="str">
        <f>"i. "&amp;TEXT($X$12,"$0,000")&amp;", if under age 50 at the end of "&amp;TaxYear&amp;"."</f>
        <v>i. $5,500, if under age 50 at the end of 2014.</v>
      </c>
      <c r="H45" s="99"/>
      <c r="I45" s="100"/>
      <c r="J45" s="100"/>
      <c r="K45" s="94"/>
      <c r="L45" s="787"/>
      <c r="M45" s="787"/>
      <c r="N45" s="787"/>
      <c r="O45" s="787"/>
      <c r="P45" s="787"/>
      <c r="Q45" s="785"/>
      <c r="R45" s="785"/>
      <c r="S45" s="785"/>
      <c r="T45" s="102"/>
      <c r="U45" s="1114"/>
      <c r="V45" s="37"/>
      <c r="W45" s="37"/>
      <c r="X45" s="21"/>
      <c r="Y45" s="401"/>
      <c r="Z45" s="401"/>
      <c r="AA45" s="401"/>
      <c r="AB45" s="401"/>
      <c r="AC45" s="401"/>
      <c r="AD45" s="401"/>
      <c r="AE45" s="401"/>
    </row>
    <row r="46" spans="1:31" s="978" customFormat="1" ht="12" customHeight="1">
      <c r="A46" s="319"/>
      <c r="B46" s="1420"/>
      <c r="C46" s="107"/>
      <c r="D46" s="494"/>
      <c r="E46" s="494"/>
      <c r="F46" s="494"/>
      <c r="G46" s="494" t="str">
        <f>"ii. "&amp;TEXT($X$14,"$0,000")&amp;", if age 50 or older but under age 70½ at the end"</f>
        <v>ii. $6,500, if age 50 or older but under age 70½ at the end</v>
      </c>
      <c r="H46" s="494"/>
      <c r="I46" s="400"/>
      <c r="J46" s="400"/>
      <c r="K46" s="510"/>
      <c r="L46" s="787"/>
      <c r="M46" s="787"/>
      <c r="N46" s="787"/>
      <c r="O46" s="787"/>
      <c r="P46" s="787"/>
      <c r="Q46" s="785"/>
      <c r="R46" s="785"/>
      <c r="S46" s="785"/>
      <c r="T46" s="163"/>
      <c r="U46" s="1113"/>
      <c r="V46" s="423"/>
      <c r="W46" s="423"/>
      <c r="X46" s="21"/>
      <c r="Y46" s="435"/>
      <c r="Z46" s="435"/>
      <c r="AA46" s="435"/>
      <c r="AB46" s="435"/>
      <c r="AC46" s="435"/>
      <c r="AD46" s="435"/>
      <c r="AE46" s="435"/>
    </row>
    <row r="47" spans="1:31" s="978" customFormat="1" ht="12" customHeight="1">
      <c r="A47" s="319"/>
      <c r="B47" s="1420"/>
      <c r="C47" s="107"/>
      <c r="D47" s="494"/>
      <c r="E47" s="494"/>
      <c r="F47" s="494"/>
      <c r="G47" s="494" t="str">
        <f>"   of "&amp;TaxYear&amp;"."</f>
        <v xml:space="preserve">   of 2014.</v>
      </c>
      <c r="H47" s="494"/>
      <c r="I47" s="400"/>
      <c r="J47" s="400"/>
      <c r="K47" s="510"/>
      <c r="L47" s="787"/>
      <c r="M47" s="787"/>
      <c r="N47" s="787"/>
      <c r="O47" s="787"/>
      <c r="P47" s="787"/>
      <c r="Q47" s="785"/>
      <c r="R47" s="785"/>
      <c r="S47" s="785"/>
      <c r="T47" s="163"/>
      <c r="U47" s="1113"/>
      <c r="V47" s="423"/>
      <c r="W47" s="423"/>
      <c r="X47" s="21"/>
      <c r="Y47" s="435"/>
      <c r="Z47" s="435"/>
      <c r="AA47" s="435"/>
      <c r="AB47" s="435"/>
      <c r="AC47" s="435"/>
      <c r="AD47" s="435"/>
      <c r="AE47" s="435"/>
    </row>
    <row r="48" spans="1:31" ht="12" customHeight="1">
      <c r="A48" s="942"/>
      <c r="B48" s="734"/>
      <c r="C48" s="107"/>
      <c r="D48" s="64"/>
      <c r="E48" s="108" t="str">
        <f>"If the result is less than "&amp;TEXT(X21,"$0,000")&amp;", go to line 7."</f>
        <v>If the result is less than $10,000, go to line 7.</v>
      </c>
      <c r="F48" s="494"/>
      <c r="G48" s="99"/>
      <c r="H48" s="99"/>
      <c r="I48" s="100"/>
      <c r="J48" s="100"/>
      <c r="K48" s="109" t="s">
        <v>394</v>
      </c>
      <c r="L48" s="5222" t="e">
        <f>IF(OR(L25="",$W$16="No"),"",IF(LEFT(L38,2)="No","",L25-L35))</f>
        <v>#N/A</v>
      </c>
      <c r="M48" s="5223"/>
      <c r="N48" s="5223"/>
      <c r="O48" s="1366"/>
      <c r="P48" s="109" t="s">
        <v>702</v>
      </c>
      <c r="Q48" s="5222" t="str">
        <f>IF(AND(File_Marr_Sep="",File_Marr_Joint=""),"",IF(OR(AND(File_Marr_Sep&lt;&gt;"",Lived_apart&lt;&gt;""),Q25="",$W$16="No"),"",IF(LEFT(Q38,2)="No","",Q25-Q35)))</f>
        <v/>
      </c>
      <c r="R48" s="5223"/>
      <c r="S48" s="5223"/>
      <c r="T48" s="725"/>
      <c r="U48" s="1168"/>
      <c r="V48" s="37"/>
      <c r="W48" s="37"/>
      <c r="X48" s="21"/>
      <c r="Y48" s="401"/>
      <c r="Z48" s="401"/>
      <c r="AA48" s="401"/>
      <c r="AB48" s="401"/>
      <c r="AC48" s="401"/>
      <c r="AD48" s="401"/>
      <c r="AE48" s="401"/>
    </row>
    <row r="49" spans="1:31" ht="12" customHeight="1">
      <c r="A49" s="942"/>
      <c r="B49" s="734"/>
      <c r="C49" s="107"/>
      <c r="D49" s="1418" t="s">
        <v>720</v>
      </c>
      <c r="E49" s="494" t="s">
        <v>777</v>
      </c>
      <c r="F49" s="494"/>
      <c r="G49" s="99"/>
      <c r="H49" s="99"/>
      <c r="I49" s="100"/>
      <c r="J49" s="100"/>
      <c r="K49" s="94"/>
      <c r="L49" s="787"/>
      <c r="M49" s="787"/>
      <c r="N49" s="787"/>
      <c r="O49" s="787"/>
      <c r="P49" s="787"/>
      <c r="Q49" s="5224" t="str">
        <f>IF(OR(File_Marr_Joint="",W16="No"),"",IF(OR(Lived_apart&lt;&gt;"",AND(File_Marr_Joint="",File_Marr_Sep="")),"",IF(LEFT(Q38,2)="No","",Q25-Q35)))</f>
        <v/>
      </c>
      <c r="R49" s="5224"/>
      <c r="S49" s="5224"/>
      <c r="T49" s="102"/>
      <c r="U49" s="1114"/>
      <c r="V49" s="37"/>
      <c r="W49" s="37"/>
      <c r="X49" s="21"/>
      <c r="Y49" s="401"/>
      <c r="Z49" s="401"/>
      <c r="AA49" s="401"/>
      <c r="AB49" s="401"/>
      <c r="AC49" s="401"/>
      <c r="AD49" s="401"/>
      <c r="AE49" s="401"/>
    </row>
    <row r="50" spans="1:31" ht="12" customHeight="1">
      <c r="A50" s="942"/>
      <c r="B50" s="734"/>
      <c r="C50" s="107"/>
      <c r="D50" s="107"/>
      <c r="E50" s="494" t="str">
        <f>TEXT(2*X21,"$0,000")&amp;" or more ("&amp;TEXT(X21,"$0,000")&amp;" or more in the column for the IRA of"</f>
        <v>$20,000 or more ($10,000 or more in the column for the IRA of</v>
      </c>
      <c r="F50" s="494"/>
      <c r="G50" s="99"/>
      <c r="H50" s="99"/>
      <c r="I50" s="100"/>
      <c r="J50" s="100"/>
      <c r="K50" s="94"/>
      <c r="L50" s="5224">
        <f>IF(K13&lt;&gt;"",2*$X$21,$X$21)</f>
        <v>10000</v>
      </c>
      <c r="M50" s="5224"/>
      <c r="N50" s="5224"/>
      <c r="O50" s="787"/>
      <c r="P50" s="787"/>
      <c r="Q50" s="5224">
        <f>IF(P14&lt;&gt;"",2*$X$21,$X$21)</f>
        <v>10000</v>
      </c>
      <c r="R50" s="5224"/>
      <c r="S50" s="5224"/>
      <c r="T50" s="102"/>
      <c r="U50" s="1114"/>
      <c r="V50" s="37"/>
      <c r="W50" s="37"/>
      <c r="X50" s="21"/>
      <c r="Y50" s="401"/>
      <c r="Z50" s="401"/>
      <c r="AA50" s="401"/>
      <c r="AB50" s="401"/>
      <c r="AC50" s="401"/>
      <c r="AD50" s="401"/>
      <c r="AE50" s="401"/>
    </row>
    <row r="51" spans="1:31" ht="12" customHeight="1">
      <c r="A51" s="942"/>
      <c r="B51" s="734"/>
      <c r="C51" s="107"/>
      <c r="D51" s="107"/>
      <c r="E51" s="494" t="s">
        <v>778</v>
      </c>
      <c r="F51" s="494"/>
      <c r="G51" s="99"/>
      <c r="H51" s="99"/>
      <c r="I51" s="100"/>
      <c r="J51" s="100"/>
      <c r="K51" s="94"/>
      <c r="L51" s="787"/>
      <c r="M51" s="787"/>
      <c r="N51" s="787"/>
      <c r="O51" s="787"/>
      <c r="P51" s="787"/>
      <c r="Q51" s="5224"/>
      <c r="R51" s="5224"/>
      <c r="S51" s="5224"/>
      <c r="T51" s="102"/>
      <c r="U51" s="1114"/>
      <c r="V51" s="37"/>
      <c r="W51" s="37"/>
      <c r="X51" s="21"/>
      <c r="Y51" s="401"/>
      <c r="Z51" s="401"/>
      <c r="AA51" s="401"/>
      <c r="AB51" s="401"/>
      <c r="AC51" s="401"/>
      <c r="AD51" s="401"/>
      <c r="AE51" s="401"/>
    </row>
    <row r="52" spans="1:31" ht="12" customHeight="1">
      <c r="A52" s="942"/>
      <c r="B52" s="734"/>
      <c r="C52" s="107"/>
      <c r="D52" s="107"/>
      <c r="E52" s="494" t="s">
        <v>779</v>
      </c>
      <c r="F52" s="494"/>
      <c r="G52" s="99"/>
      <c r="H52" s="99"/>
      <c r="I52" s="100"/>
      <c r="J52" s="100"/>
      <c r="K52" s="94"/>
      <c r="L52" s="787"/>
      <c r="M52" s="787"/>
      <c r="N52" s="787"/>
      <c r="O52" s="787"/>
      <c r="P52" s="787"/>
      <c r="Q52" s="785"/>
      <c r="R52" s="785"/>
      <c r="S52" s="785"/>
      <c r="T52" s="102"/>
      <c r="U52" s="1114"/>
      <c r="V52" s="37"/>
      <c r="W52" s="37"/>
      <c r="X52" s="21"/>
      <c r="Y52" s="401"/>
      <c r="Z52" s="401"/>
      <c r="AA52" s="401"/>
      <c r="AB52" s="401"/>
      <c r="AC52" s="401"/>
      <c r="AD52" s="401"/>
      <c r="AE52" s="401"/>
    </row>
    <row r="53" spans="1:31" ht="12" customHeight="1">
      <c r="A53" s="942"/>
      <c r="B53" s="734"/>
      <c r="C53" s="107"/>
      <c r="D53" s="107"/>
      <c r="E53" s="494" t="s">
        <v>780</v>
      </c>
      <c r="F53" s="494"/>
      <c r="G53" s="99"/>
      <c r="H53" s="99"/>
      <c r="I53" s="100"/>
      <c r="J53" s="100"/>
      <c r="K53" s="94"/>
      <c r="L53" s="787"/>
      <c r="M53" s="787"/>
      <c r="N53" s="787"/>
      <c r="O53" s="787"/>
      <c r="P53" s="787"/>
      <c r="Q53" s="785"/>
      <c r="R53" s="785"/>
      <c r="S53" s="785"/>
      <c r="T53" s="102"/>
      <c r="U53" s="1114"/>
      <c r="V53" s="37"/>
      <c r="W53" s="37"/>
      <c r="X53" s="21"/>
      <c r="Y53" s="401"/>
      <c r="Z53" s="401"/>
      <c r="AA53" s="401"/>
      <c r="AB53" s="401"/>
      <c r="AC53" s="401"/>
      <c r="AD53" s="401"/>
      <c r="AE53" s="401"/>
    </row>
    <row r="54" spans="1:31" ht="12" customHeight="1">
      <c r="A54" s="942"/>
      <c r="B54" s="734"/>
      <c r="C54" s="107"/>
      <c r="D54" s="107"/>
      <c r="E54" s="494"/>
      <c r="F54" s="494"/>
      <c r="G54" s="99" t="str">
        <f>"i. "&amp;TEXT($X$12,"$0,000")&amp;", if under age 50 at the end of "&amp;TaxYear&amp;"."</f>
        <v>i. $5,500, if under age 50 at the end of 2014.</v>
      </c>
      <c r="H54" s="99"/>
      <c r="I54" s="100"/>
      <c r="J54" s="100"/>
      <c r="K54" s="94"/>
      <c r="L54" s="787"/>
      <c r="M54" s="787"/>
      <c r="N54" s="787"/>
      <c r="O54" s="787"/>
      <c r="P54" s="787"/>
      <c r="Q54" s="785"/>
      <c r="R54" s="785"/>
      <c r="S54" s="785"/>
      <c r="T54" s="102"/>
      <c r="U54" s="1114"/>
      <c r="V54" s="37"/>
      <c r="W54" s="37"/>
      <c r="X54" s="21"/>
      <c r="Y54" s="401"/>
      <c r="Z54" s="401"/>
      <c r="AA54" s="401"/>
      <c r="AB54" s="401"/>
      <c r="AC54" s="401"/>
      <c r="AD54" s="401"/>
      <c r="AE54" s="401"/>
    </row>
    <row r="55" spans="1:31" s="978" customFormat="1" ht="12" customHeight="1">
      <c r="A55" s="319"/>
      <c r="B55" s="1420"/>
      <c r="C55" s="107"/>
      <c r="D55" s="494"/>
      <c r="E55" s="494"/>
      <c r="F55" s="494"/>
      <c r="G55" s="494" t="str">
        <f>"ii. "&amp;TEXT($X$14,"$0,000")&amp;", if age 50 or older but under age 70½ at the end"</f>
        <v>ii. $6,500, if age 50 or older but under age 70½ at the end</v>
      </c>
      <c r="H55" s="494"/>
      <c r="I55" s="400"/>
      <c r="J55" s="400"/>
      <c r="K55" s="510"/>
      <c r="L55" s="787"/>
      <c r="M55" s="787"/>
      <c r="N55" s="787"/>
      <c r="O55" s="787"/>
      <c r="P55" s="787"/>
      <c r="Q55" s="785"/>
      <c r="R55" s="785"/>
      <c r="S55" s="785"/>
      <c r="T55" s="163"/>
      <c r="U55" s="1113"/>
      <c r="V55" s="423"/>
      <c r="W55" s="423"/>
      <c r="X55" s="21"/>
      <c r="Y55" s="435"/>
      <c r="Z55" s="435"/>
      <c r="AA55" s="435"/>
      <c r="AB55" s="435"/>
      <c r="AC55" s="435"/>
      <c r="AD55" s="435"/>
      <c r="AE55" s="435"/>
    </row>
    <row r="56" spans="1:31" s="978" customFormat="1" ht="12" customHeight="1">
      <c r="A56" s="319"/>
      <c r="B56" s="1420"/>
      <c r="C56" s="107"/>
      <c r="D56" s="494"/>
      <c r="E56" s="494"/>
      <c r="F56" s="494"/>
      <c r="G56" s="494" t="str">
        <f>"   of "&amp;TaxYear&amp;"."</f>
        <v xml:space="preserve">   of 2014.</v>
      </c>
      <c r="H56" s="494"/>
      <c r="I56" s="400"/>
      <c r="J56" s="400"/>
      <c r="K56" s="510"/>
      <c r="L56" s="787"/>
      <c r="M56" s="787"/>
      <c r="N56" s="787"/>
      <c r="O56" s="787"/>
      <c r="P56" s="787"/>
      <c r="Q56" s="785"/>
      <c r="R56" s="785"/>
      <c r="S56" s="785"/>
      <c r="T56" s="163"/>
      <c r="U56" s="1113"/>
      <c r="V56" s="423"/>
      <c r="W56" s="423"/>
      <c r="X56" s="21"/>
      <c r="Y56" s="435"/>
      <c r="Z56" s="435"/>
      <c r="AA56" s="435"/>
      <c r="AB56" s="435"/>
      <c r="AC56" s="435"/>
      <c r="AD56" s="435"/>
      <c r="AE56" s="435"/>
    </row>
    <row r="57" spans="1:31" ht="12" customHeight="1">
      <c r="A57" s="942"/>
      <c r="B57" s="734"/>
      <c r="C57" s="107"/>
      <c r="D57" s="64"/>
      <c r="E57" s="108" t="s">
        <v>1261</v>
      </c>
      <c r="F57" s="494"/>
      <c r="G57" s="99"/>
      <c r="H57" s="99"/>
      <c r="I57" s="400"/>
      <c r="J57" s="400"/>
      <c r="K57" s="510"/>
      <c r="L57" s="787"/>
      <c r="M57" s="787"/>
      <c r="N57" s="787"/>
      <c r="O57" s="787"/>
      <c r="P57" s="787"/>
      <c r="Q57" s="785"/>
      <c r="R57" s="785"/>
      <c r="S57" s="785"/>
      <c r="T57" s="163"/>
      <c r="U57" s="1168"/>
      <c r="V57" s="37"/>
      <c r="W57" s="37"/>
      <c r="X57" s="21"/>
      <c r="Y57" s="401"/>
      <c r="Z57" s="401"/>
      <c r="AA57" s="401"/>
      <c r="AB57" s="401"/>
      <c r="AC57" s="401"/>
      <c r="AD57" s="401"/>
      <c r="AE57" s="401"/>
    </row>
    <row r="58" spans="1:31" ht="12" customHeight="1" thickBot="1">
      <c r="A58" s="942"/>
      <c r="B58" s="1428"/>
      <c r="C58" s="1429"/>
      <c r="D58" s="1429"/>
      <c r="E58" s="1430"/>
      <c r="F58" s="1430"/>
      <c r="G58" s="112"/>
      <c r="H58" s="112"/>
      <c r="I58" s="426"/>
      <c r="J58" s="426"/>
      <c r="K58" s="1431"/>
      <c r="L58" s="1432"/>
      <c r="M58" s="1433"/>
      <c r="N58" s="1433"/>
      <c r="O58" s="426"/>
      <c r="P58" s="426"/>
      <c r="Q58" s="1432"/>
      <c r="R58" s="1433"/>
      <c r="S58" s="1433"/>
      <c r="T58" s="1434"/>
      <c r="U58" s="1168"/>
      <c r="V58" s="37"/>
      <c r="W58" s="37"/>
      <c r="X58" s="21"/>
      <c r="Y58" s="401"/>
      <c r="Z58" s="401"/>
      <c r="AA58" s="401"/>
      <c r="AB58" s="401"/>
      <c r="AC58" s="401"/>
      <c r="AD58" s="401"/>
      <c r="AE58" s="401"/>
    </row>
    <row r="59" spans="1:31" ht="1.5" customHeight="1">
      <c r="A59" s="942"/>
      <c r="B59" s="1435"/>
      <c r="C59" s="1436"/>
      <c r="D59" s="1436"/>
      <c r="E59" s="1437"/>
      <c r="F59" s="1437"/>
      <c r="G59" s="1438"/>
      <c r="H59" s="1438"/>
      <c r="I59" s="1439"/>
      <c r="J59" s="1439"/>
      <c r="K59" s="1440"/>
      <c r="L59" s="1441"/>
      <c r="M59" s="1442"/>
      <c r="N59" s="1442"/>
      <c r="O59" s="1439"/>
      <c r="P59" s="1439"/>
      <c r="Q59" s="1441"/>
      <c r="R59" s="1442"/>
      <c r="S59" s="1442"/>
      <c r="T59" s="1443"/>
      <c r="U59" s="1168"/>
      <c r="V59" s="37"/>
      <c r="W59" s="37"/>
      <c r="X59" s="21"/>
      <c r="Y59" s="401"/>
      <c r="Z59" s="401"/>
      <c r="AA59" s="401"/>
      <c r="AB59" s="401"/>
      <c r="AC59" s="401"/>
      <c r="AD59" s="401"/>
      <c r="AE59" s="401"/>
    </row>
    <row r="60" spans="1:31" s="3" customFormat="1" ht="22.5" customHeight="1">
      <c r="A60" s="1023"/>
      <c r="B60" s="1426" t="s">
        <v>428</v>
      </c>
      <c r="C60" s="41"/>
      <c r="D60" s="41"/>
      <c r="E60" s="41"/>
      <c r="F60" s="41"/>
      <c r="G60" s="41"/>
      <c r="H60" s="41"/>
      <c r="I60" s="41"/>
      <c r="J60" s="41"/>
      <c r="K60" s="41"/>
      <c r="L60" s="41"/>
      <c r="M60" s="41"/>
      <c r="N60" s="41"/>
      <c r="O60" s="41"/>
      <c r="P60" s="1413"/>
      <c r="Q60" s="1413"/>
      <c r="R60" s="1413"/>
      <c r="S60" s="1445" t="s">
        <v>429</v>
      </c>
      <c r="T60" s="1427"/>
      <c r="U60" s="1414"/>
      <c r="V60" s="1415"/>
      <c r="W60" s="1415"/>
      <c r="X60" s="1415"/>
      <c r="Y60" s="377"/>
      <c r="Z60" s="377"/>
      <c r="AA60" s="377"/>
      <c r="AB60" s="377"/>
      <c r="AC60" s="377"/>
      <c r="AD60" s="377"/>
      <c r="AE60" s="377"/>
    </row>
    <row r="61" spans="1:31" s="992" customFormat="1" ht="21.75" customHeight="1">
      <c r="A61" s="1020"/>
      <c r="B61" s="1184"/>
      <c r="C61" s="515"/>
      <c r="D61" s="515"/>
      <c r="E61" s="515"/>
      <c r="F61" s="515"/>
      <c r="G61" s="516"/>
      <c r="H61" s="514"/>
      <c r="I61" s="514"/>
      <c r="J61" s="1187"/>
      <c r="K61" s="1185"/>
      <c r="L61" s="1188" t="s">
        <v>418</v>
      </c>
      <c r="M61" s="1185"/>
      <c r="N61" s="1189" t="s">
        <v>42</v>
      </c>
      <c r="O61" s="1189"/>
      <c r="P61" s="1185"/>
      <c r="Q61" s="1185"/>
      <c r="R61" s="1185"/>
      <c r="S61" s="1185"/>
      <c r="T61" s="512"/>
      <c r="U61" s="1178"/>
      <c r="V61" s="1190"/>
      <c r="W61" s="1190"/>
      <c r="X61" s="1190"/>
      <c r="Y61" s="1191"/>
      <c r="Z61" s="1191"/>
      <c r="AA61" s="1191"/>
      <c r="AB61" s="1191"/>
      <c r="AC61" s="1191"/>
      <c r="AD61" s="1191"/>
      <c r="AE61" s="1191"/>
    </row>
    <row r="62" spans="1:31" ht="12" customHeight="1">
      <c r="A62" s="942"/>
      <c r="B62" s="734">
        <v>7</v>
      </c>
      <c r="C62" s="78" t="s">
        <v>316</v>
      </c>
      <c r="D62" s="78"/>
      <c r="E62" s="99"/>
      <c r="F62" s="99"/>
      <c r="G62" s="99"/>
      <c r="H62" s="99"/>
      <c r="I62" s="1536"/>
      <c r="J62" s="774"/>
      <c r="K62" s="775" t="s">
        <v>622</v>
      </c>
      <c r="L62" s="5225" t="e">
        <f>IF(AND(L48&gt;$X$21,YourAge&lt;50),$X$12,IF(L48&gt;$X$21,$X$14,IF(YourAge&lt;50,ROUNDUP($X$63*L48,-1),ROUNDUP($X$64*L48,-1))))</f>
        <v>#N/A</v>
      </c>
      <c r="M62" s="5226"/>
      <c r="N62" s="5226"/>
      <c r="O62" s="774"/>
      <c r="P62" s="774"/>
      <c r="Q62" s="5225"/>
      <c r="R62" s="5226"/>
      <c r="S62" s="5226"/>
      <c r="T62" s="1453"/>
      <c r="U62" s="1454"/>
      <c r="V62" s="1455"/>
      <c r="W62" s="1455"/>
      <c r="X62" s="2289">
        <v>200</v>
      </c>
      <c r="Y62" s="401"/>
      <c r="Z62" s="401"/>
      <c r="AA62" s="401"/>
      <c r="AB62" s="401"/>
      <c r="AC62" s="401"/>
      <c r="AD62" s="401"/>
      <c r="AE62" s="401"/>
    </row>
    <row r="63" spans="1:31">
      <c r="A63" s="942"/>
      <c r="B63" s="734"/>
      <c r="C63" s="494" t="s">
        <v>317</v>
      </c>
      <c r="D63" s="494"/>
      <c r="E63" s="152"/>
      <c r="F63" s="152"/>
      <c r="G63" s="152"/>
      <c r="H63" s="100"/>
      <c r="I63" s="1300"/>
      <c r="J63" s="1194"/>
      <c r="K63" s="775" t="s">
        <v>623</v>
      </c>
      <c r="L63" s="5225" t="e">
        <f>IF(YourAgeDecimal&gt;=70.5,0,IF(AND(L48&gt;L50,YourAge&lt;50),$X$12,IF(L48&gt;L50,$X$14,IF(ROUNDUP(L65*L48,-1)&lt;$X$62,$X$62,ROUNDUP(L65*L48,-1)))))</f>
        <v>#N/A</v>
      </c>
      <c r="M63" s="5226"/>
      <c r="N63" s="5226"/>
      <c r="O63" s="1424"/>
      <c r="P63" s="775"/>
      <c r="Q63" s="5225" t="e">
        <f>IF(SpouseAgeDecimal&gt;=70.5,0,IF(AND(Q48&gt;Q50,SpouseAge&lt;50),$X$12,IF(AND(Q48&gt;Q50),$X$14,IF(ROUNDUP(Q65*Q48,-1)&lt;$X$62,$X$62,ROUNDUP(Q65*Q48,-1)))))</f>
        <v>#N/A</v>
      </c>
      <c r="R63" s="5226"/>
      <c r="S63" s="5226"/>
      <c r="T63" s="1456"/>
      <c r="U63" s="1454"/>
      <c r="V63" s="1304"/>
      <c r="W63" s="1304"/>
      <c r="X63" s="21">
        <v>0.55000000000000004</v>
      </c>
      <c r="Y63" s="401"/>
      <c r="Z63" s="401"/>
      <c r="AA63" s="401"/>
      <c r="AB63" s="401"/>
      <c r="AC63" s="401"/>
      <c r="AD63" s="401"/>
      <c r="AE63" s="401"/>
    </row>
    <row r="64" spans="1:31">
      <c r="A64" s="942"/>
      <c r="B64" s="734"/>
      <c r="C64" s="494" t="str">
        <f>"example, increase $490.30 to $500). If the result is "&amp;TEXT(X62,"$0")&amp;", or more, enter the"</f>
        <v>example, increase $490.30 to $500). If the result is $200, or more, enter the</v>
      </c>
      <c r="D64" s="494"/>
      <c r="E64" s="152"/>
      <c r="F64" s="152"/>
      <c r="G64" s="152"/>
      <c r="H64" s="100"/>
      <c r="I64" s="1457"/>
      <c r="J64" s="1457"/>
      <c r="K64" s="1457"/>
      <c r="L64" s="1457"/>
      <c r="M64" s="1457"/>
      <c r="N64" s="1457"/>
      <c r="O64" s="1457"/>
      <c r="P64" s="1457"/>
      <c r="Q64" s="1457"/>
      <c r="R64" s="1457"/>
      <c r="S64" s="1457"/>
      <c r="T64" s="1456"/>
      <c r="U64" s="1454"/>
      <c r="V64" s="1304"/>
      <c r="W64" s="1304"/>
      <c r="X64" s="21">
        <v>0.65</v>
      </c>
      <c r="Y64" s="401"/>
      <c r="Z64" s="401"/>
      <c r="AA64" s="401"/>
      <c r="AB64" s="401"/>
      <c r="AC64" s="401"/>
      <c r="AD64" s="401"/>
      <c r="AE64" s="401"/>
    </row>
    <row r="65" spans="1:31">
      <c r="A65" s="942"/>
      <c r="B65" s="734"/>
      <c r="C65" s="494" t="str">
        <f>"result. But if it is less than "&amp;TEXT(X62,"$0")&amp;", enter "&amp;TEXT(X62,"$0")&amp;"."</f>
        <v>result. But if it is less than $200, enter $200.</v>
      </c>
      <c r="D65" s="494"/>
      <c r="E65" s="152"/>
      <c r="F65" s="152"/>
      <c r="G65" s="152"/>
      <c r="H65" s="100"/>
      <c r="I65" s="1457"/>
      <c r="J65" s="1457"/>
      <c r="K65" s="1457"/>
      <c r="L65" s="3124">
        <f>IF(AND(K13&lt;&gt;"",YourAge&lt;50),X65,IF(K13&lt;&gt;"",X66,IF(YourAge&lt;50,X63,X64)))</f>
        <v>0.65</v>
      </c>
      <c r="M65" s="1457"/>
      <c r="N65" s="1457"/>
      <c r="O65" s="1457"/>
      <c r="P65" s="1457"/>
      <c r="Q65" s="3124">
        <f>IF(AND(P14&lt;&gt;"",SpouseAge&lt;50),X65,IF(P14&lt;&gt;"",X66,IF(SpouseAge&lt;50,X63,X64)))</f>
        <v>0.65</v>
      </c>
      <c r="R65" s="1457"/>
      <c r="S65" s="1457"/>
      <c r="T65" s="1456"/>
      <c r="U65" s="1454"/>
      <c r="V65" s="1304"/>
      <c r="W65" s="1304"/>
      <c r="X65" s="21">
        <v>0.27500000000000002</v>
      </c>
      <c r="Y65" s="401"/>
      <c r="Z65" s="401"/>
      <c r="AA65" s="401"/>
      <c r="AB65" s="401"/>
      <c r="AC65" s="401"/>
      <c r="AD65" s="401"/>
      <c r="AE65" s="401"/>
    </row>
    <row r="66" spans="1:31">
      <c r="A66" s="942"/>
      <c r="B66" s="734"/>
      <c r="C66" s="1418" t="s">
        <v>720</v>
      </c>
      <c r="D66" s="494" t="str">
        <f>"Single, head of household, or married filing separately, multiply by "&amp;TEXT(X63,"0%")</f>
        <v>Single, head of household, or married filing separately, multiply by 55%</v>
      </c>
      <c r="E66" s="152"/>
      <c r="F66" s="152"/>
      <c r="G66" s="152"/>
      <c r="H66" s="100"/>
      <c r="I66" s="1457"/>
      <c r="J66" s="1537"/>
      <c r="K66" s="1452"/>
      <c r="L66" s="1365"/>
      <c r="M66" s="1365"/>
      <c r="N66" s="1365"/>
      <c r="O66" s="1365"/>
      <c r="P66" s="320"/>
      <c r="Q66" s="320"/>
      <c r="R66" s="1458"/>
      <c r="S66" s="1444" t="str">
        <f>IF(AND(K13&lt;&gt;"",File_Marr_Joint="",YourAge=""),"Birthdate information needed on 'Form 1040', Row 73.",IF(AND(P14&lt;&gt;"",File_Marr_Joint&lt;&gt;"",SpouseAge=""),"Birthdate information needed on 'Form 1040', Rows 73 &amp; 75.",""))</f>
        <v/>
      </c>
      <c r="T66" s="1456"/>
      <c r="U66" s="1454"/>
      <c r="V66" s="1304"/>
      <c r="W66" s="1304"/>
      <c r="X66" s="21">
        <v>0.32500000000000001</v>
      </c>
      <c r="Y66" s="401"/>
      <c r="Z66" s="401"/>
      <c r="AA66" s="401"/>
      <c r="AB66" s="401"/>
      <c r="AC66" s="401"/>
      <c r="AD66" s="401"/>
      <c r="AE66" s="401"/>
    </row>
    <row r="67" spans="1:31">
      <c r="A67" s="942"/>
      <c r="B67" s="734"/>
      <c r="C67" s="494"/>
      <c r="D67" s="494" t="str">
        <f>"("&amp;TEXT(X63,".00")&amp;")(or by "&amp;TEXT(X64,"0%")&amp;" ("&amp;TEXT(X64,".00")&amp;") in the column for the IRA of a person who is age"</f>
        <v>(.55)(or by 65% (.65) in the column for the IRA of a person who is age</v>
      </c>
      <c r="E67" s="152"/>
      <c r="F67" s="152"/>
      <c r="G67" s="152"/>
      <c r="H67" s="100"/>
      <c r="I67" s="94"/>
      <c r="J67" s="94"/>
      <c r="K67" s="100"/>
      <c r="L67" s="1365"/>
      <c r="M67" s="1365"/>
      <c r="N67" s="1515"/>
      <c r="O67" s="1365"/>
      <c r="P67" s="785"/>
      <c r="Q67" s="1394"/>
      <c r="R67" s="1394"/>
      <c r="S67" s="1444" t="str">
        <f>IF(AND(K13&lt;&gt;"",DependentYOU="",YourAge=""),"Your birthdate is needed on Form 1040, Column AF.","")</f>
        <v/>
      </c>
      <c r="T67" s="102"/>
      <c r="U67" s="1114"/>
      <c r="V67" s="37"/>
      <c r="W67" s="117"/>
      <c r="X67" s="1073"/>
      <c r="Y67" s="117"/>
      <c r="Z67" s="117"/>
      <c r="AA67" s="1073"/>
      <c r="AB67" s="942"/>
      <c r="AC67" s="401"/>
      <c r="AD67" s="401"/>
      <c r="AE67" s="401"/>
    </row>
    <row r="68" spans="1:31">
      <c r="A68" s="942"/>
      <c r="B68" s="734"/>
      <c r="C68" s="99"/>
      <c r="D68" s="99" t="str">
        <f>"50 or older at the end of "&amp;TaxYear&amp;")"</f>
        <v>50 or older at the end of 2014)</v>
      </c>
      <c r="E68" s="94"/>
      <c r="F68" s="94"/>
      <c r="G68" s="94"/>
      <c r="H68" s="100"/>
      <c r="I68" s="94"/>
      <c r="J68" s="1120" t="s">
        <v>157</v>
      </c>
      <c r="K68" s="109" t="s">
        <v>838</v>
      </c>
      <c r="L68" s="5222" t="str">
        <f>IF(X68&lt;&gt;"",X68,IF(OR(AND(K13="",M13=""),YourAge=""),"",IF(YourAgeDecimal&gt;=70.5,0,IF(AND(K13="",YourAge&lt;50),$X$12,IF(AND(K13="",YourAge&gt;=50),$X$14,IF(OR(File_Single&lt;&gt;"",File_Head&lt;&gt;"",File_Marr_Sep&lt;&gt;""),L62,IF(OR(File_Marr_Joint&lt;&gt;"",File_Qual_Widow&lt;&gt;""),L63,"")))))))</f>
        <v/>
      </c>
      <c r="M68" s="5223"/>
      <c r="N68" s="5223"/>
      <c r="O68" s="1366"/>
      <c r="P68" s="109" t="s">
        <v>839</v>
      </c>
      <c r="Q68" s="5222" t="str">
        <f>IF(AA68&lt;&gt;"",AA68,IF(OR(AND(P14="",R14=""),AND(File_Qual_Widow="",File_Marr_Joint=""),SpouseAge=""),"",IF(SpouseAgeDecimal&gt;=70.5,0,IF(AND(K13="",P14="",SpouseAge&lt;50),$X$12,IF(AND(K13="",P14="",SpouseAge&gt;=50),$X$14,Q63)))))</f>
        <v/>
      </c>
      <c r="R68" s="5223"/>
      <c r="S68" s="5223"/>
      <c r="T68" s="725"/>
      <c r="U68" s="1168"/>
      <c r="V68" s="37"/>
      <c r="W68" s="119" t="s">
        <v>448</v>
      </c>
      <c r="X68" s="1302"/>
      <c r="Y68" s="119" t="s">
        <v>70</v>
      </c>
      <c r="Z68" s="119"/>
      <c r="AA68" s="1302"/>
      <c r="AB68" s="942"/>
      <c r="AC68" s="401"/>
      <c r="AD68" s="401"/>
      <c r="AE68" s="401"/>
    </row>
    <row r="69" spans="1:31">
      <c r="A69" s="942"/>
      <c r="B69" s="734"/>
      <c r="C69" s="1418" t="s">
        <v>720</v>
      </c>
      <c r="D69" s="494" t="str">
        <f>"Married filing jointly or qualifying widow(er), multiply by "&amp;TEXT(X65,"0.0%")&amp;" ("&amp;TEXT(X65,".000")&amp;") (or by"</f>
        <v>Married filing jointly or qualifying widow(er), multiply by 27.5% (.275) (or by</v>
      </c>
      <c r="E69" s="152"/>
      <c r="F69" s="152"/>
      <c r="G69" s="152"/>
      <c r="H69" s="100"/>
      <c r="I69" s="94"/>
      <c r="J69" s="94"/>
      <c r="K69" s="100"/>
      <c r="L69" s="1365"/>
      <c r="M69" s="1365"/>
      <c r="N69" s="1365"/>
      <c r="O69" s="1365"/>
      <c r="P69" s="785"/>
      <c r="Q69" s="1394"/>
      <c r="R69" s="1394"/>
      <c r="S69" s="1394"/>
      <c r="T69" s="102"/>
      <c r="U69" s="1114"/>
      <c r="V69" s="37"/>
      <c r="W69" s="117"/>
      <c r="X69" s="1073"/>
      <c r="Y69" s="117"/>
      <c r="Z69" s="117"/>
      <c r="AA69" s="1073"/>
      <c r="AB69" s="942"/>
      <c r="AC69" s="401"/>
      <c r="AD69" s="401"/>
      <c r="AE69" s="401"/>
    </row>
    <row r="70" spans="1:31">
      <c r="A70" s="942"/>
      <c r="B70" s="734"/>
      <c r="C70" s="494"/>
      <c r="D70" s="494" t="str">
        <f>TEXT(X66,"0.0%")&amp;" ("&amp;TEXT(X66,".000")&amp;") in the column for the IRA of a person who is age 50 or older at"</f>
        <v>32.5% (.325) in the column for the IRA of a person who is age 50 or older at</v>
      </c>
      <c r="E70" s="152"/>
      <c r="F70" s="152"/>
      <c r="G70" s="152"/>
      <c r="H70" s="100"/>
      <c r="I70" s="94"/>
      <c r="J70" s="94"/>
      <c r="K70" s="100"/>
      <c r="L70" s="1365"/>
      <c r="M70" s="1365"/>
      <c r="N70" s="1365"/>
      <c r="O70" s="1365"/>
      <c r="P70" s="785"/>
      <c r="Q70" s="1394"/>
      <c r="R70" s="1394"/>
      <c r="S70" s="1394"/>
      <c r="T70" s="102"/>
      <c r="U70" s="1114"/>
      <c r="V70" s="37"/>
      <c r="W70" s="117"/>
      <c r="X70" s="1073"/>
      <c r="Y70" s="117"/>
      <c r="Z70" s="117"/>
      <c r="AA70" s="1073"/>
      <c r="AB70" s="942"/>
      <c r="AC70" s="401"/>
      <c r="AD70" s="401"/>
      <c r="AE70" s="401"/>
    </row>
    <row r="71" spans="1:31">
      <c r="A71" s="942"/>
      <c r="B71" s="734"/>
      <c r="C71" s="494"/>
      <c r="D71" s="494" t="str">
        <f>"the end of "&amp;TaxYear&amp;"). But if you checked “No” on either line 1a or 1b, then in"</f>
        <v>the end of 2014). But if you checked “No” on either line 1a or 1b, then in</v>
      </c>
      <c r="E71" s="152"/>
      <c r="F71" s="152"/>
      <c r="G71" s="152"/>
      <c r="H71" s="100"/>
      <c r="I71" s="94"/>
      <c r="J71" s="94"/>
      <c r="K71" s="100"/>
      <c r="L71" s="1365"/>
      <c r="M71" s="1365"/>
      <c r="N71" s="1365"/>
      <c r="O71" s="1365"/>
      <c r="P71" s="785"/>
      <c r="Q71" s="1394"/>
      <c r="R71" s="1394"/>
      <c r="S71" s="1394"/>
      <c r="T71" s="102"/>
      <c r="U71" s="1114"/>
      <c r="V71" s="37"/>
      <c r="W71" s="117"/>
      <c r="X71" s="1073"/>
      <c r="Y71" s="117"/>
      <c r="Z71" s="117"/>
      <c r="AA71" s="1073"/>
      <c r="AB71" s="942"/>
      <c r="AC71" s="401"/>
      <c r="AD71" s="401"/>
      <c r="AE71" s="401"/>
    </row>
    <row r="72" spans="1:31">
      <c r="A72" s="942"/>
      <c r="B72" s="734"/>
      <c r="C72" s="494"/>
      <c r="D72" s="494" t="s">
        <v>156</v>
      </c>
      <c r="E72" s="152"/>
      <c r="F72" s="152"/>
      <c r="G72" s="152"/>
      <c r="H72" s="100"/>
      <c r="I72" s="94"/>
      <c r="J72" s="94"/>
      <c r="K72" s="100"/>
      <c r="L72" s="1365"/>
      <c r="M72" s="1365"/>
      <c r="N72" s="1365"/>
      <c r="O72" s="1365"/>
      <c r="P72" s="785"/>
      <c r="Q72" s="1394"/>
      <c r="R72" s="1394"/>
      <c r="S72" s="1394"/>
      <c r="T72" s="102"/>
      <c r="U72" s="1114"/>
      <c r="V72" s="37"/>
      <c r="W72" s="117"/>
      <c r="X72" s="1073"/>
      <c r="Y72" s="117"/>
      <c r="Z72" s="117"/>
      <c r="AA72" s="1073"/>
      <c r="AB72" s="942"/>
      <c r="AC72" s="401"/>
      <c r="AD72" s="401"/>
      <c r="AE72" s="401"/>
    </row>
    <row r="73" spans="1:31">
      <c r="A73" s="942"/>
      <c r="B73" s="734"/>
      <c r="C73" s="494"/>
      <c r="D73" s="494" t="str">
        <f>"plan, multiply by "&amp;TEXT(X63,"0%")&amp;" ("&amp;TEXT(X63,".00")&amp;") (or by "&amp;TEXT(X64,"0%")&amp;" ("&amp;TEXT(X64,".00")&amp;") if age 50 or older at the end"</f>
        <v>plan, multiply by 55% (.55) (or by 65% (.65) if age 50 or older at the end</v>
      </c>
      <c r="E73" s="152"/>
      <c r="F73" s="152"/>
      <c r="G73" s="152"/>
      <c r="H73" s="100"/>
      <c r="I73" s="94"/>
      <c r="J73" s="94"/>
      <c r="K73" s="100"/>
      <c r="L73" s="1365"/>
      <c r="M73" s="1365"/>
      <c r="N73" s="1365"/>
      <c r="O73" s="1365"/>
      <c r="P73" s="785"/>
      <c r="Q73" s="1394"/>
      <c r="R73" s="1394"/>
      <c r="S73" s="1394"/>
      <c r="T73" s="102"/>
      <c r="U73" s="1114"/>
      <c r="V73" s="37"/>
      <c r="W73" s="117"/>
      <c r="X73" s="1073"/>
      <c r="Y73" s="117"/>
      <c r="Z73" s="117"/>
      <c r="AA73" s="1073"/>
      <c r="AB73" s="942"/>
      <c r="AC73" s="401"/>
      <c r="AD73" s="401"/>
      <c r="AE73" s="401"/>
    </row>
    <row r="74" spans="1:31">
      <c r="A74" s="942"/>
      <c r="B74" s="734"/>
      <c r="C74" s="494"/>
      <c r="D74" s="494" t="str">
        <f>"of "&amp;TaxYear&amp;")"</f>
        <v>of 2014)</v>
      </c>
      <c r="E74" s="152"/>
      <c r="F74" s="152"/>
      <c r="G74" s="152"/>
      <c r="H74" s="100"/>
      <c r="I74" s="94"/>
      <c r="J74" s="94"/>
      <c r="K74" s="100"/>
      <c r="L74" s="1365"/>
      <c r="M74" s="1365"/>
      <c r="N74" s="1365"/>
      <c r="O74" s="1365"/>
      <c r="P74" s="785"/>
      <c r="Q74" s="1394"/>
      <c r="R74" s="1394"/>
      <c r="S74" s="1394"/>
      <c r="T74" s="102"/>
      <c r="U74" s="1114"/>
      <c r="V74" s="37"/>
      <c r="W74" s="117"/>
      <c r="X74" s="1073"/>
      <c r="Y74" s="117"/>
      <c r="Z74" s="117"/>
      <c r="AA74" s="1073"/>
      <c r="AB74" s="942"/>
      <c r="AC74" s="401"/>
      <c r="AD74" s="401"/>
      <c r="AE74" s="401"/>
    </row>
    <row r="75" spans="1:31" ht="12.75" customHeight="1">
      <c r="A75" s="942"/>
      <c r="B75" s="734">
        <v>8</v>
      </c>
      <c r="C75" s="99" t="s">
        <v>452</v>
      </c>
      <c r="D75" s="99"/>
      <c r="E75" s="94"/>
      <c r="F75" s="94"/>
      <c r="G75" s="94"/>
      <c r="H75" s="100"/>
      <c r="I75" s="94"/>
      <c r="J75" s="94"/>
      <c r="K75" s="109"/>
      <c r="L75" s="1330"/>
      <c r="M75" s="1368"/>
      <c r="N75" s="417"/>
      <c r="O75" s="191"/>
      <c r="P75" s="109"/>
      <c r="Q75" s="1303"/>
      <c r="R75" s="99"/>
      <c r="S75" s="618"/>
      <c r="T75" s="725"/>
      <c r="U75" s="1168"/>
      <c r="V75" s="37"/>
      <c r="W75" s="117"/>
      <c r="X75" s="1073"/>
      <c r="Y75" s="117"/>
      <c r="Z75" s="117"/>
      <c r="AA75" s="1073"/>
      <c r="AB75" s="942"/>
      <c r="AC75" s="401"/>
      <c r="AD75" s="401"/>
      <c r="AE75" s="401"/>
    </row>
    <row r="76" spans="1:31" ht="12.75" customHeight="1">
      <c r="A76" s="942"/>
      <c r="B76" s="734"/>
      <c r="C76" s="1418" t="s">
        <v>720</v>
      </c>
      <c r="D76" s="173" t="s">
        <v>1262</v>
      </c>
      <c r="E76" s="94"/>
      <c r="F76" s="94"/>
      <c r="G76" s="94"/>
      <c r="H76" s="100"/>
      <c r="I76" s="94"/>
      <c r="J76" s="94"/>
      <c r="K76" s="109"/>
      <c r="L76" s="1330"/>
      <c r="M76" s="191"/>
      <c r="N76" s="191"/>
      <c r="O76" s="191"/>
      <c r="P76" s="109"/>
      <c r="Q76" s="1303"/>
      <c r="R76" s="99"/>
      <c r="S76" s="99"/>
      <c r="T76" s="725"/>
      <c r="U76" s="1168"/>
      <c r="V76" s="37"/>
      <c r="W76" s="37"/>
      <c r="X76" s="773">
        <f>SUM(X68:X75)</f>
        <v>0</v>
      </c>
      <c r="Y76" s="401"/>
      <c r="Z76" s="401"/>
      <c r="AA76" s="401"/>
      <c r="AB76" s="401"/>
      <c r="AC76" s="401"/>
      <c r="AD76" s="401"/>
      <c r="AE76" s="401"/>
    </row>
    <row r="77" spans="1:31" ht="12.75" customHeight="1">
      <c r="A77" s="942"/>
      <c r="B77" s="734"/>
      <c r="C77" s="99"/>
      <c r="D77" s="173" t="s">
        <v>1263</v>
      </c>
      <c r="E77" s="173"/>
      <c r="F77" s="94"/>
      <c r="G77" s="94"/>
      <c r="H77" s="100"/>
      <c r="I77" s="94"/>
      <c r="J77" s="94"/>
      <c r="K77" s="109"/>
      <c r="L77" s="1330"/>
      <c r="M77" s="191"/>
      <c r="N77" s="191"/>
      <c r="O77" s="191"/>
      <c r="P77" s="109"/>
      <c r="Q77" s="1303"/>
      <c r="R77" s="99"/>
      <c r="S77" s="99"/>
      <c r="T77" s="725"/>
      <c r="U77" s="1168"/>
      <c r="V77" s="37"/>
      <c r="W77" s="401"/>
      <c r="X77" s="401"/>
      <c r="Y77" s="401"/>
      <c r="Z77" s="401"/>
      <c r="AA77" s="401"/>
      <c r="AB77" s="401"/>
      <c r="AC77" s="401"/>
      <c r="AD77" s="401"/>
      <c r="AE77" s="401"/>
    </row>
    <row r="78" spans="1:31" ht="12.75" customHeight="1">
      <c r="A78" s="942"/>
      <c r="B78" s="734"/>
      <c r="C78" s="99"/>
      <c r="D78" s="173" t="s">
        <v>1264</v>
      </c>
      <c r="E78" s="173"/>
      <c r="F78" s="94"/>
      <c r="G78" s="94"/>
      <c r="H78" s="100"/>
      <c r="I78" s="94"/>
      <c r="J78" s="94"/>
      <c r="K78" s="109"/>
      <c r="L78" s="1330"/>
      <c r="M78" s="191"/>
      <c r="N78" s="191"/>
      <c r="O78" s="191"/>
      <c r="P78" s="109"/>
      <c r="Q78" s="1303"/>
      <c r="R78" s="99"/>
      <c r="S78" s="99"/>
      <c r="T78" s="725"/>
      <c r="U78" s="1168"/>
      <c r="V78" s="37"/>
      <c r="W78" s="117"/>
      <c r="X78" s="1073"/>
      <c r="Y78" s="942"/>
      <c r="Z78" s="942"/>
      <c r="AA78" s="401"/>
      <c r="AB78" s="401"/>
      <c r="AC78" s="401"/>
      <c r="AD78" s="401"/>
      <c r="AE78" s="401"/>
    </row>
    <row r="79" spans="1:31" ht="12.75" customHeight="1">
      <c r="A79" s="942"/>
      <c r="B79" s="734"/>
      <c r="C79" s="1418" t="s">
        <v>720</v>
      </c>
      <c r="D79" s="173" t="s">
        <v>1616</v>
      </c>
      <c r="E79" s="94"/>
      <c r="F79" s="94"/>
      <c r="G79" s="94"/>
      <c r="H79" s="100">
        <f>B75</f>
        <v>8</v>
      </c>
      <c r="I79" s="5215">
        <f>IF(X79&lt;&gt;"",X79,ROUND(SUM('1040'!AB38:AF38,'1040'!AB44:AF44,X83),2))</f>
        <v>0</v>
      </c>
      <c r="J79" s="5214"/>
      <c r="K79" s="109"/>
      <c r="L79" s="1330"/>
      <c r="M79" s="191"/>
      <c r="N79" s="191"/>
      <c r="O79" s="191"/>
      <c r="P79" s="109"/>
      <c r="Q79" s="1303"/>
      <c r="R79" s="99"/>
      <c r="S79" s="99"/>
      <c r="T79" s="725"/>
      <c r="U79" s="1168"/>
      <c r="V79" s="37"/>
      <c r="W79" s="117"/>
      <c r="X79" s="1302"/>
      <c r="Y79" s="942"/>
      <c r="Z79" s="942"/>
      <c r="AA79" s="401"/>
      <c r="AB79" s="401"/>
      <c r="AC79" s="401"/>
      <c r="AD79" s="401"/>
      <c r="AE79" s="401"/>
    </row>
    <row r="80" spans="1:31" ht="12.75" customHeight="1">
      <c r="A80" s="942"/>
      <c r="B80" s="734"/>
      <c r="C80" s="99"/>
      <c r="D80" s="173" t="s">
        <v>1617</v>
      </c>
      <c r="E80" s="94"/>
      <c r="F80" s="94"/>
      <c r="G80" s="94"/>
      <c r="H80" s="100"/>
      <c r="I80" s="94"/>
      <c r="J80" s="94"/>
      <c r="K80" s="109"/>
      <c r="L80" s="1330"/>
      <c r="M80" s="191"/>
      <c r="N80" s="191"/>
      <c r="O80" s="191"/>
      <c r="P80" s="109"/>
      <c r="Q80" s="1303"/>
      <c r="R80" s="99"/>
      <c r="S80" s="99"/>
      <c r="T80" s="725"/>
      <c r="U80" s="1168"/>
      <c r="V80" s="37"/>
      <c r="W80" s="117"/>
      <c r="X80" s="1073"/>
      <c r="Y80" s="942"/>
      <c r="Z80" s="942"/>
      <c r="AA80" s="401"/>
      <c r="AB80" s="401"/>
      <c r="AC80" s="401"/>
      <c r="AD80" s="401"/>
      <c r="AE80" s="401"/>
    </row>
    <row r="81" spans="1:31" ht="12.75" customHeight="1">
      <c r="A81" s="942"/>
      <c r="B81" s="734"/>
      <c r="C81" s="1418" t="s">
        <v>720</v>
      </c>
      <c r="D81" s="173" t="s">
        <v>1010</v>
      </c>
      <c r="E81" s="173"/>
      <c r="F81" s="94"/>
      <c r="G81" s="94"/>
      <c r="H81" s="100"/>
      <c r="I81" s="94"/>
      <c r="J81" s="94"/>
      <c r="K81" s="109"/>
      <c r="L81" s="1330"/>
      <c r="M81" s="191"/>
      <c r="N81" s="191"/>
      <c r="O81" s="191"/>
      <c r="P81" s="109"/>
      <c r="Q81" s="1303"/>
      <c r="R81" s="99"/>
      <c r="S81" s="99"/>
      <c r="T81" s="725"/>
      <c r="U81" s="1168"/>
      <c r="V81" s="37"/>
      <c r="W81" s="37"/>
      <c r="X81" s="21"/>
      <c r="Y81" s="401"/>
      <c r="Z81" s="401"/>
      <c r="AA81" s="401"/>
      <c r="AB81" s="401"/>
      <c r="AC81" s="401"/>
      <c r="AD81" s="401"/>
      <c r="AE81" s="401"/>
    </row>
    <row r="82" spans="1:31">
      <c r="A82" s="942"/>
      <c r="B82" s="734"/>
      <c r="C82" s="99"/>
      <c r="D82" s="173" t="s">
        <v>1011</v>
      </c>
      <c r="E82" s="173"/>
      <c r="F82" s="94"/>
      <c r="G82" s="94"/>
      <c r="H82" s="100"/>
      <c r="I82" s="94"/>
      <c r="J82" s="94"/>
      <c r="K82" s="109"/>
      <c r="L82" s="1330"/>
      <c r="M82" s="191"/>
      <c r="N82" s="191"/>
      <c r="O82" s="191"/>
      <c r="P82" s="109"/>
      <c r="Q82" s="1303"/>
      <c r="R82" s="99"/>
      <c r="S82" s="99"/>
      <c r="T82" s="725"/>
      <c r="U82" s="1168"/>
      <c r="V82" s="94"/>
      <c r="W82" s="117"/>
      <c r="X82" s="1337" t="s">
        <v>681</v>
      </c>
      <c r="Y82" s="1340" t="s">
        <v>816</v>
      </c>
      <c r="Z82" s="1340"/>
      <c r="AA82" s="401"/>
      <c r="AB82" s="401"/>
      <c r="AC82" s="401"/>
      <c r="AD82" s="401"/>
      <c r="AE82" s="401"/>
    </row>
    <row r="83" spans="1:31" ht="13.5" customHeight="1">
      <c r="A83" s="942"/>
      <c r="B83" s="734">
        <v>9</v>
      </c>
      <c r="C83" s="99" t="s">
        <v>356</v>
      </c>
      <c r="D83" s="99"/>
      <c r="E83" s="94"/>
      <c r="F83" s="94"/>
      <c r="G83" s="94"/>
      <c r="H83" s="100"/>
      <c r="I83" s="94"/>
      <c r="J83" s="94"/>
      <c r="K83" s="109"/>
      <c r="L83" s="1330"/>
      <c r="M83" s="191"/>
      <c r="N83" s="191"/>
      <c r="O83" s="191"/>
      <c r="P83" s="109"/>
      <c r="Q83" s="1303"/>
      <c r="R83" s="99"/>
      <c r="S83" s="99"/>
      <c r="T83" s="725"/>
      <c r="U83" s="1168"/>
      <c r="V83" s="94"/>
      <c r="W83" s="1338" t="s">
        <v>369</v>
      </c>
      <c r="X83" s="1341"/>
      <c r="Y83" s="1339" t="s">
        <v>817</v>
      </c>
      <c r="Z83" s="1339"/>
      <c r="AA83" s="401"/>
      <c r="AB83" s="401"/>
      <c r="AC83" s="401"/>
      <c r="AD83" s="401"/>
      <c r="AE83" s="401"/>
    </row>
    <row r="84" spans="1:31" ht="13.5" customHeight="1">
      <c r="A84" s="942"/>
      <c r="B84" s="734"/>
      <c r="C84" s="99" t="s">
        <v>357</v>
      </c>
      <c r="D84" s="99"/>
      <c r="E84" s="94"/>
      <c r="F84" s="94"/>
      <c r="G84" s="94"/>
      <c r="H84" s="100"/>
      <c r="I84" s="94"/>
      <c r="J84" s="94"/>
      <c r="K84" s="109"/>
      <c r="L84" s="1330"/>
      <c r="M84" s="191"/>
      <c r="N84" s="191"/>
      <c r="O84" s="191"/>
      <c r="P84" s="109"/>
      <c r="Q84" s="1303"/>
      <c r="R84" s="99"/>
      <c r="S84" s="99"/>
      <c r="T84" s="725"/>
      <c r="U84" s="1168"/>
      <c r="V84" s="94"/>
      <c r="W84" s="117"/>
      <c r="X84" s="1335" t="s">
        <v>134</v>
      </c>
      <c r="Y84" s="942"/>
      <c r="Z84" s="942"/>
      <c r="AA84" s="401"/>
      <c r="AB84" s="401"/>
      <c r="AC84" s="401"/>
      <c r="AD84" s="401"/>
      <c r="AE84" s="401"/>
    </row>
    <row r="85" spans="1:31" ht="13.5" customHeight="1">
      <c r="A85" s="942"/>
      <c r="B85" s="734"/>
      <c r="C85" s="99" t="s">
        <v>249</v>
      </c>
      <c r="D85" s="99"/>
      <c r="E85" s="94"/>
      <c r="F85" s="94"/>
      <c r="G85" s="94"/>
      <c r="H85" s="100"/>
      <c r="I85" s="94"/>
      <c r="J85" s="94"/>
      <c r="K85" s="109"/>
      <c r="L85" s="1330"/>
      <c r="M85" s="191"/>
      <c r="N85" s="191"/>
      <c r="O85" s="191"/>
      <c r="P85" s="109"/>
      <c r="Q85" s="1303"/>
      <c r="R85" s="99"/>
      <c r="S85" s="99"/>
      <c r="T85" s="725"/>
      <c r="U85" s="1168"/>
      <c r="V85" s="185"/>
      <c r="W85" s="185"/>
      <c r="X85" s="37"/>
      <c r="Y85" s="401"/>
      <c r="Z85" s="401"/>
      <c r="AA85" s="401"/>
      <c r="AB85" s="401"/>
      <c r="AC85" s="401"/>
      <c r="AD85" s="401"/>
      <c r="AE85" s="401"/>
    </row>
    <row r="86" spans="1:31" ht="13.5" customHeight="1">
      <c r="A86" s="942"/>
      <c r="B86" s="734"/>
      <c r="C86" s="99" t="s">
        <v>500</v>
      </c>
      <c r="D86" s="99"/>
      <c r="E86" s="94"/>
      <c r="F86" s="94"/>
      <c r="G86" s="94"/>
      <c r="H86" s="100"/>
      <c r="I86" s="94"/>
      <c r="J86" s="94"/>
      <c r="K86" s="109"/>
      <c r="L86" s="1330"/>
      <c r="M86" s="191"/>
      <c r="N86" s="191"/>
      <c r="O86" s="191"/>
      <c r="P86" s="109"/>
      <c r="Q86" s="1303"/>
      <c r="R86" s="99"/>
      <c r="S86" s="99"/>
      <c r="T86" s="725"/>
      <c r="U86" s="1168"/>
      <c r="V86" s="185"/>
      <c r="W86" s="185"/>
      <c r="X86" s="37"/>
      <c r="Y86" s="401"/>
      <c r="Z86" s="401"/>
      <c r="AA86" s="401"/>
      <c r="AB86" s="401"/>
      <c r="AC86" s="401"/>
      <c r="AD86" s="401"/>
      <c r="AE86" s="401"/>
    </row>
    <row r="87" spans="1:31" ht="13.5" customHeight="1">
      <c r="A87" s="942"/>
      <c r="B87" s="734"/>
      <c r="C87" s="99" t="s">
        <v>472</v>
      </c>
      <c r="D87" s="99"/>
      <c r="E87" s="94"/>
      <c r="F87" s="94"/>
      <c r="G87" s="94"/>
      <c r="H87" s="100"/>
      <c r="I87" s="94"/>
      <c r="J87" s="94"/>
      <c r="K87" s="109"/>
      <c r="L87" s="1330"/>
      <c r="M87" s="191"/>
      <c r="N87" s="191"/>
      <c r="O87" s="191"/>
      <c r="P87" s="109"/>
      <c r="Q87" s="1303"/>
      <c r="R87" s="99"/>
      <c r="S87" s="99"/>
      <c r="T87" s="725"/>
      <c r="U87" s="1168"/>
      <c r="V87" s="185"/>
      <c r="W87" s="185"/>
      <c r="X87" s="37"/>
      <c r="Y87" s="401"/>
      <c r="Z87" s="401"/>
      <c r="AA87" s="401"/>
      <c r="AB87" s="401"/>
      <c r="AC87" s="401"/>
      <c r="AD87" s="401"/>
      <c r="AE87" s="401"/>
    </row>
    <row r="88" spans="1:31" ht="13.5" customHeight="1">
      <c r="A88" s="942"/>
      <c r="B88" s="734"/>
      <c r="C88" s="99" t="s">
        <v>310</v>
      </c>
      <c r="D88" s="99"/>
      <c r="E88" s="94"/>
      <c r="F88" s="94"/>
      <c r="G88" s="94"/>
      <c r="H88" s="100"/>
      <c r="I88" s="94"/>
      <c r="J88" s="94"/>
      <c r="K88" s="109"/>
      <c r="L88" s="1330"/>
      <c r="M88" s="191"/>
      <c r="N88" s="191"/>
      <c r="O88" s="191"/>
      <c r="P88" s="109"/>
      <c r="Q88" s="1303"/>
      <c r="R88" s="99"/>
      <c r="S88" s="99"/>
      <c r="T88" s="725"/>
      <c r="U88" s="1168"/>
      <c r="V88" s="185"/>
      <c r="W88" s="185"/>
      <c r="X88" s="37"/>
      <c r="Y88" s="401"/>
      <c r="Z88" s="401"/>
      <c r="AA88" s="401"/>
      <c r="AB88" s="401"/>
      <c r="AC88" s="401"/>
      <c r="AD88" s="401"/>
      <c r="AE88" s="401"/>
    </row>
    <row r="89" spans="1:31" ht="13.5" customHeight="1">
      <c r="A89" s="942"/>
      <c r="B89" s="734"/>
      <c r="C89" s="108" t="s">
        <v>1265</v>
      </c>
      <c r="D89" s="99"/>
      <c r="E89" s="94"/>
      <c r="F89" s="94"/>
      <c r="G89" s="94"/>
      <c r="H89" s="100">
        <f>B83</f>
        <v>9</v>
      </c>
      <c r="I89" s="5216"/>
      <c r="J89" s="3903"/>
      <c r="K89" s="109"/>
      <c r="L89" s="1330"/>
      <c r="M89" s="191"/>
      <c r="N89" s="191"/>
      <c r="O89" s="191"/>
      <c r="P89" s="109"/>
      <c r="Q89" s="1303"/>
      <c r="R89" s="99"/>
      <c r="S89" s="99"/>
      <c r="T89" s="725"/>
      <c r="U89" s="1168"/>
      <c r="V89" s="185"/>
      <c r="W89" s="185"/>
      <c r="X89" s="37"/>
      <c r="Y89" s="401"/>
      <c r="Z89" s="401"/>
      <c r="AA89" s="401"/>
      <c r="AB89" s="401"/>
      <c r="AC89" s="401"/>
      <c r="AD89" s="401"/>
      <c r="AE89" s="401"/>
    </row>
    <row r="90" spans="1:31" s="1351" customFormat="1" ht="18" customHeight="1">
      <c r="A90" s="1342"/>
      <c r="B90" s="734">
        <v>10</v>
      </c>
      <c r="C90" s="1343" t="s">
        <v>473</v>
      </c>
      <c r="D90" s="1343"/>
      <c r="E90" s="1343"/>
      <c r="F90" s="1343"/>
      <c r="G90" s="106" t="s">
        <v>1618</v>
      </c>
      <c r="H90" s="1344">
        <f>B90</f>
        <v>10</v>
      </c>
      <c r="I90" s="5215">
        <f>ROUND(SUM(I79,I89),2)</f>
        <v>0</v>
      </c>
      <c r="J90" s="5214"/>
      <c r="K90" s="1345"/>
      <c r="L90" s="1346"/>
      <c r="M90" s="1347"/>
      <c r="N90" s="1347"/>
      <c r="O90" s="1347"/>
      <c r="P90" s="1345"/>
      <c r="Q90" s="1343"/>
      <c r="R90" s="1343"/>
      <c r="S90" s="1343"/>
      <c r="T90" s="1348"/>
      <c r="U90" s="1349"/>
      <c r="V90" s="1350"/>
      <c r="W90" s="1350"/>
      <c r="X90" s="1350"/>
      <c r="Y90" s="1350"/>
      <c r="Z90" s="1350"/>
      <c r="AA90" s="1350"/>
      <c r="AB90" s="1350"/>
      <c r="AC90" s="1350"/>
      <c r="AD90" s="1350"/>
      <c r="AE90" s="1350"/>
    </row>
    <row r="91" spans="1:31" ht="6.75" customHeight="1" thickBot="1">
      <c r="A91" s="942"/>
      <c r="B91" s="734"/>
      <c r="C91" s="99"/>
      <c r="D91" s="99"/>
      <c r="E91" s="176"/>
      <c r="F91" s="176"/>
      <c r="G91" s="176"/>
      <c r="H91" s="100"/>
      <c r="I91" s="404"/>
      <c r="J91" s="404"/>
      <c r="K91" s="100"/>
      <c r="L91" s="94"/>
      <c r="M91" s="94"/>
      <c r="N91" s="94"/>
      <c r="O91" s="94"/>
      <c r="P91" s="94"/>
      <c r="Q91" s="94"/>
      <c r="R91" s="94"/>
      <c r="S91" s="94"/>
      <c r="T91" s="102"/>
      <c r="U91" s="1114"/>
      <c r="V91" s="185"/>
      <c r="W91" s="185"/>
      <c r="X91" s="37"/>
      <c r="Y91" s="401"/>
      <c r="Z91" s="401"/>
      <c r="AA91" s="401"/>
      <c r="AB91" s="401"/>
      <c r="AC91" s="401"/>
      <c r="AD91" s="401"/>
      <c r="AE91" s="401"/>
    </row>
    <row r="92" spans="1:31" ht="13.5" customHeight="1">
      <c r="A92" s="942"/>
      <c r="B92" s="734"/>
      <c r="C92" s="391"/>
      <c r="D92" s="391"/>
      <c r="E92" s="776"/>
      <c r="F92" s="776"/>
      <c r="G92" s="778" t="str">
        <f>"If married filing jointly and line "&amp;B90&amp;" is less than "&amp;TEXT(X92,"$0,000")&amp;" ("&amp;TEXT(X93,"$0,000")&amp;" if one"</f>
        <v>If married filing jointly and line 10 is less than $11,000 ($12,000 if one</v>
      </c>
      <c r="H92" s="96"/>
      <c r="I92" s="96"/>
      <c r="J92" s="96"/>
      <c r="K92" s="95"/>
      <c r="L92" s="94"/>
      <c r="M92" s="94"/>
      <c r="N92" s="94"/>
      <c r="O92" s="94"/>
      <c r="P92" s="100"/>
      <c r="Q92" s="94"/>
      <c r="R92" s="94"/>
      <c r="S92" s="94"/>
      <c r="T92" s="102"/>
      <c r="U92" s="1114"/>
      <c r="V92" s="185"/>
      <c r="W92" s="185"/>
      <c r="X92" s="1352">
        <v>11000</v>
      </c>
      <c r="Y92" s="401"/>
      <c r="Z92" s="401"/>
      <c r="AA92" s="401"/>
      <c r="AB92" s="401"/>
      <c r="AC92" s="401"/>
      <c r="AD92" s="401"/>
      <c r="AE92" s="401"/>
    </row>
    <row r="93" spans="1:31" ht="13.5" customHeight="1">
      <c r="A93" s="942"/>
      <c r="B93" s="734"/>
      <c r="C93" s="377"/>
      <c r="D93" s="377"/>
      <c r="E93" s="174"/>
      <c r="F93" s="174"/>
      <c r="G93" s="1192" t="str">
        <f>"spouse is age 50 or older at the end of "&amp;TaxYear&amp;"; "&amp;TEXT(X94,"$0,000")&amp;" if both "</f>
        <v xml:space="preserve">spouse is age 50 or older at the end of 2014; $13,000 if both </v>
      </c>
      <c r="H93" s="147"/>
      <c r="I93" s="147"/>
      <c r="J93" s="147"/>
      <c r="K93" s="100"/>
      <c r="L93" s="395"/>
      <c r="M93" s="395"/>
      <c r="N93" s="395"/>
      <c r="O93" s="395"/>
      <c r="P93" s="100"/>
      <c r="Q93" s="94"/>
      <c r="R93" s="94"/>
      <c r="S93" s="94"/>
      <c r="T93" s="102"/>
      <c r="U93" s="1114"/>
      <c r="V93" s="185"/>
      <c r="W93" s="185"/>
      <c r="X93" s="1352">
        <v>12000</v>
      </c>
      <c r="Y93" s="401"/>
      <c r="Z93" s="401"/>
      <c r="AA93" s="401"/>
      <c r="AB93" s="401"/>
      <c r="AC93" s="401"/>
      <c r="AD93" s="401"/>
      <c r="AE93" s="401"/>
    </row>
    <row r="94" spans="1:31" ht="13.5" customHeight="1">
      <c r="A94" s="942"/>
      <c r="B94" s="734"/>
      <c r="C94" s="377"/>
      <c r="D94" s="377"/>
      <c r="E94" s="174"/>
      <c r="F94" s="174"/>
      <c r="G94" s="1192" t="str">
        <f>"spouses are age 50 or older at the end of "&amp;TaxYear&amp;"), "</f>
        <v xml:space="preserve">spouses are age 50 or older at the end of 2014), </v>
      </c>
      <c r="H94" s="1193" t="s">
        <v>474</v>
      </c>
      <c r="I94" s="1193"/>
      <c r="J94" s="146"/>
      <c r="K94" s="100"/>
      <c r="L94" s="105"/>
      <c r="M94" s="105"/>
      <c r="N94" s="105"/>
      <c r="O94" s="105"/>
      <c r="P94" s="100"/>
      <c r="Q94" s="94"/>
      <c r="R94" s="94"/>
      <c r="S94" s="94"/>
      <c r="T94" s="102"/>
      <c r="U94" s="1114"/>
      <c r="V94" s="185"/>
      <c r="W94" s="185"/>
      <c r="X94" s="1352">
        <v>13000</v>
      </c>
      <c r="Y94" s="401"/>
      <c r="Z94" s="401"/>
      <c r="AA94" s="401"/>
      <c r="AB94" s="401"/>
      <c r="AC94" s="401"/>
      <c r="AD94" s="401"/>
      <c r="AE94" s="401"/>
    </row>
    <row r="95" spans="1:31" ht="13.5" customHeight="1">
      <c r="A95" s="942"/>
      <c r="B95" s="734"/>
      <c r="C95" s="377"/>
      <c r="D95" s="377"/>
      <c r="E95" s="174"/>
      <c r="F95" s="174"/>
      <c r="G95" s="1192" t="s">
        <v>475</v>
      </c>
      <c r="H95" s="146"/>
      <c r="I95" s="708"/>
      <c r="J95" s="708"/>
      <c r="K95" s="425"/>
      <c r="L95" s="425">
        <f>IF(AND(YourAge&gt;=50,SpouseAge&gt;=50),X94,IF(OR(YourAge&gt;=50,SpouseAge&gt;=50),X93,X92))</f>
        <v>13000</v>
      </c>
      <c r="M95" s="425"/>
      <c r="N95" s="425"/>
      <c r="O95" s="425"/>
      <c r="P95" s="100"/>
      <c r="Q95" s="94"/>
      <c r="R95" s="94"/>
      <c r="S95" s="94"/>
      <c r="T95" s="102"/>
      <c r="U95" s="1114"/>
      <c r="V95" s="185"/>
      <c r="W95" s="185"/>
      <c r="X95" s="37"/>
      <c r="Y95" s="401"/>
      <c r="Z95" s="401"/>
      <c r="AA95" s="401"/>
      <c r="AB95" s="401"/>
      <c r="AC95" s="401"/>
      <c r="AD95" s="401"/>
      <c r="AE95" s="401"/>
    </row>
    <row r="96" spans="1:31" ht="13.5" customHeight="1" thickBot="1">
      <c r="A96" s="942"/>
      <c r="B96" s="734"/>
      <c r="C96" s="394"/>
      <c r="D96" s="394"/>
      <c r="E96" s="184"/>
      <c r="F96" s="184"/>
      <c r="G96" s="777" t="str">
        <f>IF(AND(L68="",Q68=""),"",IF(AND(File_Marr_Joint&lt;&gt;"",I90&lt;L95),"STOP HERE and see Publication 590 to figure your IRA deduction.",""))</f>
        <v/>
      </c>
      <c r="H96" s="405"/>
      <c r="I96" s="405"/>
      <c r="J96" s="405"/>
      <c r="K96" s="114"/>
      <c r="L96" s="105"/>
      <c r="M96" s="105"/>
      <c r="N96" s="105"/>
      <c r="O96" s="105"/>
      <c r="P96" s="100"/>
      <c r="Q96" s="105" t="str">
        <f>IF(AND(File_Marr_Joint&lt;&gt;"",I89&lt;4000,),"See Pub. 590 (below)","")</f>
        <v/>
      </c>
      <c r="R96" s="105"/>
      <c r="S96" s="105"/>
      <c r="T96" s="172"/>
      <c r="U96" s="1180"/>
      <c r="V96" s="185"/>
      <c r="W96" s="185"/>
      <c r="X96" s="37"/>
      <c r="Y96" s="401"/>
      <c r="Z96" s="401"/>
      <c r="AA96" s="401"/>
      <c r="AB96" s="401"/>
      <c r="AC96" s="401"/>
      <c r="AD96" s="401"/>
      <c r="AE96" s="401"/>
    </row>
    <row r="97" spans="1:31">
      <c r="A97" s="942"/>
      <c r="B97" s="734">
        <v>11</v>
      </c>
      <c r="C97" s="152" t="str">
        <f>"Enter traditional IRA contributions made, or that will be made by April 15, "&amp;TaxYear+1&amp;","</f>
        <v>Enter traditional IRA contributions made, or that will be made by April 15, 2015,</v>
      </c>
      <c r="D97" s="152"/>
      <c r="E97" s="152"/>
      <c r="F97" s="152"/>
      <c r="G97" s="152"/>
      <c r="H97" s="152"/>
      <c r="I97" s="152"/>
      <c r="J97" s="152"/>
      <c r="K97" s="100"/>
      <c r="L97" s="105"/>
      <c r="M97" s="105"/>
      <c r="N97" s="105"/>
      <c r="O97" s="105"/>
      <c r="P97" s="100"/>
      <c r="Q97" s="94"/>
      <c r="R97" s="94"/>
      <c r="S97" s="94"/>
      <c r="T97" s="102"/>
      <c r="U97" s="1114"/>
      <c r="V97" s="37"/>
      <c r="W97" s="37"/>
      <c r="X97" s="37"/>
      <c r="Y97" s="401"/>
      <c r="Z97" s="401"/>
      <c r="AA97" s="401"/>
      <c r="AB97" s="401"/>
      <c r="AC97" s="401"/>
      <c r="AD97" s="401"/>
      <c r="AE97" s="401"/>
    </row>
    <row r="98" spans="1:31">
      <c r="A98" s="942"/>
      <c r="B98" s="734"/>
      <c r="C98" s="152" t="str">
        <f>"for "&amp;TaxYear&amp;" to your IRA on line 11a and to your spouse’s IRA on line 11b."</f>
        <v>for 2014 to your IRA on line 11a and to your spouse’s IRA on line 11b.</v>
      </c>
      <c r="D98" s="152"/>
      <c r="E98" s="152"/>
      <c r="F98" s="152"/>
      <c r="G98" s="152"/>
      <c r="H98" s="152"/>
      <c r="I98" s="152"/>
      <c r="J98" s="152"/>
      <c r="K98" s="109" t="s">
        <v>130</v>
      </c>
      <c r="L98" s="5216"/>
      <c r="M98" s="3903"/>
      <c r="N98" s="4319"/>
      <c r="O98" s="1367"/>
      <c r="P98" s="109" t="s">
        <v>131</v>
      </c>
      <c r="Q98" s="5216"/>
      <c r="R98" s="3903"/>
      <c r="S98" s="4319"/>
      <c r="T98" s="780"/>
      <c r="U98" s="1182"/>
      <c r="V98" s="37"/>
      <c r="W98" s="37"/>
      <c r="X98" s="37"/>
      <c r="Y98" s="401"/>
      <c r="Z98" s="401"/>
      <c r="AA98" s="401"/>
      <c r="AB98" s="401"/>
      <c r="AC98" s="401"/>
      <c r="AD98" s="401"/>
      <c r="AE98" s="401"/>
    </row>
    <row r="99" spans="1:31" s="1334" customFormat="1" ht="17.25" customHeight="1">
      <c r="A99" s="1048"/>
      <c r="B99" s="734">
        <v>12</v>
      </c>
      <c r="C99" s="99" t="s">
        <v>476</v>
      </c>
      <c r="D99" s="99"/>
      <c r="E99" s="152"/>
      <c r="F99" s="152"/>
      <c r="G99" s="152"/>
      <c r="H99" s="152"/>
      <c r="I99" s="152"/>
      <c r="J99" s="152"/>
      <c r="K99" s="125"/>
      <c r="L99" s="1331">
        <f>IF(L98="",0,L98)</f>
        <v>0</v>
      </c>
      <c r="M99" s="1331"/>
      <c r="N99" s="1331"/>
      <c r="O99" s="1331"/>
      <c r="P99" s="125"/>
      <c r="Q99" s="1331">
        <f>IF(Q98="",0,Q98)</f>
        <v>0</v>
      </c>
      <c r="R99" s="1331"/>
      <c r="S99" s="1331"/>
      <c r="T99" s="1332"/>
      <c r="U99" s="1333"/>
      <c r="V99" s="37"/>
      <c r="W99" s="37"/>
      <c r="X99" s="178"/>
      <c r="Y99" s="401"/>
      <c r="Z99" s="401"/>
      <c r="AA99" s="401"/>
      <c r="AB99" s="401"/>
      <c r="AC99" s="185"/>
      <c r="AD99" s="185"/>
      <c r="AE99" s="185"/>
    </row>
    <row r="100" spans="1:31" s="5" customFormat="1" ht="12.75" customHeight="1">
      <c r="A100" s="942"/>
      <c r="B100" s="98"/>
      <c r="C100" s="99" t="s">
        <v>477</v>
      </c>
      <c r="D100" s="99"/>
      <c r="E100" s="152"/>
      <c r="F100" s="152"/>
      <c r="G100" s="152"/>
      <c r="H100" s="152"/>
      <c r="I100" s="152"/>
      <c r="J100" s="152"/>
      <c r="K100" s="177"/>
      <c r="L100" s="105"/>
      <c r="M100" s="105"/>
      <c r="N100" s="105"/>
      <c r="O100" s="105"/>
      <c r="P100" s="100"/>
      <c r="Q100" s="94"/>
      <c r="R100" s="94"/>
      <c r="S100" s="94"/>
      <c r="T100" s="102"/>
      <c r="U100" s="1114"/>
      <c r="V100" s="37"/>
      <c r="W100" s="37"/>
      <c r="X100" s="178"/>
      <c r="Y100" s="401"/>
      <c r="Z100" s="401"/>
      <c r="AA100" s="401"/>
      <c r="AB100" s="401"/>
      <c r="AC100" s="401"/>
      <c r="AD100" s="401"/>
      <c r="AE100" s="401"/>
    </row>
    <row r="101" spans="1:31">
      <c r="A101" s="942"/>
      <c r="B101" s="98"/>
      <c r="C101" s="2975" t="s">
        <v>1809</v>
      </c>
      <c r="D101" s="99"/>
      <c r="E101" s="152"/>
      <c r="F101" s="152"/>
      <c r="G101" s="152"/>
      <c r="H101" s="152"/>
      <c r="I101" s="152"/>
      <c r="J101" s="152"/>
      <c r="K101" s="177"/>
      <c r="L101" s="105"/>
      <c r="M101" s="105"/>
      <c r="N101" s="105"/>
      <c r="O101" s="105"/>
      <c r="P101" s="100"/>
      <c r="Q101" s="94"/>
      <c r="R101" s="94"/>
      <c r="S101" s="94"/>
      <c r="T101" s="102"/>
      <c r="U101" s="1114"/>
      <c r="V101" s="37"/>
      <c r="W101" s="117"/>
      <c r="X101" s="1073"/>
      <c r="Y101" s="117"/>
      <c r="Z101" s="117"/>
      <c r="AA101" s="1073"/>
      <c r="AB101" s="942"/>
      <c r="AC101" s="401"/>
      <c r="AD101" s="401"/>
      <c r="AE101" s="401"/>
    </row>
    <row r="102" spans="1:31">
      <c r="A102" s="942"/>
      <c r="B102" s="98"/>
      <c r="C102" s="99" t="s">
        <v>478</v>
      </c>
      <c r="D102" s="99"/>
      <c r="E102" s="146"/>
      <c r="F102" s="146"/>
      <c r="G102" s="146"/>
      <c r="H102" s="146"/>
      <c r="I102" s="146"/>
      <c r="J102" s="146"/>
      <c r="K102" s="109" t="s">
        <v>132</v>
      </c>
      <c r="L102" s="5222">
        <f>IF(X102&lt;&gt;"",X102,IF(OR(LEFT(G96,4)="STOP",LEFT(L38,2)="No"),"",MIN(L68,I90,L99)))</f>
        <v>0</v>
      </c>
      <c r="M102" s="5223"/>
      <c r="N102" s="5223"/>
      <c r="O102" s="948"/>
      <c r="P102" s="109" t="s">
        <v>133</v>
      </c>
      <c r="Q102" s="5222" t="str">
        <f>IF(AA102&lt;&gt;"",AA102,IF(OR(LEFT(G96,4)="STOP",Q68=""),"",IF(LEFT(Q38,2)="No","",MIN(Q68,I90,Q99))))</f>
        <v/>
      </c>
      <c r="R102" s="5223"/>
      <c r="S102" s="5223"/>
      <c r="T102" s="396"/>
      <c r="U102" s="1181"/>
      <c r="V102" s="37"/>
      <c r="W102" s="117"/>
      <c r="X102" s="1302"/>
      <c r="Y102" s="117"/>
      <c r="Z102" s="117"/>
      <c r="AA102" s="1302"/>
      <c r="AB102" s="942"/>
      <c r="AC102" s="401"/>
      <c r="AD102" s="401"/>
      <c r="AE102" s="401"/>
    </row>
    <row r="103" spans="1:31" ht="13.5" thickBot="1">
      <c r="A103" s="942"/>
      <c r="B103" s="111"/>
      <c r="C103" s="112"/>
      <c r="D103" s="112"/>
      <c r="E103" s="113"/>
      <c r="F103" s="113"/>
      <c r="G103" s="113"/>
      <c r="H103" s="113"/>
      <c r="I103" s="113"/>
      <c r="J103" s="113"/>
      <c r="K103" s="114"/>
      <c r="L103" s="113"/>
      <c r="M103" s="113"/>
      <c r="N103" s="113"/>
      <c r="O103" s="113"/>
      <c r="P103" s="114"/>
      <c r="Q103" s="113"/>
      <c r="R103" s="113"/>
      <c r="S103" s="113"/>
      <c r="T103" s="115"/>
      <c r="U103" s="1114"/>
      <c r="V103" s="37"/>
      <c r="W103" s="117"/>
      <c r="X103" s="1073"/>
      <c r="Y103" s="117"/>
      <c r="Z103" s="117"/>
      <c r="AA103" s="1073"/>
      <c r="AB103" s="942"/>
      <c r="AC103" s="401"/>
      <c r="AD103" s="401"/>
      <c r="AE103" s="401"/>
    </row>
    <row r="104" spans="1:31">
      <c r="A104" s="942"/>
      <c r="B104" s="735"/>
      <c r="C104" s="179"/>
      <c r="D104" s="179"/>
      <c r="E104" s="180"/>
      <c r="F104" s="180"/>
      <c r="G104" s="180"/>
      <c r="H104" s="181"/>
      <c r="I104" s="178"/>
      <c r="J104" s="178"/>
      <c r="K104" s="181"/>
      <c r="L104" s="178"/>
      <c r="M104" s="178"/>
      <c r="N104" s="178"/>
      <c r="O104" s="178"/>
      <c r="P104" s="178"/>
      <c r="Q104" s="94"/>
      <c r="R104" s="94"/>
      <c r="S104" s="94"/>
      <c r="T104" s="102"/>
      <c r="U104" s="1114"/>
      <c r="V104" s="37"/>
      <c r="W104" s="37"/>
      <c r="X104" s="37"/>
      <c r="Y104" s="401"/>
      <c r="Z104" s="401"/>
      <c r="AA104" s="401"/>
      <c r="AB104" s="401"/>
      <c r="AC104" s="401"/>
      <c r="AD104" s="401"/>
      <c r="AE104" s="401"/>
    </row>
    <row r="105" spans="1:31" ht="15.75">
      <c r="A105" s="942"/>
      <c r="B105" s="736"/>
      <c r="C105" s="179"/>
      <c r="D105" s="179"/>
      <c r="E105" s="180"/>
      <c r="F105" s="180"/>
      <c r="G105" s="180"/>
      <c r="H105" s="181"/>
      <c r="I105" s="178"/>
      <c r="J105" s="178"/>
      <c r="K105" s="182" t="s">
        <v>699</v>
      </c>
      <c r="L105" s="5219">
        <f>IF(AND(L102="",Q102=""),"",IF(Q102="",SUM(L102),SUM(L102,Q102)))</f>
        <v>0</v>
      </c>
      <c r="M105" s="5220"/>
      <c r="N105" s="5221"/>
      <c r="O105" s="948"/>
      <c r="P105" s="94"/>
      <c r="Q105" s="94"/>
      <c r="R105" s="94"/>
      <c r="S105" s="94"/>
      <c r="T105" s="102"/>
      <c r="U105" s="1114"/>
      <c r="V105" s="37"/>
      <c r="W105" s="37"/>
      <c r="X105" s="401"/>
      <c r="Y105" s="401"/>
      <c r="Z105" s="401"/>
      <c r="AA105" s="401"/>
      <c r="AB105" s="401"/>
      <c r="AC105" s="401"/>
      <c r="AD105" s="401"/>
      <c r="AE105" s="401"/>
    </row>
    <row r="106" spans="1:31" ht="16.5" thickBot="1">
      <c r="A106" s="942"/>
      <c r="B106" s="737"/>
      <c r="C106" s="184"/>
      <c r="D106" s="184"/>
      <c r="E106" s="157"/>
      <c r="F106" s="157"/>
      <c r="G106" s="157"/>
      <c r="H106" s="114"/>
      <c r="I106" s="113"/>
      <c r="J106" s="113"/>
      <c r="K106" s="407"/>
      <c r="L106" s="408"/>
      <c r="M106" s="408"/>
      <c r="N106" s="408"/>
      <c r="O106" s="408"/>
      <c r="P106" s="113"/>
      <c r="Q106" s="113"/>
      <c r="R106" s="113"/>
      <c r="S106" s="113"/>
      <c r="T106" s="115"/>
      <c r="U106" s="1114"/>
      <c r="V106" s="37"/>
      <c r="W106" s="37"/>
      <c r="X106" s="401"/>
      <c r="Y106" s="401"/>
      <c r="Z106" s="401"/>
      <c r="AA106" s="401"/>
      <c r="AB106" s="401"/>
      <c r="AC106" s="401"/>
      <c r="AD106" s="401"/>
      <c r="AE106" s="401"/>
    </row>
    <row r="107" spans="1:31">
      <c r="A107" s="942"/>
      <c r="B107" s="942"/>
      <c r="C107" s="942"/>
      <c r="D107" s="942"/>
      <c r="E107" s="942"/>
      <c r="F107" s="942"/>
      <c r="G107" s="942"/>
      <c r="H107" s="942"/>
      <c r="I107" s="942"/>
      <c r="J107" s="942"/>
      <c r="K107" s="942"/>
      <c r="L107" s="942"/>
      <c r="M107" s="942"/>
      <c r="N107" s="942"/>
      <c r="O107" s="942"/>
      <c r="P107" s="942"/>
      <c r="Q107" s="942"/>
      <c r="R107" s="942"/>
      <c r="S107" s="942"/>
      <c r="T107" s="942"/>
      <c r="U107" s="942"/>
      <c r="V107" s="401"/>
      <c r="W107" s="401"/>
      <c r="X107" s="401"/>
      <c r="Y107" s="401"/>
      <c r="Z107" s="401"/>
      <c r="AA107" s="401"/>
      <c r="AB107" s="401"/>
      <c r="AC107" s="401"/>
      <c r="AD107" s="401"/>
      <c r="AE107" s="401"/>
    </row>
    <row r="108" spans="1:31">
      <c r="A108" s="401"/>
      <c r="B108" s="401"/>
      <c r="C108" s="401"/>
      <c r="D108" s="401"/>
      <c r="E108" s="401"/>
      <c r="F108" s="401"/>
      <c r="G108" s="401"/>
      <c r="H108" s="401"/>
      <c r="I108" s="401"/>
      <c r="J108" s="401"/>
      <c r="K108" s="401"/>
      <c r="L108" s="401"/>
      <c r="M108" s="401"/>
      <c r="N108" s="401"/>
      <c r="O108" s="401"/>
      <c r="P108" s="401"/>
      <c r="Q108" s="401"/>
      <c r="R108" s="401"/>
      <c r="S108" s="401"/>
      <c r="T108" s="401"/>
      <c r="U108" s="401"/>
      <c r="V108" s="401"/>
      <c r="W108" s="401"/>
      <c r="X108" s="401"/>
      <c r="Y108" s="401"/>
      <c r="Z108" s="401"/>
      <c r="AA108" s="401"/>
      <c r="AB108" s="401"/>
      <c r="AC108" s="401"/>
      <c r="AD108" s="401"/>
      <c r="AE108" s="401"/>
    </row>
    <row r="109" spans="1:31">
      <c r="A109" s="401"/>
      <c r="B109" s="401"/>
      <c r="C109" s="401"/>
      <c r="D109" s="401"/>
      <c r="E109" s="401"/>
      <c r="F109" s="401"/>
      <c r="G109" s="401"/>
      <c r="H109" s="401"/>
      <c r="I109" s="401"/>
      <c r="J109" s="401"/>
      <c r="K109" s="401"/>
      <c r="L109" s="401"/>
      <c r="M109" s="401"/>
      <c r="N109" s="401"/>
      <c r="O109" s="401"/>
      <c r="P109" s="401"/>
      <c r="Q109" s="401"/>
      <c r="R109" s="401"/>
      <c r="S109" s="401"/>
      <c r="T109" s="401"/>
      <c r="U109" s="401"/>
      <c r="V109" s="401"/>
      <c r="W109" s="401"/>
      <c r="X109" s="401"/>
      <c r="Y109" s="401"/>
      <c r="Z109" s="401"/>
      <c r="AA109" s="401"/>
      <c r="AB109" s="401"/>
      <c r="AC109" s="401"/>
      <c r="AD109" s="401"/>
      <c r="AE109" s="401"/>
    </row>
  </sheetData>
  <sheetProtection password="F07E" sheet="1" objects="1" scenarios="1"/>
  <mergeCells count="27">
    <mergeCell ref="I30:J30"/>
    <mergeCell ref="I34:J34"/>
    <mergeCell ref="Q62:S62"/>
    <mergeCell ref="Q63:S63"/>
    <mergeCell ref="Q51:S51"/>
    <mergeCell ref="Q49:S49"/>
    <mergeCell ref="L50:N50"/>
    <mergeCell ref="L25:N25"/>
    <mergeCell ref="L35:N35"/>
    <mergeCell ref="L62:N62"/>
    <mergeCell ref="L63:N63"/>
    <mergeCell ref="L48:N48"/>
    <mergeCell ref="Q25:S25"/>
    <mergeCell ref="Q35:S35"/>
    <mergeCell ref="Q48:S48"/>
    <mergeCell ref="Q68:S68"/>
    <mergeCell ref="Q50:S50"/>
    <mergeCell ref="I90:J90"/>
    <mergeCell ref="I89:J89"/>
    <mergeCell ref="W32:Y32"/>
    <mergeCell ref="L105:N105"/>
    <mergeCell ref="L98:N98"/>
    <mergeCell ref="Q98:S98"/>
    <mergeCell ref="Q102:S102"/>
    <mergeCell ref="L102:N102"/>
    <mergeCell ref="L68:N68"/>
    <mergeCell ref="I79:J79"/>
  </mergeCells>
  <phoneticPr fontId="12" type="noConversion"/>
  <conditionalFormatting sqref="W23 W25">
    <cfRule type="expression" dxfId="107" priority="26" stopIfTrue="1">
      <formula>IF(File_Marr_Sep&lt;&gt;"",1,0)</formula>
    </cfRule>
  </conditionalFormatting>
  <conditionalFormatting sqref="F3:F5">
    <cfRule type="expression" dxfId="106" priority="27" stopIfTrue="1">
      <formula>IF(OR(YourAgeDecimal&gt;70.5,SpouseAgeDecimal&gt;70.5),1,0)</formula>
    </cfRule>
  </conditionalFormatting>
  <conditionalFormatting sqref="E3:E5">
    <cfRule type="expression" dxfId="105" priority="28" stopIfTrue="1">
      <formula>IF(OR(AND(YourAge&lt;&gt;"",YourAgeDecimal&gt;70.5),AND(SpouseAge&lt;&gt;"",SpouseAgeDecimal&gt;70.5)),1,0)</formula>
    </cfRule>
  </conditionalFormatting>
  <conditionalFormatting sqref="M4">
    <cfRule type="expression" dxfId="104" priority="25" stopIfTrue="1">
      <formula>IF(OR(AND(YourAge&lt;&gt;"",YourAgeDecimal&gt;70.5),AND(SpouseAge&lt;&gt;"",SpouseAgeDecimal&gt;70.5)),1,0)</formula>
    </cfRule>
  </conditionalFormatting>
  <conditionalFormatting sqref="P14">
    <cfRule type="expression" dxfId="103" priority="23">
      <formula>IF(NoColor,1,0)</formula>
    </cfRule>
  </conditionalFormatting>
  <conditionalFormatting sqref="I30:J30">
    <cfRule type="expression" dxfId="102" priority="22">
      <formula>IF(NoColor,1,0)</formula>
    </cfRule>
  </conditionalFormatting>
  <conditionalFormatting sqref="I89:J89">
    <cfRule type="expression" dxfId="101" priority="21">
      <formula>IF(NoColor,1,0)</formula>
    </cfRule>
  </conditionalFormatting>
  <conditionalFormatting sqref="L98:M98">
    <cfRule type="expression" dxfId="100" priority="20">
      <formula>IF(NoColor,1,0)</formula>
    </cfRule>
  </conditionalFormatting>
  <conditionalFormatting sqref="Q98:R98">
    <cfRule type="expression" dxfId="99" priority="19">
      <formula>IF(NoColor,1,0)</formula>
    </cfRule>
  </conditionalFormatting>
  <conditionalFormatting sqref="R14">
    <cfRule type="expression" dxfId="98" priority="17">
      <formula>IF(NoColor,1,0)</formula>
    </cfRule>
  </conditionalFormatting>
  <conditionalFormatting sqref="L25:N25">
    <cfRule type="expression" dxfId="97" priority="16">
      <formula>IF(NoColor,1,0)</formula>
    </cfRule>
  </conditionalFormatting>
  <conditionalFormatting sqref="L35:N35">
    <cfRule type="expression" dxfId="96" priority="15">
      <formula>IF(NoColor,1,0)</formula>
    </cfRule>
  </conditionalFormatting>
  <conditionalFormatting sqref="L48:N48">
    <cfRule type="expression" dxfId="95" priority="14">
      <formula>IF(NoColor,1,0)</formula>
    </cfRule>
  </conditionalFormatting>
  <conditionalFormatting sqref="I34:J34">
    <cfRule type="expression" dxfId="94" priority="13">
      <formula>IF(NoColor,1,0)</formula>
    </cfRule>
  </conditionalFormatting>
  <conditionalFormatting sqref="Q25:S25">
    <cfRule type="expression" dxfId="93" priority="12">
      <formula>IF(NoColor,1,0)</formula>
    </cfRule>
  </conditionalFormatting>
  <conditionalFormatting sqref="Q35:S35">
    <cfRule type="expression" dxfId="92" priority="11">
      <formula>IF(NoColor,1,0)</formula>
    </cfRule>
  </conditionalFormatting>
  <conditionalFormatting sqref="Q48:S48">
    <cfRule type="expression" dxfId="91" priority="10">
      <formula>IF(NoColor,1,0)</formula>
    </cfRule>
  </conditionalFormatting>
  <conditionalFormatting sqref="Q68:S68">
    <cfRule type="expression" dxfId="90" priority="9">
      <formula>IF(NoColor,1,0)</formula>
    </cfRule>
  </conditionalFormatting>
  <conditionalFormatting sqref="Q102:S102">
    <cfRule type="expression" dxfId="89" priority="8">
      <formula>IF(NoColor,1,0)</formula>
    </cfRule>
  </conditionalFormatting>
  <conditionalFormatting sqref="L68:N68">
    <cfRule type="expression" dxfId="88" priority="7">
      <formula>IF(NoColor,1,0)</formula>
    </cfRule>
  </conditionalFormatting>
  <conditionalFormatting sqref="L102:N102">
    <cfRule type="expression" dxfId="87" priority="6">
      <formula>IF(NoColor,1,0)</formula>
    </cfRule>
  </conditionalFormatting>
  <conditionalFormatting sqref="L105:N105">
    <cfRule type="expression" dxfId="86" priority="5">
      <formula>IF(NoColor,1,0)</formula>
    </cfRule>
  </conditionalFormatting>
  <conditionalFormatting sqref="I79:J79">
    <cfRule type="expression" dxfId="85" priority="4">
      <formula>IF(NoColor,1,0)</formula>
    </cfRule>
  </conditionalFormatting>
  <conditionalFormatting sqref="I90:J90">
    <cfRule type="expression" dxfId="84" priority="3">
      <formula>IF(NoColor,1,0)</formula>
    </cfRule>
  </conditionalFormatting>
  <conditionalFormatting sqref="K13">
    <cfRule type="expression" dxfId="83" priority="2">
      <formula>IF(NoColor,1,0)</formula>
    </cfRule>
  </conditionalFormatting>
  <conditionalFormatting sqref="M13">
    <cfRule type="expression" dxfId="82" priority="1">
      <formula>IF(NoColor,1,0)</formula>
    </cfRule>
  </conditionalFormatting>
  <pageMargins left="0.39" right="0" top="0.43" bottom="0" header="0.31" footer="0"/>
  <pageSetup scale="79" fitToHeight="0" orientation="portrait" horizontalDpi="300" verticalDpi="300" r:id="rId1"/>
  <headerFooter alignWithMargins="0"/>
  <rowBreaks count="1" manualBreakCount="1">
    <brk id="58" min="1" max="19"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AN64"/>
  <sheetViews>
    <sheetView zoomScaleNormal="100" workbookViewId="0">
      <selection activeCell="L23" sqref="L23"/>
    </sheetView>
  </sheetViews>
  <sheetFormatPr defaultColWidth="9.140625" defaultRowHeight="12.75"/>
  <cols>
    <col min="1" max="1" width="2.5703125" style="68" customWidth="1"/>
    <col min="2" max="2" width="1.7109375" style="68" customWidth="1"/>
    <col min="3" max="3" width="2.85546875" style="68" customWidth="1"/>
    <col min="4" max="4" width="2.28515625" style="68" customWidth="1"/>
    <col min="5" max="5" width="6" style="68" customWidth="1"/>
    <col min="6" max="6" width="9" style="68" customWidth="1"/>
    <col min="7" max="7" width="4" style="68" customWidth="1"/>
    <col min="8" max="8" width="27.85546875" style="68" customWidth="1"/>
    <col min="9" max="9" width="4" style="68" customWidth="1"/>
    <col min="10" max="10" width="15.7109375" style="68" customWidth="1"/>
    <col min="11" max="11" width="4" style="68" customWidth="1"/>
    <col min="12" max="12" width="15.7109375" style="68" customWidth="1"/>
    <col min="13" max="13" width="4" style="68" customWidth="1"/>
    <col min="14" max="14" width="15.7109375" style="68" customWidth="1"/>
    <col min="15" max="15" width="1.28515625" style="68" customWidth="1"/>
    <col min="16" max="17" width="2.28515625" style="68" customWidth="1"/>
    <col min="18" max="18" width="13.85546875" style="68" customWidth="1"/>
    <col min="19" max="19" width="3" style="68" customWidth="1"/>
    <col min="20" max="28" width="11.85546875" style="68" hidden="1" customWidth="1"/>
    <col min="29" max="16384" width="9.140625" style="68"/>
  </cols>
  <sheetData>
    <row r="1" spans="1:40" ht="13.5" customHeight="1">
      <c r="A1" s="117"/>
      <c r="B1" s="117"/>
      <c r="C1" s="117"/>
      <c r="D1" s="117"/>
      <c r="E1" s="117"/>
      <c r="F1" s="117"/>
      <c r="G1" s="117"/>
      <c r="H1" s="117"/>
      <c r="I1" s="117"/>
      <c r="J1" s="1232"/>
      <c r="K1" s="1232"/>
      <c r="L1" s="117"/>
      <c r="M1" s="117"/>
      <c r="N1" s="117"/>
      <c r="O1" s="117"/>
      <c r="P1" s="117"/>
      <c r="Q1" s="37"/>
      <c r="R1" s="1864"/>
      <c r="S1" s="1864"/>
      <c r="AC1" s="37"/>
      <c r="AD1" s="37"/>
      <c r="AE1" s="37"/>
      <c r="AF1" s="37"/>
      <c r="AG1" s="37"/>
      <c r="AH1" s="37"/>
      <c r="AI1" s="37"/>
      <c r="AJ1" s="37"/>
      <c r="AK1" s="37"/>
      <c r="AL1" s="37"/>
      <c r="AM1" s="37"/>
      <c r="AN1" s="37"/>
    </row>
    <row r="2" spans="1:40" ht="27.75" customHeight="1" thickBot="1">
      <c r="A2" s="117"/>
      <c r="B2" s="37"/>
      <c r="C2" s="37"/>
      <c r="D2" s="37"/>
      <c r="E2" s="37"/>
      <c r="F2" s="37"/>
      <c r="G2" s="37"/>
      <c r="H2" s="37"/>
      <c r="I2" s="37"/>
      <c r="J2" s="597"/>
      <c r="K2" s="597"/>
      <c r="L2" s="37"/>
      <c r="M2" s="37"/>
      <c r="N2" s="37"/>
      <c r="O2" s="37"/>
      <c r="P2" s="117"/>
      <c r="Q2" s="37"/>
      <c r="R2" s="1864"/>
      <c r="S2" s="1864"/>
      <c r="AC2" s="37"/>
      <c r="AD2" s="37"/>
      <c r="AE2" s="37"/>
      <c r="AF2" s="37"/>
      <c r="AG2" s="37"/>
      <c r="AH2" s="37"/>
      <c r="AI2" s="37"/>
      <c r="AJ2" s="37"/>
      <c r="AK2" s="37"/>
      <c r="AL2" s="37"/>
      <c r="AM2" s="37"/>
      <c r="AN2" s="37"/>
    </row>
    <row r="3" spans="1:40" ht="16.5" customHeight="1" thickBot="1">
      <c r="A3" s="135"/>
      <c r="B3" s="872" t="s">
        <v>232</v>
      </c>
      <c r="C3" s="872"/>
      <c r="D3" s="471"/>
      <c r="E3" s="55"/>
      <c r="F3" s="55"/>
      <c r="G3" s="55"/>
      <c r="H3" s="55"/>
      <c r="I3" s="55"/>
      <c r="J3" s="187"/>
      <c r="K3" s="621"/>
      <c r="L3" s="511"/>
      <c r="M3" s="1235" t="s">
        <v>354</v>
      </c>
      <c r="N3" s="622"/>
      <c r="O3" s="622"/>
      <c r="P3" s="1222"/>
      <c r="Q3" s="596"/>
      <c r="R3" s="1864"/>
      <c r="S3" s="1864"/>
      <c r="AC3" s="792" t="b">
        <f>AND(SchD_NotReqd="",OR(AND(SchDLine18&lt;&gt;"",SchDLine18&gt;0),AND(SchDLine19&lt;&gt;"",SchDLine19&gt;0)))</f>
        <v>0</v>
      </c>
      <c r="AD3" s="93" t="s">
        <v>328</v>
      </c>
      <c r="AE3" s="48"/>
      <c r="AF3" s="48"/>
      <c r="AG3" s="48"/>
      <c r="AH3" s="48"/>
      <c r="AI3" s="48"/>
      <c r="AJ3" s="48"/>
      <c r="AK3" s="48"/>
      <c r="AL3" s="48"/>
      <c r="AM3" s="139"/>
      <c r="AN3" s="37"/>
    </row>
    <row r="4" spans="1:40" ht="19.5" customHeight="1" thickBot="1">
      <c r="A4" s="117"/>
      <c r="B4" s="1195"/>
      <c r="C4" s="1196" t="s">
        <v>200</v>
      </c>
      <c r="D4" s="762"/>
      <c r="E4" s="48"/>
      <c r="F4" s="46"/>
      <c r="G4" s="1197" t="s">
        <v>625</v>
      </c>
      <c r="H4" s="1671" t="s">
        <v>1620</v>
      </c>
      <c r="I4" s="48"/>
      <c r="J4" s="763"/>
      <c r="K4" s="1198"/>
      <c r="L4" s="48"/>
      <c r="M4" s="48"/>
      <c r="N4" s="1199"/>
      <c r="O4" s="1200"/>
      <c r="P4" s="1222"/>
      <c r="Q4" s="596"/>
      <c r="R4" s="1864"/>
      <c r="S4" s="1864"/>
      <c r="AC4" s="131"/>
      <c r="AD4" s="3033" t="s">
        <v>746</v>
      </c>
      <c r="AE4" s="55"/>
      <c r="AF4" s="55"/>
      <c r="AG4" s="55"/>
      <c r="AH4" s="55"/>
      <c r="AI4" s="55"/>
      <c r="AJ4" s="55"/>
      <c r="AK4" s="55"/>
      <c r="AL4" s="55"/>
      <c r="AM4" s="141"/>
      <c r="AN4" s="37"/>
    </row>
    <row r="5" spans="1:40" ht="14.25" customHeight="1">
      <c r="A5" s="117"/>
      <c r="B5" s="1201"/>
      <c r="C5" s="867"/>
      <c r="D5" s="59"/>
      <c r="E5" s="46"/>
      <c r="F5" s="46"/>
      <c r="G5" s="1197" t="s">
        <v>625</v>
      </c>
      <c r="H5" s="2761" t="s">
        <v>1621</v>
      </c>
      <c r="I5" s="46"/>
      <c r="J5" s="189"/>
      <c r="K5" s="1202"/>
      <c r="L5" s="46"/>
      <c r="M5" s="46"/>
      <c r="N5" s="1203"/>
      <c r="O5" s="1204"/>
      <c r="P5" s="1222"/>
      <c r="Q5" s="596"/>
      <c r="R5" s="1864"/>
      <c r="S5" s="1864"/>
      <c r="AC5" s="1238" t="b">
        <f>OR(S12&lt;&gt;"",AND(NOT(AC3),OR(AC6,AC7,AC9)))</f>
        <v>0</v>
      </c>
      <c r="AD5" s="1236" t="s">
        <v>637</v>
      </c>
      <c r="AE5" s="48"/>
      <c r="AF5" s="48"/>
      <c r="AG5" s="48"/>
      <c r="AH5" s="48"/>
      <c r="AI5" s="48"/>
      <c r="AJ5" s="48"/>
      <c r="AK5" s="48"/>
      <c r="AL5" s="48"/>
      <c r="AM5" s="139"/>
      <c r="AN5" s="37"/>
    </row>
    <row r="6" spans="1:40" ht="15.75" customHeight="1">
      <c r="A6" s="117"/>
      <c r="B6" s="1201"/>
      <c r="C6" s="437"/>
      <c r="D6" s="59"/>
      <c r="E6" s="46"/>
      <c r="F6" s="46"/>
      <c r="G6" s="1197" t="s">
        <v>625</v>
      </c>
      <c r="H6" s="46" t="s">
        <v>670</v>
      </c>
      <c r="I6" s="46"/>
      <c r="J6" s="189"/>
      <c r="K6" s="1202"/>
      <c r="L6" s="46"/>
      <c r="M6" s="46"/>
      <c r="N6" s="1205"/>
      <c r="O6" s="1204"/>
      <c r="P6" s="1222"/>
      <c r="Q6" s="596"/>
      <c r="R6" s="1864"/>
      <c r="S6" s="1864"/>
      <c r="AC6" s="88" t="b">
        <f>IF(Qualified_Dividends&lt;&gt;"",TRUE,FALSE)</f>
        <v>0</v>
      </c>
      <c r="AD6" s="1240" t="s">
        <v>277</v>
      </c>
      <c r="AE6" s="380"/>
      <c r="AF6" s="46"/>
      <c r="AG6" s="46"/>
      <c r="AH6" s="46"/>
      <c r="AI6" s="46"/>
      <c r="AJ6" s="46"/>
      <c r="AK6" s="46"/>
      <c r="AL6" s="46"/>
      <c r="AM6" s="140"/>
      <c r="AN6" s="37"/>
    </row>
    <row r="7" spans="1:40" ht="13.5" customHeight="1">
      <c r="A7" s="117"/>
      <c r="B7" s="1201"/>
      <c r="C7" s="437"/>
      <c r="D7" s="59"/>
      <c r="E7" s="46"/>
      <c r="F7" s="46"/>
      <c r="G7" s="1197"/>
      <c r="H7" s="46" t="s">
        <v>751</v>
      </c>
      <c r="I7" s="46"/>
      <c r="J7" s="1206"/>
      <c r="K7" s="1202"/>
      <c r="L7" s="1233"/>
      <c r="M7" s="46"/>
      <c r="N7" s="1138" t="str">
        <f>IF(S12&lt;&gt;"","",IF(AC3,"Use Schedule D Tax Worksheet",IF(NOT(CGTW),"Criteria for using this worksheet are NOT met.","")))</f>
        <v>Criteria for using this worksheet are NOT met.</v>
      </c>
      <c r="O7" s="1204"/>
      <c r="P7" s="1222"/>
      <c r="Q7" s="596"/>
      <c r="R7" s="1864"/>
      <c r="S7" s="1864"/>
      <c r="AC7" s="88" t="b">
        <f>AND(SchD_NotReqd&lt;&gt;"",'1040'!AL46&gt;0)</f>
        <v>0</v>
      </c>
      <c r="AD7" s="1239" t="s">
        <v>276</v>
      </c>
      <c r="AE7" s="380"/>
      <c r="AF7" s="46"/>
      <c r="AG7" s="46"/>
      <c r="AH7" s="46"/>
      <c r="AI7" s="46"/>
      <c r="AJ7" s="46"/>
      <c r="AK7" s="46"/>
      <c r="AL7" s="46"/>
      <c r="AM7" s="140"/>
      <c r="AN7" s="37"/>
    </row>
    <row r="8" spans="1:40" ht="6" customHeight="1" thickBot="1">
      <c r="A8" s="1222"/>
      <c r="B8" s="1207"/>
      <c r="C8" s="765"/>
      <c r="D8" s="765"/>
      <c r="E8" s="765"/>
      <c r="F8" s="765"/>
      <c r="G8" s="1208"/>
      <c r="H8" s="765"/>
      <c r="I8" s="765"/>
      <c r="J8" s="764"/>
      <c r="K8" s="764"/>
      <c r="L8" s="765"/>
      <c r="M8" s="765"/>
      <c r="N8" s="765"/>
      <c r="O8" s="1209"/>
      <c r="P8" s="1222"/>
      <c r="Q8" s="596"/>
      <c r="R8" s="1864"/>
      <c r="S8" s="1864"/>
      <c r="AC8" s="1237"/>
      <c r="AD8" s="414"/>
      <c r="AE8" s="414"/>
      <c r="AF8" s="414"/>
      <c r="AG8" s="414"/>
      <c r="AH8" s="414"/>
      <c r="AI8" s="414"/>
      <c r="AJ8" s="414"/>
      <c r="AK8" s="414"/>
      <c r="AL8" s="46"/>
      <c r="AM8" s="140"/>
      <c r="AN8" s="37"/>
    </row>
    <row r="9" spans="1:40" ht="16.5" customHeight="1">
      <c r="A9" s="117"/>
      <c r="B9" s="1511"/>
      <c r="C9" s="763" t="s">
        <v>506</v>
      </c>
      <c r="D9" s="763"/>
      <c r="E9" s="1210" t="str">
        <f>"Enter the amount from Form 1040, line "&amp;'1040'!D80&amp;". However, if you are filing Form"</f>
        <v>Enter the amount from Form 1040, line 43. However, if you are filing Form</v>
      </c>
      <c r="F9" s="1210"/>
      <c r="G9" s="766"/>
      <c r="H9" s="188"/>
      <c r="I9" s="89"/>
      <c r="J9" s="763"/>
      <c r="K9" s="1242"/>
      <c r="L9" s="1242"/>
      <c r="M9" s="1242"/>
      <c r="N9" s="1242"/>
      <c r="O9" s="1513"/>
      <c r="P9" s="1222"/>
      <c r="Q9" s="596"/>
      <c r="R9" s="2293" t="s">
        <v>152</v>
      </c>
      <c r="S9" s="1864"/>
      <c r="AC9" s="88" t="b">
        <f>AND(SchD_NotReqd="",SchDLine15&gt;0,SchDLine16&gt;0)</f>
        <v>0</v>
      </c>
      <c r="AD9" s="1239" t="s">
        <v>326</v>
      </c>
      <c r="AE9" s="380"/>
      <c r="AF9" s="46"/>
      <c r="AG9" s="46"/>
      <c r="AH9" s="46"/>
      <c r="AI9" s="46"/>
      <c r="AJ9" s="46"/>
      <c r="AK9" s="46"/>
      <c r="AL9" s="46"/>
      <c r="AM9" s="140"/>
      <c r="AN9" s="37"/>
    </row>
    <row r="10" spans="1:40" ht="13.5" customHeight="1" thickBot="1">
      <c r="A10" s="117"/>
      <c r="B10" s="1201"/>
      <c r="C10" s="189"/>
      <c r="D10" s="189"/>
      <c r="E10" s="413" t="s">
        <v>613</v>
      </c>
      <c r="F10" s="413"/>
      <c r="G10" s="595"/>
      <c r="H10" s="89"/>
      <c r="I10" s="89"/>
      <c r="J10" s="189"/>
      <c r="K10" s="414"/>
      <c r="L10" s="414"/>
      <c r="M10" s="414"/>
      <c r="N10" s="414"/>
      <c r="O10" s="1512"/>
      <c r="P10" s="1222"/>
      <c r="Q10" s="596"/>
      <c r="R10" s="2293" t="s">
        <v>706</v>
      </c>
      <c r="S10" s="1864"/>
      <c r="AC10" s="131"/>
      <c r="AD10" s="55"/>
      <c r="AE10" s="55"/>
      <c r="AF10" s="55"/>
      <c r="AG10" s="55"/>
      <c r="AH10" s="55"/>
      <c r="AI10" s="55"/>
      <c r="AJ10" s="55"/>
      <c r="AK10" s="55"/>
      <c r="AL10" s="55"/>
      <c r="AM10" s="141"/>
      <c r="AN10" s="37"/>
    </row>
    <row r="11" spans="1:40" ht="13.5" customHeight="1">
      <c r="A11" s="117"/>
      <c r="B11" s="1201"/>
      <c r="C11" s="189"/>
      <c r="D11" s="189"/>
      <c r="E11" s="413" t="s">
        <v>1267</v>
      </c>
      <c r="F11" s="413"/>
      <c r="G11" s="595"/>
      <c r="H11" s="89"/>
      <c r="I11" s="89"/>
      <c r="J11" s="617" t="s">
        <v>1268</v>
      </c>
      <c r="K11" s="189" t="str">
        <f>C9</f>
        <v>1.</v>
      </c>
      <c r="L11" s="3001" t="str">
        <f>IF(R11&lt;&gt;"",R11,IF(NOT(CGTW),"",Taxable_Inc))</f>
        <v/>
      </c>
      <c r="M11" s="89"/>
      <c r="N11" s="89"/>
      <c r="O11" s="1211"/>
      <c r="P11" s="1222"/>
      <c r="Q11" s="596"/>
      <c r="R11" s="2294"/>
      <c r="S11" s="1864"/>
      <c r="T11" s="37"/>
      <c r="U11" s="37"/>
      <c r="V11" s="37"/>
      <c r="W11" s="37"/>
      <c r="X11" s="37"/>
      <c r="Y11" s="37"/>
      <c r="Z11" s="37"/>
      <c r="AA11" s="37"/>
      <c r="AB11" s="37"/>
      <c r="AC11" s="37"/>
      <c r="AD11" s="37"/>
      <c r="AE11" s="37"/>
      <c r="AF11" s="37"/>
      <c r="AG11" s="37"/>
      <c r="AH11" s="37"/>
      <c r="AI11" s="37"/>
      <c r="AJ11" s="37"/>
      <c r="AK11" s="37"/>
      <c r="AL11" s="37"/>
      <c r="AM11" s="37"/>
      <c r="AN11" s="37"/>
    </row>
    <row r="12" spans="1:40" ht="13.5" customHeight="1">
      <c r="A12" s="117"/>
      <c r="B12" s="1201"/>
      <c r="C12" s="189" t="s">
        <v>0</v>
      </c>
      <c r="D12" s="189"/>
      <c r="E12" s="413" t="s">
        <v>614</v>
      </c>
      <c r="F12" s="413"/>
      <c r="G12" s="595"/>
      <c r="H12" s="189"/>
      <c r="I12" s="189" t="s">
        <v>0</v>
      </c>
      <c r="J12" s="3001" t="str">
        <f>IF(NOT(CGTW),"",Qualified_Dividends)</f>
        <v/>
      </c>
      <c r="K12" s="189"/>
      <c r="L12" s="1212"/>
      <c r="M12" s="89"/>
      <c r="N12" s="89"/>
      <c r="O12" s="1211"/>
      <c r="P12" s="1222"/>
      <c r="Q12" s="596"/>
      <c r="R12" s="1864"/>
      <c r="S12" s="2292"/>
      <c r="T12" s="37"/>
      <c r="U12" s="37"/>
      <c r="V12" s="37"/>
      <c r="W12" s="37"/>
      <c r="X12" s="37"/>
      <c r="Y12" s="37"/>
      <c r="Z12" s="37"/>
      <c r="AA12" s="37"/>
      <c r="AB12" s="37"/>
      <c r="AC12" s="1609" t="s">
        <v>1019</v>
      </c>
      <c r="AD12" s="37"/>
      <c r="AE12" s="37"/>
      <c r="AF12" s="37"/>
      <c r="AG12" s="37"/>
      <c r="AH12" s="37"/>
      <c r="AI12" s="37"/>
      <c r="AJ12" s="37"/>
      <c r="AK12" s="37"/>
      <c r="AL12" s="37"/>
      <c r="AM12" s="37"/>
      <c r="AN12" s="37"/>
    </row>
    <row r="13" spans="1:40" ht="13.5" customHeight="1" thickBot="1">
      <c r="A13" s="117"/>
      <c r="B13" s="1201"/>
      <c r="C13" s="189" t="s">
        <v>1</v>
      </c>
      <c r="D13" s="189"/>
      <c r="E13" s="413" t="s">
        <v>615</v>
      </c>
      <c r="F13" s="413"/>
      <c r="G13" s="595"/>
      <c r="H13" s="189"/>
      <c r="I13" s="189"/>
      <c r="J13" s="1234"/>
      <c r="K13" s="189"/>
      <c r="L13" s="189"/>
      <c r="M13" s="189"/>
      <c r="N13" s="89"/>
      <c r="O13" s="1211"/>
      <c r="P13" s="117"/>
      <c r="Q13" s="596"/>
      <c r="R13" s="1864"/>
      <c r="S13" s="1864"/>
      <c r="T13" s="37"/>
      <c r="U13" s="37"/>
      <c r="V13" s="37"/>
      <c r="W13" s="37"/>
      <c r="X13" s="37"/>
      <c r="Y13" s="37"/>
      <c r="Z13" s="37"/>
      <c r="AA13" s="37"/>
      <c r="AB13" s="37"/>
      <c r="AC13" s="37"/>
      <c r="AD13" s="37"/>
      <c r="AE13" s="37"/>
      <c r="AF13" s="37"/>
      <c r="AG13" s="37"/>
      <c r="AH13" s="37"/>
      <c r="AI13" s="37"/>
      <c r="AJ13" s="37"/>
      <c r="AK13" s="37"/>
      <c r="AL13" s="37"/>
      <c r="AM13" s="37"/>
      <c r="AN13" s="37"/>
    </row>
    <row r="14" spans="1:40" ht="13.5" customHeight="1" thickBot="1">
      <c r="A14" s="117"/>
      <c r="B14" s="1201"/>
      <c r="C14" s="189"/>
      <c r="D14" s="3003" t="str">
        <f>IF(NOT(CGTW),"",IF(OR(SchD_NotReqd&lt;&gt;"",AND(SchDLine15=0,SchDLine16=0)),"","X"))</f>
        <v/>
      </c>
      <c r="E14" s="65" t="s">
        <v>274</v>
      </c>
      <c r="F14" s="413" t="s">
        <v>16</v>
      </c>
      <c r="G14" s="595"/>
      <c r="H14" s="189"/>
      <c r="I14" s="189"/>
      <c r="J14" s="189"/>
      <c r="K14" s="189"/>
      <c r="L14" s="189"/>
      <c r="M14" s="189"/>
      <c r="N14" s="89"/>
      <c r="O14" s="1211"/>
      <c r="P14" s="117"/>
      <c r="Q14" s="596"/>
      <c r="R14" s="1864"/>
      <c r="S14" s="1864"/>
      <c r="T14" s="37"/>
      <c r="U14" s="37" t="str">
        <f>IF(NOT(CGTW),"",IF(D17="X",'1040'!AB46,IF(D14="X",IF(OR(SchDLine15="",SchDLine15=0,SchDLine16="",SchDLine16=0),0,MIN(SchDLine15,SchDLine16)),"")))</f>
        <v/>
      </c>
      <c r="V14" s="37"/>
      <c r="W14" s="37"/>
      <c r="X14" s="37"/>
      <c r="Y14" s="37"/>
      <c r="Z14" s="37"/>
      <c r="AA14" s="37"/>
      <c r="AB14" s="37"/>
      <c r="AC14" s="37"/>
      <c r="AD14" s="37"/>
      <c r="AE14" s="37"/>
      <c r="AF14" s="37"/>
      <c r="AG14" s="37"/>
      <c r="AH14" s="37"/>
      <c r="AI14" s="37"/>
      <c r="AJ14" s="37"/>
      <c r="AK14" s="37"/>
      <c r="AL14" s="37"/>
      <c r="AM14" s="37"/>
      <c r="AN14" s="37"/>
    </row>
    <row r="15" spans="1:40" ht="13.5" customHeight="1">
      <c r="A15" s="117"/>
      <c r="B15" s="1201"/>
      <c r="C15" s="189"/>
      <c r="D15" s="767"/>
      <c r="E15" s="89"/>
      <c r="F15" s="413" t="s">
        <v>1872</v>
      </c>
      <c r="G15" s="370"/>
      <c r="H15" s="189"/>
      <c r="I15" s="189"/>
      <c r="J15" s="189"/>
      <c r="K15" s="189"/>
      <c r="L15" s="189"/>
      <c r="M15" s="189"/>
      <c r="N15" s="89"/>
      <c r="O15" s="1211"/>
      <c r="P15" s="117"/>
      <c r="Q15" s="596"/>
      <c r="R15" s="1864"/>
      <c r="S15" s="1864"/>
      <c r="T15" s="37"/>
      <c r="U15" s="37" t="str">
        <f>IF(NOT(CGTW),"",IF(D14&lt;&gt;"",MAX(MIN(SchDLine15,SchDLine16),0),'1040'!AB46))</f>
        <v/>
      </c>
      <c r="V15" s="37"/>
      <c r="W15" s="37"/>
      <c r="X15" s="37"/>
      <c r="Y15" s="37"/>
      <c r="Z15" s="37"/>
      <c r="AA15" s="37"/>
      <c r="AB15" s="37"/>
      <c r="AC15" s="37"/>
      <c r="AD15" s="37"/>
      <c r="AE15" s="37"/>
      <c r="AF15" s="37"/>
      <c r="AG15" s="37"/>
      <c r="AH15" s="37"/>
      <c r="AI15" s="37"/>
      <c r="AJ15" s="37"/>
      <c r="AK15" s="37"/>
      <c r="AL15" s="37"/>
      <c r="AM15" s="37"/>
      <c r="AN15" s="37"/>
    </row>
    <row r="16" spans="1:40" ht="13.5" customHeight="1" thickBot="1">
      <c r="A16" s="117"/>
      <c r="B16" s="1201"/>
      <c r="C16" s="189"/>
      <c r="D16" s="767"/>
      <c r="E16" s="89"/>
      <c r="F16" s="3064" t="s">
        <v>1873</v>
      </c>
      <c r="G16" s="370"/>
      <c r="H16" s="189"/>
      <c r="I16" s="189" t="s">
        <v>1</v>
      </c>
      <c r="J16" s="3067" t="str">
        <f>IF(NOT(CGTW),"",IF(D17="X",'1040'!AB46,IF(D14="X",IF(OR(SchDLine15="",SchDLine15&lt;=0,SchDLine16="",SchDLine16&lt;=0),0,MIN(SchDLine15,SchDLine16)),"")))</f>
        <v/>
      </c>
      <c r="K16" s="189"/>
      <c r="L16" s="189"/>
      <c r="M16" s="189"/>
      <c r="N16" s="89"/>
      <c r="O16" s="1211"/>
      <c r="P16" s="117"/>
      <c r="Q16" s="596"/>
      <c r="R16" s="1864"/>
      <c r="S16" s="1864"/>
      <c r="T16" s="37"/>
      <c r="U16" s="37"/>
      <c r="V16" s="37"/>
      <c r="W16" s="37"/>
      <c r="X16" s="37"/>
      <c r="Y16" s="37"/>
      <c r="Z16" s="37"/>
      <c r="AA16" s="37"/>
      <c r="AB16" s="37"/>
      <c r="AC16" s="37"/>
      <c r="AD16" s="37"/>
      <c r="AE16" s="37"/>
      <c r="AF16" s="37"/>
      <c r="AG16" s="37"/>
      <c r="AH16" s="37"/>
      <c r="AI16" s="37"/>
      <c r="AJ16" s="37"/>
      <c r="AK16" s="37"/>
      <c r="AL16" s="37"/>
      <c r="AM16" s="37"/>
      <c r="AN16" s="37"/>
    </row>
    <row r="17" spans="1:40" ht="13.5" customHeight="1" thickBot="1">
      <c r="A17" s="117"/>
      <c r="B17" s="1201"/>
      <c r="C17" s="189"/>
      <c r="D17" s="3003" t="str">
        <f>IF(NOT(CGTW),"",IF(OR(SchD_NotReqd&lt;&gt;"",AND(SchDLine15=0,SchDLine16=0)),"X",""))</f>
        <v/>
      </c>
      <c r="E17" s="65" t="s">
        <v>307</v>
      </c>
      <c r="F17" s="413" t="s">
        <v>268</v>
      </c>
      <c r="G17" s="370"/>
      <c r="H17" s="189"/>
      <c r="I17" s="189"/>
      <c r="J17" s="1234"/>
      <c r="K17" s="189"/>
      <c r="L17" s="189"/>
      <c r="M17" s="189"/>
      <c r="N17" s="1212"/>
      <c r="O17" s="1211"/>
      <c r="P17" s="117"/>
      <c r="Q17" s="596"/>
      <c r="R17" s="1864"/>
      <c r="S17" s="1864"/>
      <c r="T17" s="37"/>
      <c r="U17" s="37"/>
      <c r="V17" s="37"/>
      <c r="W17" s="37"/>
      <c r="X17" s="37"/>
      <c r="Y17" s="37"/>
      <c r="Z17" s="37"/>
      <c r="AA17" s="37"/>
      <c r="AB17" s="37"/>
      <c r="AC17" s="37"/>
      <c r="AD17" s="37"/>
      <c r="AE17" s="37"/>
      <c r="AF17" s="37"/>
      <c r="AG17" s="37"/>
      <c r="AH17" s="37"/>
      <c r="AI17" s="37"/>
      <c r="AJ17" s="37"/>
      <c r="AK17" s="37"/>
      <c r="AL17" s="37"/>
      <c r="AM17" s="37"/>
      <c r="AN17" s="37"/>
    </row>
    <row r="18" spans="1:40" ht="13.5" customHeight="1">
      <c r="A18" s="117"/>
      <c r="B18" s="1201"/>
      <c r="C18" s="189" t="s">
        <v>686</v>
      </c>
      <c r="D18" s="370"/>
      <c r="E18" s="89" t="s">
        <v>192</v>
      </c>
      <c r="F18" s="89"/>
      <c r="G18" s="89"/>
      <c r="H18" s="617" t="s">
        <v>1076</v>
      </c>
      <c r="I18" s="189" t="s">
        <v>686</v>
      </c>
      <c r="J18" s="3001" t="str">
        <f>IF(NOT(CGTW),"",SUM(J12,J16))</f>
        <v/>
      </c>
      <c r="K18" s="189"/>
      <c r="L18" s="189"/>
      <c r="M18" s="189"/>
      <c r="N18" s="1212"/>
      <c r="O18" s="1211"/>
      <c r="P18" s="117"/>
      <c r="Q18" s="596"/>
      <c r="R18" s="1864"/>
      <c r="S18" s="1864"/>
      <c r="AC18" s="2295"/>
      <c r="AD18" s="2295"/>
      <c r="AE18" s="2295"/>
      <c r="AF18" s="2295"/>
      <c r="AG18" s="2295"/>
      <c r="AH18" s="2295"/>
      <c r="AI18" s="2295"/>
      <c r="AJ18" s="2295"/>
      <c r="AK18" s="2295"/>
      <c r="AL18" s="2295"/>
      <c r="AM18" s="2295"/>
      <c r="AN18" s="2295"/>
    </row>
    <row r="19" spans="1:40" ht="13.5" customHeight="1">
      <c r="A19" s="117"/>
      <c r="B19" s="1201"/>
      <c r="C19" s="189" t="s">
        <v>54</v>
      </c>
      <c r="D19" s="370"/>
      <c r="E19" s="89" t="s">
        <v>2241</v>
      </c>
      <c r="F19" s="89"/>
      <c r="G19" s="89"/>
      <c r="H19" s="189"/>
      <c r="I19" s="189"/>
      <c r="J19" s="871"/>
      <c r="K19" s="189"/>
      <c r="L19" s="189"/>
      <c r="M19" s="189"/>
      <c r="N19" s="603"/>
      <c r="O19" s="1211"/>
      <c r="P19" s="117"/>
      <c r="Q19" s="596"/>
      <c r="R19" s="1864"/>
      <c r="S19" s="1864"/>
      <c r="AC19" s="2295"/>
      <c r="AD19" s="2295"/>
      <c r="AE19" s="2295"/>
      <c r="AF19" s="2295"/>
      <c r="AG19" s="2295"/>
      <c r="AH19" s="2295"/>
      <c r="AI19" s="2295"/>
      <c r="AJ19" s="2295"/>
      <c r="AK19" s="2295"/>
      <c r="AL19" s="2295"/>
      <c r="AM19" s="2295"/>
      <c r="AN19" s="2295"/>
    </row>
    <row r="20" spans="1:40" ht="13.5" customHeight="1">
      <c r="A20" s="117"/>
      <c r="B20" s="1201"/>
      <c r="C20" s="189"/>
      <c r="D20" s="370"/>
      <c r="E20" s="89" t="s">
        <v>2242</v>
      </c>
      <c r="F20" s="89"/>
      <c r="G20" s="89"/>
      <c r="H20" s="189"/>
      <c r="I20" s="189"/>
      <c r="J20" s="870"/>
      <c r="K20" s="189"/>
      <c r="L20" s="189"/>
      <c r="M20" s="189"/>
      <c r="N20" s="603"/>
      <c r="O20" s="1211"/>
      <c r="P20" s="117"/>
      <c r="Q20" s="596"/>
      <c r="R20" s="1864"/>
      <c r="S20" s="1864"/>
      <c r="AC20" s="2295"/>
      <c r="AD20" s="2295"/>
      <c r="AE20" s="2295"/>
      <c r="AF20" s="2295"/>
      <c r="AG20" s="2295"/>
      <c r="AH20" s="2295"/>
      <c r="AI20" s="2295"/>
      <c r="AJ20" s="2295"/>
      <c r="AK20" s="2295"/>
      <c r="AL20" s="2295"/>
      <c r="AM20" s="2295"/>
      <c r="AN20" s="2295"/>
    </row>
    <row r="21" spans="1:40" ht="13.5" customHeight="1">
      <c r="A21" s="117"/>
      <c r="B21" s="1201"/>
      <c r="C21" s="189"/>
      <c r="D21" s="370"/>
      <c r="E21" s="89" t="s">
        <v>2243</v>
      </c>
      <c r="F21" s="89"/>
      <c r="G21" s="89"/>
      <c r="H21" s="189"/>
      <c r="I21" s="189" t="s">
        <v>54</v>
      </c>
      <c r="J21" s="3002"/>
      <c r="K21" s="189"/>
      <c r="L21" s="189"/>
      <c r="M21" s="189"/>
      <c r="N21" s="603"/>
      <c r="O21" s="1211"/>
      <c r="P21" s="117"/>
      <c r="Q21" s="596"/>
      <c r="R21" s="1864"/>
      <c r="S21" s="1864"/>
      <c r="AC21" s="2295"/>
      <c r="AD21" s="2295"/>
      <c r="AE21" s="2295"/>
      <c r="AF21" s="2295"/>
      <c r="AG21" s="2295"/>
      <c r="AH21" s="2295"/>
      <c r="AI21" s="2295"/>
      <c r="AJ21" s="2295"/>
      <c r="AK21" s="2295"/>
      <c r="AL21" s="2295"/>
      <c r="AM21" s="2295"/>
      <c r="AN21" s="2295"/>
    </row>
    <row r="22" spans="1:40" ht="12.75" customHeight="1">
      <c r="A22" s="117"/>
      <c r="B22" s="1201"/>
      <c r="C22" s="189" t="s">
        <v>125</v>
      </c>
      <c r="D22" s="370"/>
      <c r="E22" s="89" t="s">
        <v>17</v>
      </c>
      <c r="F22" s="89"/>
      <c r="G22" s="89"/>
      <c r="H22" s="89"/>
      <c r="I22" s="89"/>
      <c r="J22" s="617" t="s">
        <v>1075</v>
      </c>
      <c r="K22" s="617" t="str">
        <f>C22</f>
        <v>6.</v>
      </c>
      <c r="L22" s="3001" t="str">
        <f>IF(NOT(CGTW),"",IF(J18-J21&lt;=0,0,J18-J21))</f>
        <v/>
      </c>
      <c r="M22" s="89"/>
      <c r="N22" s="603"/>
      <c r="O22" s="1211"/>
      <c r="P22" s="1222"/>
      <c r="Q22" s="596"/>
      <c r="R22" s="1864"/>
      <c r="S22" s="1864"/>
      <c r="AC22" s="2295"/>
      <c r="AD22" s="2295"/>
      <c r="AE22" s="2295"/>
      <c r="AF22" s="2295"/>
      <c r="AG22" s="2295"/>
      <c r="AH22" s="2295"/>
      <c r="AI22" s="2295"/>
      <c r="AJ22" s="2295"/>
      <c r="AK22" s="2295"/>
      <c r="AL22" s="2295"/>
      <c r="AM22" s="2295"/>
      <c r="AN22" s="2295"/>
    </row>
    <row r="23" spans="1:40">
      <c r="A23" s="117"/>
      <c r="B23" s="1201"/>
      <c r="C23" s="189" t="s">
        <v>126</v>
      </c>
      <c r="D23" s="370"/>
      <c r="E23" s="89" t="s">
        <v>18</v>
      </c>
      <c r="F23" s="89"/>
      <c r="G23" s="89"/>
      <c r="H23" s="89"/>
      <c r="I23" s="89"/>
      <c r="J23" s="617" t="s">
        <v>1075</v>
      </c>
      <c r="K23" s="617" t="str">
        <f>C23</f>
        <v>7.</v>
      </c>
      <c r="L23" s="3001" t="str">
        <f>IF(NOT(CGTW),"",IF(SUM(CGTW_Line1,-L22)&lt;=0,0,SUM(CGTW_Line1,-L22)))</f>
        <v/>
      </c>
      <c r="M23" s="89"/>
      <c r="N23" s="603"/>
      <c r="O23" s="1211"/>
      <c r="P23" s="1222"/>
      <c r="Q23" s="596"/>
      <c r="R23" s="1864"/>
      <c r="S23" s="1864"/>
      <c r="AC23" s="2295"/>
      <c r="AD23" s="2295"/>
      <c r="AE23" s="2295"/>
      <c r="AF23" s="2295"/>
      <c r="AG23" s="2295"/>
      <c r="AH23" s="2295"/>
      <c r="AI23" s="2295"/>
      <c r="AJ23" s="2295"/>
      <c r="AK23" s="2295"/>
      <c r="AL23" s="2295"/>
      <c r="AM23" s="2295"/>
      <c r="AN23" s="2295"/>
    </row>
    <row r="24" spans="1:40">
      <c r="A24" s="117"/>
      <c r="B24" s="1201"/>
      <c r="C24" s="189" t="s">
        <v>352</v>
      </c>
      <c r="D24" s="89"/>
      <c r="E24" s="89" t="s">
        <v>1070</v>
      </c>
      <c r="F24" s="89"/>
      <c r="G24" s="47"/>
      <c r="H24" s="47"/>
      <c r="I24" s="47"/>
      <c r="J24" s="47"/>
      <c r="K24" s="617"/>
      <c r="L24" s="1212"/>
      <c r="M24" s="47"/>
      <c r="N24" s="1213"/>
      <c r="O24" s="1211"/>
      <c r="P24" s="1222"/>
      <c r="Q24" s="596"/>
      <c r="R24" s="1864"/>
      <c r="S24" s="1864"/>
      <c r="AC24" s="2295"/>
      <c r="AD24" s="2295"/>
      <c r="AE24" s="2295"/>
      <c r="AF24" s="2295"/>
      <c r="AG24" s="2295"/>
      <c r="AH24" s="2295"/>
      <c r="AI24" s="2295"/>
      <c r="AJ24" s="2295"/>
      <c r="AK24" s="2295"/>
      <c r="AL24" s="2295"/>
      <c r="AM24" s="2295"/>
      <c r="AN24" s="2295"/>
    </row>
    <row r="25" spans="1:40">
      <c r="A25" s="117"/>
      <c r="B25" s="1201"/>
      <c r="C25" s="189"/>
      <c r="D25" s="1214"/>
      <c r="E25" s="89" t="str">
        <f>TEXT(N25,"$0,000")&amp;" if single or married filing separately,"</f>
        <v>$36,900 if single or married filing separately,</v>
      </c>
      <c r="F25" s="89"/>
      <c r="G25" s="89"/>
      <c r="H25" s="47"/>
      <c r="I25" s="47"/>
      <c r="J25" s="189"/>
      <c r="K25" s="47"/>
      <c r="L25" s="47"/>
      <c r="M25" s="47"/>
      <c r="N25" s="768">
        <v>36900</v>
      </c>
      <c r="O25" s="1215"/>
      <c r="P25" s="1222"/>
      <c r="Q25" s="596"/>
      <c r="R25" s="1864"/>
      <c r="S25" s="1864"/>
      <c r="AC25" s="2295"/>
      <c r="AD25" s="2295"/>
      <c r="AE25" s="2295"/>
      <c r="AF25" s="2295"/>
      <c r="AG25" s="2295"/>
      <c r="AH25" s="2295"/>
      <c r="AI25" s="2295"/>
      <c r="AJ25" s="2295"/>
      <c r="AK25" s="2295"/>
      <c r="AL25" s="2295"/>
      <c r="AM25" s="2295"/>
      <c r="AN25" s="2295"/>
    </row>
    <row r="26" spans="1:40" ht="12" customHeight="1">
      <c r="A26" s="117"/>
      <c r="B26" s="1201"/>
      <c r="C26" s="189"/>
      <c r="D26" s="1214"/>
      <c r="E26" s="89" t="str">
        <f>TEXT(N26,"$0,000")&amp;" if married filing jointly or qualifying widow(er),"</f>
        <v>$73,800 if married filing jointly or qualifying widow(er),</v>
      </c>
      <c r="F26" s="89"/>
      <c r="G26" s="89"/>
      <c r="H26" s="47"/>
      <c r="I26" s="47"/>
      <c r="J26" s="617" t="s">
        <v>1074</v>
      </c>
      <c r="K26" s="189" t="s">
        <v>352</v>
      </c>
      <c r="L26" s="3001" t="str">
        <f>IF(NOT(CGTW),"",N28)</f>
        <v/>
      </c>
      <c r="M26" s="47"/>
      <c r="N26" s="768">
        <v>73800</v>
      </c>
      <c r="O26" s="1215"/>
      <c r="P26" s="1222"/>
      <c r="Q26" s="596"/>
      <c r="R26" s="1864"/>
      <c r="S26" s="1864"/>
      <c r="AC26" s="2295"/>
      <c r="AD26" s="2295"/>
      <c r="AE26" s="2295"/>
      <c r="AF26" s="2295"/>
      <c r="AG26" s="2295"/>
      <c r="AH26" s="2295"/>
      <c r="AI26" s="2295"/>
      <c r="AJ26" s="2295"/>
      <c r="AK26" s="2295"/>
      <c r="AL26" s="2295"/>
      <c r="AM26" s="2295"/>
      <c r="AN26" s="2295"/>
    </row>
    <row r="27" spans="1:40" ht="13.5" customHeight="1">
      <c r="A27" s="117"/>
      <c r="B27" s="1201"/>
      <c r="C27" s="189"/>
      <c r="D27" s="1214"/>
      <c r="E27" s="89" t="str">
        <f>TEXT(N27,"$0,000")&amp;" if head of household."</f>
        <v>$49,400 if head of household.</v>
      </c>
      <c r="F27" s="89"/>
      <c r="G27" s="89"/>
      <c r="H27" s="47"/>
      <c r="I27" s="47"/>
      <c r="J27" s="73"/>
      <c r="K27" s="47"/>
      <c r="L27" s="47"/>
      <c r="M27" s="47"/>
      <c r="N27" s="768">
        <v>49400</v>
      </c>
      <c r="O27" s="1216"/>
      <c r="P27" s="1222"/>
      <c r="Q27" s="596"/>
      <c r="R27" s="1864"/>
      <c r="S27" s="1864"/>
      <c r="T27" s="10"/>
      <c r="AC27" s="2295"/>
      <c r="AD27" s="2295"/>
      <c r="AE27" s="2295"/>
      <c r="AF27" s="2295"/>
      <c r="AG27" s="2295"/>
      <c r="AH27" s="2295"/>
      <c r="AI27" s="2295"/>
      <c r="AJ27" s="2295"/>
      <c r="AK27" s="2295"/>
      <c r="AL27" s="2295"/>
      <c r="AM27" s="2295"/>
      <c r="AN27" s="2295"/>
    </row>
    <row r="28" spans="1:40" ht="12" customHeight="1">
      <c r="A28" s="117"/>
      <c r="B28" s="1217"/>
      <c r="C28" s="189" t="s">
        <v>353</v>
      </c>
      <c r="D28" s="1214"/>
      <c r="E28" s="89" t="s">
        <v>1012</v>
      </c>
      <c r="F28" s="728"/>
      <c r="G28" s="89"/>
      <c r="H28" s="89"/>
      <c r="I28" s="89"/>
      <c r="J28" s="617" t="s">
        <v>1073</v>
      </c>
      <c r="K28" s="189" t="s">
        <v>353</v>
      </c>
      <c r="L28" s="3001">
        <f>MIN(CGTW_Line1,L26)</f>
        <v>0</v>
      </c>
      <c r="M28" s="89"/>
      <c r="N28" s="768" t="str">
        <f>IF(OR(File_Single&lt;&gt;"",File_Marr_Sep&lt;&gt;""),N25,IF(OR(File_Marr_Joint&lt;&gt;"",File_Qual_Widow&lt;&gt;""),N26,IF(File_Head&lt;&gt;"",N27,"")))</f>
        <v/>
      </c>
      <c r="O28" s="1211"/>
      <c r="P28" s="1222"/>
      <c r="Q28" s="596"/>
      <c r="R28" s="1864"/>
      <c r="S28" s="1864"/>
      <c r="T28" s="10"/>
      <c r="AC28" s="2295"/>
      <c r="AD28" s="2295"/>
      <c r="AE28" s="2295"/>
      <c r="AF28" s="2295"/>
      <c r="AG28" s="2295"/>
      <c r="AH28" s="2295"/>
      <c r="AI28" s="2295"/>
      <c r="AJ28" s="2295"/>
      <c r="AK28" s="2295"/>
      <c r="AL28" s="2295"/>
      <c r="AM28" s="2295"/>
      <c r="AN28" s="2295"/>
    </row>
    <row r="29" spans="1:40" ht="12" customHeight="1">
      <c r="A29" s="117"/>
      <c r="B29" s="1201"/>
      <c r="C29" s="189" t="s">
        <v>507</v>
      </c>
      <c r="D29" s="767"/>
      <c r="E29" s="89" t="s">
        <v>1013</v>
      </c>
      <c r="F29" s="89"/>
      <c r="G29" s="370"/>
      <c r="H29" s="89"/>
      <c r="I29" s="89"/>
      <c r="J29" s="617" t="s">
        <v>1072</v>
      </c>
      <c r="K29" s="617" t="str">
        <f>C29</f>
        <v>10.</v>
      </c>
      <c r="L29" s="3001">
        <f>MIN(CGTW_Line7,L28)</f>
        <v>0</v>
      </c>
      <c r="M29" s="89"/>
      <c r="N29" s="89"/>
      <c r="O29" s="1211"/>
      <c r="P29" s="1222"/>
      <c r="Q29" s="596"/>
      <c r="R29" s="1864"/>
      <c r="S29" s="1864"/>
      <c r="T29" s="10"/>
      <c r="AC29" s="2295"/>
      <c r="AD29" s="2295"/>
      <c r="AE29" s="2295"/>
      <c r="AF29" s="2295"/>
      <c r="AG29" s="2295"/>
      <c r="AH29" s="2295"/>
      <c r="AI29" s="2295"/>
      <c r="AJ29" s="2295"/>
      <c r="AK29" s="2295"/>
      <c r="AL29" s="2295"/>
      <c r="AM29" s="2295"/>
      <c r="AN29" s="2295"/>
    </row>
    <row r="30" spans="1:40" ht="12.75" customHeight="1">
      <c r="A30" s="117"/>
      <c r="B30" s="1201"/>
      <c r="C30" s="189" t="s">
        <v>508</v>
      </c>
      <c r="D30" s="189"/>
      <c r="E30" s="89" t="s">
        <v>1014</v>
      </c>
      <c r="F30" s="89"/>
      <c r="G30" s="769"/>
      <c r="H30" s="47"/>
      <c r="I30" s="47"/>
      <c r="J30" s="617" t="s">
        <v>1625</v>
      </c>
      <c r="K30" s="617" t="str">
        <f>C30</f>
        <v>11.</v>
      </c>
      <c r="L30" s="3001">
        <f>SUM(L28,-L29)</f>
        <v>0</v>
      </c>
      <c r="M30" s="47"/>
      <c r="N30" s="47"/>
      <c r="O30" s="1211"/>
      <c r="P30" s="1222"/>
      <c r="Q30" s="596"/>
      <c r="R30" s="1864"/>
      <c r="S30" s="1864"/>
      <c r="T30" s="10"/>
      <c r="AC30" s="2295"/>
      <c r="AD30" s="2295"/>
      <c r="AE30" s="2295"/>
      <c r="AF30" s="2295"/>
      <c r="AG30" s="2295"/>
      <c r="AH30" s="2295"/>
      <c r="AI30" s="2295"/>
      <c r="AJ30" s="2295"/>
      <c r="AK30" s="2295"/>
      <c r="AL30" s="2295"/>
      <c r="AM30" s="2295"/>
      <c r="AN30" s="2295"/>
    </row>
    <row r="31" spans="1:40" ht="13.5" customHeight="1">
      <c r="A31" s="117"/>
      <c r="B31" s="1217"/>
      <c r="C31" s="189" t="s">
        <v>509</v>
      </c>
      <c r="D31" s="89"/>
      <c r="E31" s="89" t="s">
        <v>1269</v>
      </c>
      <c r="F31" s="89"/>
      <c r="G31" s="89"/>
      <c r="H31" s="89"/>
      <c r="I31" s="89"/>
      <c r="J31" s="617" t="s">
        <v>1624</v>
      </c>
      <c r="K31" s="617" t="str">
        <f>C31</f>
        <v>12.</v>
      </c>
      <c r="L31" s="3001">
        <f>MIN(CGTW_Line1,L22)</f>
        <v>0</v>
      </c>
      <c r="M31" s="189"/>
      <c r="N31" s="370"/>
      <c r="O31" s="1211"/>
      <c r="P31" s="1222"/>
      <c r="Q31" s="596"/>
      <c r="R31" s="1864"/>
      <c r="S31" s="1864"/>
      <c r="T31" s="10"/>
      <c r="AC31" s="2295"/>
      <c r="AD31" s="2295"/>
      <c r="AE31" s="2295"/>
      <c r="AF31" s="2295"/>
      <c r="AG31" s="2295"/>
      <c r="AH31" s="2295"/>
      <c r="AI31" s="2295"/>
      <c r="AJ31" s="2295"/>
      <c r="AK31" s="2295"/>
      <c r="AL31" s="2295"/>
      <c r="AM31" s="2295"/>
      <c r="AN31" s="2295"/>
    </row>
    <row r="32" spans="1:40" ht="13.5" customHeight="1">
      <c r="A32" s="117"/>
      <c r="B32" s="1201"/>
      <c r="C32" s="189" t="s">
        <v>740</v>
      </c>
      <c r="D32" s="89"/>
      <c r="E32" s="89" t="s">
        <v>1071</v>
      </c>
      <c r="F32" s="89"/>
      <c r="G32" s="89"/>
      <c r="H32" s="89"/>
      <c r="I32" s="89"/>
      <c r="J32" s="376" t="s">
        <v>1073</v>
      </c>
      <c r="K32" s="617" t="str">
        <f>C32</f>
        <v>13.</v>
      </c>
      <c r="L32" s="3001">
        <f>L30</f>
        <v>0</v>
      </c>
      <c r="M32" s="89"/>
      <c r="N32" s="1213"/>
      <c r="O32" s="1211"/>
      <c r="P32" s="1222"/>
      <c r="Q32" s="596"/>
      <c r="R32" s="1864"/>
      <c r="S32" s="1864"/>
      <c r="T32" s="10"/>
      <c r="AC32" s="2295"/>
      <c r="AD32" s="2295"/>
      <c r="AE32" s="2295"/>
      <c r="AF32" s="2295"/>
      <c r="AG32" s="2295"/>
      <c r="AH32" s="2295"/>
      <c r="AI32" s="2295"/>
      <c r="AJ32" s="2295"/>
      <c r="AK32" s="2295"/>
      <c r="AL32" s="2295"/>
      <c r="AM32" s="2295"/>
      <c r="AN32" s="2295"/>
    </row>
    <row r="33" spans="1:40" ht="13.5" customHeight="1">
      <c r="A33" s="117"/>
      <c r="B33" s="1201"/>
      <c r="C33" s="189" t="s">
        <v>741</v>
      </c>
      <c r="D33" s="767"/>
      <c r="E33" s="89" t="s">
        <v>1270</v>
      </c>
      <c r="F33" s="89"/>
      <c r="G33" s="370"/>
      <c r="H33" s="89"/>
      <c r="I33" s="89"/>
      <c r="J33" s="376" t="s">
        <v>1623</v>
      </c>
      <c r="K33" s="617" t="str">
        <f>C33</f>
        <v>14.</v>
      </c>
      <c r="L33" s="3001">
        <f>SUM(L31,-L32)</f>
        <v>0</v>
      </c>
      <c r="M33" s="189"/>
      <c r="N33" s="1212"/>
      <c r="O33" s="1219"/>
      <c r="P33" s="1222"/>
      <c r="Q33" s="596"/>
      <c r="R33" s="1864"/>
      <c r="S33" s="1864"/>
      <c r="T33" s="10"/>
      <c r="AC33" s="2295"/>
      <c r="AD33" s="2295"/>
      <c r="AE33" s="2295"/>
      <c r="AF33" s="2295"/>
      <c r="AG33" s="2295"/>
      <c r="AH33" s="2295"/>
      <c r="AI33" s="2295"/>
      <c r="AJ33" s="2295"/>
      <c r="AK33" s="2295"/>
      <c r="AL33" s="2295"/>
      <c r="AM33" s="2295"/>
      <c r="AN33" s="2295"/>
    </row>
    <row r="34" spans="1:40">
      <c r="A34" s="117"/>
      <c r="B34" s="1201"/>
      <c r="C34" s="617" t="s">
        <v>742</v>
      </c>
      <c r="D34" s="89"/>
      <c r="E34" s="89" t="s">
        <v>1070</v>
      </c>
      <c r="F34" s="89"/>
      <c r="G34" s="47"/>
      <c r="H34" s="47"/>
      <c r="I34" s="47"/>
      <c r="J34" s="47"/>
      <c r="K34" s="617"/>
      <c r="L34" s="1212"/>
      <c r="M34" s="47"/>
      <c r="N34" s="1213"/>
      <c r="O34" s="1211"/>
      <c r="P34" s="1222"/>
      <c r="Q34" s="596"/>
      <c r="R34" s="1864"/>
      <c r="S34" s="1864"/>
      <c r="T34" s="10"/>
      <c r="AC34" s="2295"/>
      <c r="AD34" s="2295"/>
      <c r="AE34" s="2295"/>
      <c r="AF34" s="2295"/>
      <c r="AG34" s="2295"/>
      <c r="AH34" s="2295"/>
      <c r="AI34" s="2295"/>
      <c r="AJ34" s="2295"/>
      <c r="AK34" s="2295"/>
      <c r="AL34" s="2295"/>
      <c r="AM34" s="2295"/>
      <c r="AN34" s="2295"/>
    </row>
    <row r="35" spans="1:40">
      <c r="A35" s="117"/>
      <c r="B35" s="1201"/>
      <c r="C35" s="189"/>
      <c r="D35" s="1214"/>
      <c r="E35" s="89" t="str">
        <f>TEXT(N35,"$0,000")&amp;" if single,"</f>
        <v>$406,750 if single,</v>
      </c>
      <c r="F35" s="89"/>
      <c r="G35" s="89"/>
      <c r="H35" s="47"/>
      <c r="I35" s="47"/>
      <c r="J35" s="189"/>
      <c r="K35" s="47"/>
      <c r="L35" s="47"/>
      <c r="M35" s="47"/>
      <c r="N35" s="768">
        <v>406750</v>
      </c>
      <c r="O35" s="1215"/>
      <c r="P35" s="1222"/>
      <c r="Q35" s="596"/>
      <c r="R35" s="1864"/>
      <c r="S35" s="1864"/>
      <c r="T35" s="10"/>
      <c r="AC35" s="2295"/>
      <c r="AD35" s="2295"/>
      <c r="AE35" s="2295"/>
      <c r="AF35" s="2295"/>
      <c r="AG35" s="2295"/>
      <c r="AH35" s="2295"/>
      <c r="AI35" s="2295"/>
      <c r="AJ35" s="2295"/>
      <c r="AK35" s="2295"/>
      <c r="AL35" s="2295"/>
      <c r="AM35" s="2295"/>
      <c r="AN35" s="2295"/>
    </row>
    <row r="36" spans="1:40">
      <c r="A36" s="117"/>
      <c r="B36" s="1201"/>
      <c r="C36" s="189"/>
      <c r="D36" s="1214"/>
      <c r="E36" s="89" t="str">
        <f>TEXT(N36,"$0,000")&amp;" if married filing separately,"</f>
        <v>$228,800 if married filing separately,</v>
      </c>
      <c r="F36" s="89"/>
      <c r="G36" s="89"/>
      <c r="H36" s="47"/>
      <c r="I36" s="47"/>
      <c r="J36" s="189"/>
      <c r="K36" s="47"/>
      <c r="L36" s="47"/>
      <c r="M36" s="47"/>
      <c r="N36" s="768">
        <v>228800</v>
      </c>
      <c r="O36" s="1215"/>
      <c r="P36" s="1222"/>
      <c r="Q36" s="596"/>
      <c r="R36" s="1864"/>
      <c r="S36" s="1864"/>
      <c r="T36" s="10"/>
      <c r="AC36" s="2295"/>
      <c r="AD36" s="2295"/>
      <c r="AE36" s="2295"/>
      <c r="AF36" s="2295"/>
      <c r="AG36" s="2295"/>
      <c r="AH36" s="2295"/>
      <c r="AI36" s="2295"/>
      <c r="AJ36" s="2295"/>
      <c r="AK36" s="2295"/>
      <c r="AL36" s="2295"/>
      <c r="AM36" s="2295"/>
      <c r="AN36" s="2295"/>
    </row>
    <row r="37" spans="1:40" ht="12" customHeight="1">
      <c r="A37" s="117"/>
      <c r="B37" s="1201"/>
      <c r="C37" s="189"/>
      <c r="D37" s="1214"/>
      <c r="E37" s="89" t="str">
        <f>TEXT(N37,"$0,000")&amp;" if married filing jointly or qualifying widow(er),"</f>
        <v>$457,600 if married filing jointly or qualifying widow(er),</v>
      </c>
      <c r="F37" s="89"/>
      <c r="G37" s="89"/>
      <c r="H37" s="47"/>
      <c r="I37" s="47"/>
      <c r="J37" s="617" t="s">
        <v>1074</v>
      </c>
      <c r="K37" s="617" t="s">
        <v>742</v>
      </c>
      <c r="L37" s="3001" t="str">
        <f>IF(NOT(CGTW),"",N39)</f>
        <v/>
      </c>
      <c r="M37" s="47"/>
      <c r="N37" s="768">
        <v>457600</v>
      </c>
      <c r="O37" s="1215"/>
      <c r="P37" s="1222"/>
      <c r="Q37" s="596"/>
      <c r="R37" s="1864"/>
      <c r="S37" s="1864"/>
      <c r="AC37" s="2295"/>
      <c r="AD37" s="2295"/>
      <c r="AE37" s="2295"/>
      <c r="AF37" s="2295"/>
      <c r="AG37" s="2295"/>
      <c r="AH37" s="2295"/>
      <c r="AI37" s="2295"/>
      <c r="AJ37" s="2295"/>
      <c r="AK37" s="2295"/>
      <c r="AL37" s="2295"/>
      <c r="AM37" s="2295"/>
      <c r="AN37" s="2295"/>
    </row>
    <row r="38" spans="1:40" ht="13.5" customHeight="1">
      <c r="A38" s="117"/>
      <c r="B38" s="1201"/>
      <c r="C38" s="189"/>
      <c r="D38" s="1214"/>
      <c r="E38" s="89" t="str">
        <f>TEXT(N38,"$0,000")&amp;" if head of household."</f>
        <v>$432,200 if head of household.</v>
      </c>
      <c r="F38" s="89"/>
      <c r="G38" s="89"/>
      <c r="H38" s="47"/>
      <c r="I38" s="47"/>
      <c r="J38" s="73"/>
      <c r="K38" s="47"/>
      <c r="L38" s="47"/>
      <c r="M38" s="47"/>
      <c r="N38" s="768">
        <v>432200</v>
      </c>
      <c r="O38" s="1216"/>
      <c r="P38" s="1222"/>
      <c r="Q38" s="596"/>
      <c r="R38" s="1864"/>
      <c r="S38" s="1864"/>
      <c r="T38" s="10"/>
      <c r="AC38" s="2295"/>
      <c r="AD38" s="2295"/>
      <c r="AE38" s="2295"/>
      <c r="AF38" s="2295"/>
      <c r="AG38" s="2295"/>
      <c r="AH38" s="2295"/>
      <c r="AI38" s="2295"/>
      <c r="AJ38" s="2295"/>
      <c r="AK38" s="2295"/>
      <c r="AL38" s="2295"/>
      <c r="AM38" s="2295"/>
      <c r="AN38" s="2295"/>
    </row>
    <row r="39" spans="1:40" ht="13.5" customHeight="1">
      <c r="A39" s="117"/>
      <c r="B39" s="1217"/>
      <c r="C39" s="617" t="s">
        <v>325</v>
      </c>
      <c r="D39" s="89"/>
      <c r="E39" s="89" t="s">
        <v>1810</v>
      </c>
      <c r="F39" s="89"/>
      <c r="G39" s="89"/>
      <c r="H39" s="89"/>
      <c r="I39" s="89"/>
      <c r="J39" s="617" t="s">
        <v>1624</v>
      </c>
      <c r="K39" s="617" t="str">
        <f>C39</f>
        <v>16.</v>
      </c>
      <c r="L39" s="3001">
        <f>MIN(CGTW_Line1,L37)</f>
        <v>0</v>
      </c>
      <c r="M39" s="189"/>
      <c r="N39" s="768" t="str">
        <f>IF(File_Single&lt;&gt;"",N35,IF(File_Marr_Sep&lt;&gt;"",N36,IF(OR(File_Marr_Joint&lt;&gt;"",File_Qual_Widow&lt;&gt;""),N37,IF(File_Head&lt;&gt;"",N38,""))))</f>
        <v/>
      </c>
      <c r="O39" s="1211"/>
      <c r="P39" s="1222"/>
      <c r="Q39" s="596"/>
      <c r="R39" s="1864"/>
      <c r="S39" s="1864"/>
      <c r="T39" s="10"/>
      <c r="AC39" s="2295"/>
      <c r="AD39" s="2295"/>
      <c r="AE39" s="2295"/>
      <c r="AF39" s="2295"/>
      <c r="AG39" s="2295"/>
      <c r="AH39" s="2295"/>
      <c r="AI39" s="2295"/>
      <c r="AJ39" s="2295"/>
      <c r="AK39" s="2295"/>
      <c r="AL39" s="2295"/>
      <c r="AM39" s="2295"/>
      <c r="AN39" s="2295"/>
    </row>
    <row r="40" spans="1:40" ht="12" customHeight="1">
      <c r="A40" s="117"/>
      <c r="B40" s="1201"/>
      <c r="C40" s="617" t="s">
        <v>818</v>
      </c>
      <c r="D40" s="767"/>
      <c r="E40" s="89" t="s">
        <v>1811</v>
      </c>
      <c r="F40" s="89"/>
      <c r="G40" s="370"/>
      <c r="H40" s="89"/>
      <c r="I40" s="89"/>
      <c r="J40" s="617" t="s">
        <v>1072</v>
      </c>
      <c r="K40" s="617" t="str">
        <f>C40</f>
        <v>17.</v>
      </c>
      <c r="L40" s="3001">
        <f>SUM(CGTW_Line7,L30)</f>
        <v>0</v>
      </c>
      <c r="M40" s="89"/>
      <c r="N40" s="89"/>
      <c r="O40" s="1211"/>
      <c r="P40" s="1222"/>
      <c r="Q40" s="596"/>
      <c r="R40" s="1864"/>
      <c r="S40" s="1864"/>
      <c r="T40" s="10"/>
      <c r="AC40" s="2295"/>
      <c r="AD40" s="2295"/>
      <c r="AE40" s="2295"/>
      <c r="AF40" s="2295"/>
      <c r="AG40" s="2295"/>
      <c r="AH40" s="2295"/>
      <c r="AI40" s="2295"/>
      <c r="AJ40" s="2295"/>
      <c r="AK40" s="2295"/>
      <c r="AL40" s="2295"/>
      <c r="AM40" s="2295"/>
      <c r="AN40" s="2295"/>
    </row>
    <row r="41" spans="1:40" ht="12.75" customHeight="1">
      <c r="A41" s="117"/>
      <c r="B41" s="1201"/>
      <c r="C41" s="617" t="s">
        <v>819</v>
      </c>
      <c r="D41" s="370"/>
      <c r="E41" s="89" t="s">
        <v>1812</v>
      </c>
      <c r="F41" s="89"/>
      <c r="G41" s="89"/>
      <c r="H41" s="89"/>
      <c r="I41" s="89"/>
      <c r="J41" s="617" t="s">
        <v>1075</v>
      </c>
      <c r="K41" s="617" t="str">
        <f>C41</f>
        <v>18.</v>
      </c>
      <c r="L41" s="3001" t="str">
        <f>IF(NOT(CGTW),"",IF(SUM(L39,-L40)&lt;=0,0,SUM(L39,-L40)))</f>
        <v/>
      </c>
      <c r="M41" s="89"/>
      <c r="N41" s="603"/>
      <c r="O41" s="1211"/>
      <c r="P41" s="1222"/>
      <c r="Q41" s="596"/>
      <c r="R41" s="1864"/>
      <c r="S41" s="1864"/>
      <c r="T41" s="10"/>
      <c r="AC41" s="2295"/>
      <c r="AD41" s="2295"/>
      <c r="AE41" s="2295"/>
      <c r="AF41" s="2295"/>
      <c r="AG41" s="2295"/>
      <c r="AH41" s="2295"/>
      <c r="AI41" s="2295"/>
      <c r="AJ41" s="2295"/>
      <c r="AK41" s="2295"/>
      <c r="AL41" s="2295"/>
      <c r="AM41" s="2295"/>
      <c r="AN41" s="2295"/>
    </row>
    <row r="42" spans="1:40" ht="13.5" customHeight="1" thickBot="1">
      <c r="A42" s="117"/>
      <c r="B42" s="1217"/>
      <c r="C42" s="617" t="s">
        <v>820</v>
      </c>
      <c r="D42" s="89"/>
      <c r="E42" s="89" t="s">
        <v>1813</v>
      </c>
      <c r="F42" s="89"/>
      <c r="G42" s="89"/>
      <c r="H42" s="89"/>
      <c r="I42" s="89"/>
      <c r="J42" s="617" t="s">
        <v>1624</v>
      </c>
      <c r="K42" s="617" t="str">
        <f>C42</f>
        <v>19.</v>
      </c>
      <c r="L42" s="3001">
        <f>MIN(L33,L41)</f>
        <v>0</v>
      </c>
      <c r="M42" s="189"/>
      <c r="N42" s="3000">
        <v>0.15</v>
      </c>
      <c r="O42" s="1211"/>
      <c r="P42" s="1222"/>
      <c r="Q42" s="596"/>
      <c r="R42" s="1864"/>
      <c r="S42" s="1864"/>
      <c r="T42" s="1618" t="s">
        <v>1716</v>
      </c>
      <c r="AC42" s="2295"/>
      <c r="AD42" s="2295"/>
      <c r="AE42" s="2295"/>
      <c r="AF42" s="2295"/>
      <c r="AG42" s="2295"/>
      <c r="AH42" s="2295"/>
      <c r="AI42" s="2295"/>
      <c r="AJ42" s="2295"/>
      <c r="AK42" s="2295"/>
      <c r="AL42" s="2295"/>
      <c r="AM42" s="2295"/>
      <c r="AN42" s="2295"/>
    </row>
    <row r="43" spans="1:40" ht="13.5" customHeight="1">
      <c r="A43" s="117"/>
      <c r="B43" s="1201"/>
      <c r="C43" s="617" t="s">
        <v>595</v>
      </c>
      <c r="D43" s="767"/>
      <c r="E43" s="89" t="str">
        <f>"Multiply line 19 by "&amp;TEXT(N42,"0%")&amp;" ("&amp;TEXT(N42,".00")&amp;") "</f>
        <v xml:space="preserve">Multiply line 19 by 15% (.15) </v>
      </c>
      <c r="F43" s="89"/>
      <c r="G43" s="370"/>
      <c r="H43" s="89"/>
      <c r="I43" s="89"/>
      <c r="J43" s="189"/>
      <c r="K43" s="617"/>
      <c r="L43" s="376" t="s">
        <v>1622</v>
      </c>
      <c r="M43" s="617" t="s">
        <v>595</v>
      </c>
      <c r="N43" s="3001">
        <f>ROUND(L42*N42,0)</f>
        <v>0</v>
      </c>
      <c r="O43" s="1219"/>
      <c r="P43" s="1222"/>
      <c r="Q43" s="596"/>
      <c r="R43" s="1864"/>
      <c r="S43" s="1864"/>
      <c r="T43" s="841" t="str">
        <f>CGTW_Line7</f>
        <v/>
      </c>
      <c r="U43" s="842"/>
      <c r="V43" s="842"/>
      <c r="W43" s="842"/>
      <c r="X43" s="842"/>
      <c r="Y43" s="842"/>
      <c r="Z43" s="842"/>
      <c r="AA43" s="842"/>
      <c r="AB43" s="843"/>
      <c r="AC43" s="2295"/>
      <c r="AD43" s="2295"/>
      <c r="AE43" s="2295"/>
      <c r="AF43" s="2295"/>
      <c r="AG43" s="2295"/>
      <c r="AH43" s="2295"/>
      <c r="AI43" s="2295"/>
      <c r="AJ43" s="2295"/>
      <c r="AK43" s="2295"/>
      <c r="AL43" s="2295"/>
      <c r="AM43" s="2295"/>
      <c r="AN43" s="2295"/>
    </row>
    <row r="44" spans="1:40" ht="12" customHeight="1">
      <c r="A44" s="117"/>
      <c r="B44" s="1201"/>
      <c r="C44" s="617" t="s">
        <v>596</v>
      </c>
      <c r="D44" s="767"/>
      <c r="E44" s="89" t="s">
        <v>1814</v>
      </c>
      <c r="F44" s="89"/>
      <c r="G44" s="370"/>
      <c r="H44" s="89"/>
      <c r="I44" s="89"/>
      <c r="J44" s="617" t="s">
        <v>1072</v>
      </c>
      <c r="K44" s="617" t="str">
        <f>C44</f>
        <v>21.</v>
      </c>
      <c r="L44" s="3001">
        <f>SUM(L30,L42)</f>
        <v>0</v>
      </c>
      <c r="M44" s="89"/>
      <c r="N44" s="89"/>
      <c r="O44" s="1211"/>
      <c r="P44" s="1222"/>
      <c r="Q44" s="596"/>
      <c r="R44" s="1864"/>
      <c r="S44" s="1864"/>
      <c r="T44" s="844" t="str">
        <f>IF(T43&lt;&gt;"",ROUND(T43,0),"")</f>
        <v/>
      </c>
      <c r="U44" s="845" t="s">
        <v>127</v>
      </c>
      <c r="V44" s="1637" t="s">
        <v>945</v>
      </c>
      <c r="W44" s="696" t="s">
        <v>784</v>
      </c>
      <c r="X44" s="696" t="s">
        <v>785</v>
      </c>
      <c r="Y44" s="696" t="s">
        <v>127</v>
      </c>
      <c r="Z44" s="1637" t="s">
        <v>945</v>
      </c>
      <c r="AA44" s="696" t="s">
        <v>784</v>
      </c>
      <c r="AB44" s="699" t="s">
        <v>785</v>
      </c>
      <c r="AC44" s="2295"/>
      <c r="AD44" s="2295"/>
      <c r="AE44" s="2295"/>
      <c r="AF44" s="2295"/>
      <c r="AG44" s="2295"/>
      <c r="AH44" s="2295"/>
      <c r="AI44" s="2295"/>
      <c r="AJ44" s="2295"/>
      <c r="AK44" s="2295"/>
      <c r="AL44" s="2295"/>
      <c r="AM44" s="2295"/>
      <c r="AN44" s="2295"/>
    </row>
    <row r="45" spans="1:40" ht="13.5" customHeight="1">
      <c r="A45" s="117"/>
      <c r="B45" s="1201"/>
      <c r="C45" s="617" t="s">
        <v>597</v>
      </c>
      <c r="D45" s="767"/>
      <c r="E45" s="89" t="s">
        <v>1815</v>
      </c>
      <c r="F45" s="89"/>
      <c r="G45" s="370"/>
      <c r="H45" s="89"/>
      <c r="I45" s="89"/>
      <c r="J45" s="376" t="s">
        <v>1623</v>
      </c>
      <c r="K45" s="617" t="str">
        <f>C45</f>
        <v>22.</v>
      </c>
      <c r="L45" s="3001">
        <f>SUM(L31,-L44)</f>
        <v>0</v>
      </c>
      <c r="M45" s="189"/>
      <c r="N45" s="3000">
        <v>0.2</v>
      </c>
      <c r="O45" s="1219"/>
      <c r="P45" s="1222"/>
      <c r="Q45" s="596"/>
      <c r="R45" s="1864"/>
      <c r="S45" s="1864"/>
      <c r="T45" s="844" t="str">
        <f>IF(T43="","",IF(T43&gt;=3000,INT(T44/50),IF(T43&gt;=25,INT(T44/25),IF(T43&gt;=5,INT((T44+5)/10),0))))</f>
        <v/>
      </c>
      <c r="U45" s="961" t="e">
        <f>LOOKUP(T46,'Tax Table'!$A$2:$A$2063,'Tax Table'!$C$2:$C$2063)</f>
        <v>#N/A</v>
      </c>
      <c r="V45" s="961" t="e">
        <f>LOOKUP(T46,'Tax Table'!$A$2:$A$2063,'Tax Table'!$D$2:$D$2063)</f>
        <v>#N/A</v>
      </c>
      <c r="W45" s="961" t="e">
        <f>LOOKUP(T46,'Tax Table'!$A$2:$A$2063,'Tax Table'!$E$2:$E$2063)</f>
        <v>#N/A</v>
      </c>
      <c r="X45" s="961" t="e">
        <f>LOOKUP(T46,'Tax Table'!$A$2:$A$2063,'Tax Table'!$F$2:$F$2063)</f>
        <v>#N/A</v>
      </c>
      <c r="Y45" s="961" t="str">
        <f>"---"</f>
        <v>---</v>
      </c>
      <c r="Z45" s="961" t="str">
        <f>"---"</f>
        <v>---</v>
      </c>
      <c r="AA45" s="961" t="str">
        <f>"---"</f>
        <v>---</v>
      </c>
      <c r="AB45" s="962" t="str">
        <f>"---"</f>
        <v>---</v>
      </c>
      <c r="AC45" s="2295"/>
      <c r="AD45" s="2295"/>
      <c r="AE45" s="2295"/>
      <c r="AF45" s="2295"/>
      <c r="AG45" s="2295"/>
      <c r="AH45" s="2295"/>
      <c r="AI45" s="2295"/>
      <c r="AJ45" s="2295"/>
      <c r="AK45" s="2295"/>
      <c r="AL45" s="2295"/>
      <c r="AM45" s="2295"/>
      <c r="AN45" s="2295"/>
    </row>
    <row r="46" spans="1:40" ht="13.5" customHeight="1">
      <c r="A46" s="117"/>
      <c r="B46" s="1201"/>
      <c r="C46" s="617" t="s">
        <v>598</v>
      </c>
      <c r="D46" s="767"/>
      <c r="E46" s="89" t="str">
        <f>"Multiply line 22 by "&amp;TEXT(N45,"0%")&amp;" ("&amp;TEXT(N45,".00")&amp;") "</f>
        <v xml:space="preserve">Multiply line 22 by 20% (.20) </v>
      </c>
      <c r="F46" s="89"/>
      <c r="G46" s="370"/>
      <c r="H46" s="89"/>
      <c r="I46" s="89"/>
      <c r="J46" s="189"/>
      <c r="K46" s="617"/>
      <c r="L46" s="376" t="s">
        <v>1622</v>
      </c>
      <c r="M46" s="617" t="s">
        <v>598</v>
      </c>
      <c r="N46" s="3001">
        <f>ROUND(L45*N45,0)</f>
        <v>0</v>
      </c>
      <c r="O46" s="1219"/>
      <c r="P46" s="1222"/>
      <c r="Q46" s="596"/>
      <c r="R46" s="1864"/>
      <c r="S46" s="1864"/>
      <c r="T46" s="846" t="str">
        <f>IF(T45="","",IF(T44&gt;=3000,50*T45,IF(T44&gt;=25,25*T45,IF(T44&gt;=5,(10*T45)-5,T44))))</f>
        <v/>
      </c>
      <c r="U46" s="961" t="e">
        <f>LOOKUP(T46,'Tax Table'!$A$2:$A$2063,'Tax Table'!$C$2:$C$2063)</f>
        <v>#N/A</v>
      </c>
      <c r="V46" s="961" t="e">
        <f>LOOKUP(T46,'Tax Table'!$A$2:$A$2063,'Tax Table'!$D$2:$D$2063)</f>
        <v>#N/A</v>
      </c>
      <c r="W46" s="961" t="e">
        <f>LOOKUP(T46,'Tax Table'!$A$2:$A$2063,'Tax Table'!$E$2:$E$2063)</f>
        <v>#N/A</v>
      </c>
      <c r="X46" s="961" t="e">
        <f>LOOKUP(T46,'Tax Table'!$A$2:$A$2063,'Tax Table'!$F$2:$F$2063)</f>
        <v>#N/A</v>
      </c>
      <c r="Y46" s="961" t="e">
        <f>IF(T43&lt;SectA_a3,"---",IF(T43&lt;=SectA_a4,ROUND((T43*(SectA_b4/100)-SectA_d4),0),IF(T43&lt;=SectA_a5,ROUND((T43*(SectA_b5/100)-SectA_d5),0),IF(T43&lt;=SectA_a6,ROUND((T43*(SectA_b6/100)-SectA_d6),0),ROUND((T43*(SectA_b7/100)-SectA_d7),0)))))</f>
        <v>#VALUE!</v>
      </c>
      <c r="Z46" s="961" t="e">
        <f>IF(T43&lt;SectB_a2,"---",IF(T43&lt;=SectB_a3,ROUND((T43*(SectB_b3/100)-SectB_d3),0),IF(T43&lt;=SectB_a4,ROUND((T43*(SectB_b4/100)-SectB_d4),0),IF(T43&lt;=SectB_a5,ROUND((T43*(SectB_b5/100)-SectB_d5),0),IF(T43&lt;=SectB_a6,ROUND((T43*(SectB_b6/100)-SectB_d6),0),ROUND((T43*(SectB_b7/100)-SectB_d7),0))))))</f>
        <v>#VALUE!</v>
      </c>
      <c r="AA46" s="961" t="e">
        <f>IF(T43&lt;SectC_a2,"---",IF(T43&lt;=SectC_a3,ROUND((T43*(SectC_b3/100)-SectC_d3),0),IF(T43&lt;=SectC_a4,ROUND((T43*(SectC_b4/100)-SectC_d4),0),IF(T43&lt;=SectC_a5,ROUND((T43*(SectC_b5/100)-SectC_d5),0),ROUND((T43*(SectC_b6/100)-SectC_d6),0)))))</f>
        <v>#VALUE!</v>
      </c>
      <c r="AB46" s="962" t="e">
        <f>IF(T43&lt;SectD_a2,"---",IF(T43&lt;=SectD_a3,ROUND((T43*(SectD_b3/100)-SectD_d3),0),IF(T43&lt;=SectD_a4,ROUND((T43*(SectD_b4/100)-SectD_d4),0),IF(T43&lt;=SectD_a5,ROUND((T43*(SectD_b5/100)-SectD_d5),0),IF(T43&lt;=SectD_a6,ROUND((T43*(SectD_b6/100)-SectD_d6),0),ROUND((T43*(SectD_b7/100)-SectD_d7),0))))))</f>
        <v>#VALUE!</v>
      </c>
      <c r="AC46" s="2295"/>
      <c r="AD46" s="2295"/>
      <c r="AE46" s="2295"/>
      <c r="AF46" s="2295"/>
      <c r="AG46" s="2295"/>
      <c r="AH46" s="2295"/>
      <c r="AI46" s="2295"/>
      <c r="AJ46" s="2295"/>
      <c r="AK46" s="2295"/>
      <c r="AL46" s="2295"/>
      <c r="AM46" s="2295"/>
      <c r="AN46" s="2295"/>
    </row>
    <row r="47" spans="1:40" ht="13.5" customHeight="1">
      <c r="A47" s="117"/>
      <c r="B47" s="1201"/>
      <c r="C47" s="617" t="s">
        <v>599</v>
      </c>
      <c r="D47" s="767"/>
      <c r="E47" s="89" t="s">
        <v>1015</v>
      </c>
      <c r="F47" s="89"/>
      <c r="G47" s="370"/>
      <c r="H47" s="89"/>
      <c r="I47" s="89"/>
      <c r="J47" s="189"/>
      <c r="K47" s="189"/>
      <c r="L47" s="793"/>
      <c r="M47" s="189"/>
      <c r="N47" s="1212"/>
      <c r="O47" s="1219"/>
      <c r="P47" s="1222"/>
      <c r="Q47" s="596"/>
      <c r="R47" s="1864"/>
      <c r="S47" s="1864"/>
      <c r="T47" s="698" t="str">
        <f>IF(File_Single&lt;&gt;"",U46,IF(File_Marr_Joint&lt;&gt;"",V46,IF(File_Marr_Sep&lt;&gt;"", W46,IF(File_Head&lt;&gt;"",X46,IF(File_Qual_Widow&lt;&gt;"",V46,"Filing status?")))))</f>
        <v>Filing status?</v>
      </c>
      <c r="U47" s="696" t="str">
        <f>"&lt;100k"</f>
        <v>&lt;100k</v>
      </c>
      <c r="V47" s="1308"/>
      <c r="W47" s="1308"/>
      <c r="X47" s="1308"/>
      <c r="Y47" s="1308"/>
      <c r="Z47" s="1308"/>
      <c r="AA47" s="696"/>
      <c r="AB47" s="699"/>
      <c r="AC47" s="2295"/>
      <c r="AD47" s="2295"/>
      <c r="AE47" s="2295"/>
      <c r="AF47" s="2295"/>
      <c r="AG47" s="2295"/>
      <c r="AH47" s="2295"/>
      <c r="AI47" s="2295"/>
      <c r="AJ47" s="2295"/>
      <c r="AK47" s="2295"/>
      <c r="AL47" s="2295"/>
      <c r="AM47" s="2295"/>
      <c r="AN47" s="2295"/>
    </row>
    <row r="48" spans="1:40" ht="13.5" customHeight="1" thickBot="1">
      <c r="A48" s="117"/>
      <c r="B48" s="1201"/>
      <c r="C48" s="617"/>
      <c r="D48" s="767"/>
      <c r="E48" s="89" t="s">
        <v>1016</v>
      </c>
      <c r="F48" s="89"/>
      <c r="G48" s="370"/>
      <c r="H48" s="89"/>
      <c r="I48" s="89"/>
      <c r="J48" s="189"/>
      <c r="K48" s="189"/>
      <c r="L48" s="793"/>
      <c r="M48" s="189"/>
      <c r="N48" s="1212"/>
      <c r="O48" s="1219"/>
      <c r="P48" s="1222"/>
      <c r="Q48" s="596"/>
      <c r="R48" s="1864"/>
      <c r="S48" s="1864"/>
      <c r="T48" s="697" t="str">
        <f>IF(File_Single&lt;&gt;"",Y46,IF(OR(File_Marr_Joint&lt;&gt;"",File_Qual_Widow&lt;&gt;""),Z46,IF(File_Marr_Sep&lt;&gt;"", AA46,IF(File_Head&lt;&gt;"",AB46,"Filing status?"))))</f>
        <v>Filing status?</v>
      </c>
      <c r="U48" s="847" t="str">
        <f>"&gt;=100k"</f>
        <v>&gt;=100k</v>
      </c>
      <c r="V48" s="847"/>
      <c r="W48" s="847"/>
      <c r="X48" s="847"/>
      <c r="Y48" s="847"/>
      <c r="Z48" s="847"/>
      <c r="AA48" s="847"/>
      <c r="AB48" s="848"/>
      <c r="AC48" s="2295"/>
      <c r="AD48" s="2295"/>
      <c r="AE48" s="2295"/>
      <c r="AF48" s="2295"/>
      <c r="AG48" s="2295"/>
      <c r="AH48" s="2295"/>
      <c r="AI48" s="2295"/>
      <c r="AJ48" s="2295"/>
      <c r="AK48" s="2295"/>
      <c r="AL48" s="2295"/>
      <c r="AM48" s="2295"/>
      <c r="AN48" s="2295"/>
    </row>
    <row r="49" spans="1:40" ht="13.5" customHeight="1">
      <c r="A49" s="117"/>
      <c r="B49" s="1201"/>
      <c r="C49" s="1218"/>
      <c r="D49" s="189"/>
      <c r="E49" s="89" t="s">
        <v>611</v>
      </c>
      <c r="F49" s="89"/>
      <c r="G49" s="89"/>
      <c r="H49" s="65"/>
      <c r="I49" s="65"/>
      <c r="J49" s="189"/>
      <c r="K49" s="189"/>
      <c r="L49" s="376" t="s">
        <v>1818</v>
      </c>
      <c r="M49" s="189" t="str">
        <f>C47</f>
        <v>24.</v>
      </c>
      <c r="N49" s="3001" t="str">
        <f>IF(NOT(CGTW),"",IF(CGTW_Line7&lt;=100000,T47,T48))</f>
        <v/>
      </c>
      <c r="O49" s="1211"/>
      <c r="P49" s="1222"/>
      <c r="Q49" s="596"/>
      <c r="R49" s="1864"/>
      <c r="S49" s="1864"/>
      <c r="AC49" s="2295"/>
      <c r="AD49" s="2295"/>
      <c r="AE49" s="2295"/>
      <c r="AF49" s="2295"/>
      <c r="AG49" s="2295"/>
      <c r="AH49" s="2295"/>
      <c r="AI49" s="2295"/>
      <c r="AJ49" s="2295"/>
      <c r="AK49" s="2295"/>
      <c r="AL49" s="2295"/>
      <c r="AM49" s="2295"/>
      <c r="AN49" s="2295"/>
    </row>
    <row r="50" spans="1:40" ht="13.5" customHeight="1">
      <c r="A50" s="117"/>
      <c r="B50" s="1201"/>
      <c r="C50" s="617" t="s">
        <v>600</v>
      </c>
      <c r="D50" s="767"/>
      <c r="E50" s="89" t="s">
        <v>1816</v>
      </c>
      <c r="F50" s="89"/>
      <c r="G50" s="370"/>
      <c r="H50" s="89"/>
      <c r="I50" s="89"/>
      <c r="J50" s="189"/>
      <c r="K50" s="189"/>
      <c r="L50" s="376" t="s">
        <v>1817</v>
      </c>
      <c r="M50" s="189" t="str">
        <f>C50</f>
        <v>25.</v>
      </c>
      <c r="N50" s="3001" t="str">
        <f>IF(NOT(CGTW),"",SUM(N43,N46,N49))</f>
        <v/>
      </c>
      <c r="O50" s="1219"/>
      <c r="P50" s="1222"/>
      <c r="Q50" s="596"/>
      <c r="R50" s="1864"/>
      <c r="S50" s="1864"/>
      <c r="AC50" s="2295"/>
      <c r="AD50" s="2295"/>
      <c r="AE50" s="2295"/>
      <c r="AF50" s="2295"/>
      <c r="AG50" s="2295"/>
      <c r="AH50" s="2295"/>
      <c r="AI50" s="2295"/>
      <c r="AJ50" s="2295"/>
      <c r="AK50" s="2295"/>
      <c r="AL50" s="2295"/>
      <c r="AM50" s="2295"/>
      <c r="AN50" s="2295"/>
    </row>
    <row r="51" spans="1:40" ht="13.5" customHeight="1" thickBot="1">
      <c r="A51" s="117"/>
      <c r="B51" s="1201"/>
      <c r="C51" s="617" t="s">
        <v>601</v>
      </c>
      <c r="D51" s="189"/>
      <c r="E51" s="89" t="s">
        <v>1017</v>
      </c>
      <c r="F51" s="89"/>
      <c r="G51" s="89"/>
      <c r="H51" s="65"/>
      <c r="I51" s="65"/>
      <c r="J51" s="189"/>
      <c r="K51" s="189"/>
      <c r="L51" s="793"/>
      <c r="M51" s="189"/>
      <c r="N51" s="1234"/>
      <c r="O51" s="1211"/>
      <c r="P51" s="1222"/>
      <c r="Q51" s="596"/>
      <c r="R51" s="1864"/>
      <c r="S51" s="1864"/>
      <c r="T51" s="68" t="s">
        <v>690</v>
      </c>
      <c r="AC51" s="2295"/>
      <c r="AD51" s="2295"/>
      <c r="AE51" s="2295"/>
      <c r="AF51" s="2295"/>
      <c r="AG51" s="2295"/>
      <c r="AH51" s="2295"/>
      <c r="AI51" s="2295"/>
      <c r="AJ51" s="2295"/>
      <c r="AK51" s="2295"/>
      <c r="AL51" s="2295"/>
      <c r="AM51" s="2295"/>
      <c r="AN51" s="2295"/>
    </row>
    <row r="52" spans="1:40" ht="13.5" customHeight="1">
      <c r="A52" s="117"/>
      <c r="B52" s="1201"/>
      <c r="C52" s="617"/>
      <c r="D52" s="189"/>
      <c r="E52" s="89" t="s">
        <v>1018</v>
      </c>
      <c r="F52" s="89"/>
      <c r="G52" s="89"/>
      <c r="H52" s="65"/>
      <c r="I52" s="65"/>
      <c r="J52" s="189"/>
      <c r="K52" s="189"/>
      <c r="L52" s="793"/>
      <c r="M52" s="189"/>
      <c r="N52" s="1212"/>
      <c r="O52" s="1211"/>
      <c r="P52" s="1222"/>
      <c r="Q52" s="596"/>
      <c r="R52" s="1864"/>
      <c r="S52" s="1864"/>
      <c r="T52" s="841" t="str">
        <f>CGTW_Line1</f>
        <v/>
      </c>
      <c r="U52" s="842"/>
      <c r="V52" s="842"/>
      <c r="W52" s="842"/>
      <c r="X52" s="842"/>
      <c r="Y52" s="842"/>
      <c r="Z52" s="842"/>
      <c r="AA52" s="842"/>
      <c r="AB52" s="843"/>
      <c r="AC52" s="2295"/>
      <c r="AD52" s="2295"/>
      <c r="AE52" s="2295"/>
      <c r="AF52" s="2295"/>
      <c r="AG52" s="2295"/>
      <c r="AH52" s="2295"/>
      <c r="AI52" s="2295"/>
      <c r="AJ52" s="2295"/>
      <c r="AK52" s="2295"/>
      <c r="AL52" s="2295"/>
      <c r="AM52" s="2295"/>
      <c r="AN52" s="2295"/>
    </row>
    <row r="53" spans="1:40">
      <c r="A53" s="117"/>
      <c r="B53" s="1201"/>
      <c r="C53" s="1218"/>
      <c r="D53" s="189"/>
      <c r="E53" s="89" t="s">
        <v>611</v>
      </c>
      <c r="F53" s="89"/>
      <c r="G53" s="89"/>
      <c r="H53" s="65"/>
      <c r="I53" s="65"/>
      <c r="J53" s="189"/>
      <c r="K53" s="189"/>
      <c r="L53" s="376" t="s">
        <v>1077</v>
      </c>
      <c r="M53" s="189" t="str">
        <f>C51</f>
        <v>26.</v>
      </c>
      <c r="N53" s="3001" t="str">
        <f>IF(NOT(CGTW),"",IF(CGTW_Line1&lt;=100000,T56,T57))</f>
        <v/>
      </c>
      <c r="O53" s="1211"/>
      <c r="P53" s="1222"/>
      <c r="Q53" s="596"/>
      <c r="R53" s="1864"/>
      <c r="S53" s="1864"/>
      <c r="T53" s="844" t="str">
        <f>IF(T52&lt;&gt;"",ROUND(T52,0),"")</f>
        <v/>
      </c>
      <c r="U53" s="845" t="s">
        <v>127</v>
      </c>
      <c r="V53" s="1637" t="s">
        <v>945</v>
      </c>
      <c r="W53" s="696" t="s">
        <v>784</v>
      </c>
      <c r="X53" s="696" t="s">
        <v>785</v>
      </c>
      <c r="Y53" s="696" t="s">
        <v>127</v>
      </c>
      <c r="Z53" s="1637" t="s">
        <v>945</v>
      </c>
      <c r="AA53" s="696" t="s">
        <v>784</v>
      </c>
      <c r="AB53" s="699" t="s">
        <v>785</v>
      </c>
      <c r="AC53" s="2295"/>
      <c r="AD53" s="2295"/>
      <c r="AE53" s="2295"/>
      <c r="AF53" s="2295"/>
      <c r="AG53" s="2295"/>
      <c r="AH53" s="2295"/>
      <c r="AI53" s="2295"/>
      <c r="AJ53" s="2295"/>
      <c r="AK53" s="2295"/>
      <c r="AL53" s="2295"/>
      <c r="AM53" s="2295"/>
      <c r="AN53" s="2295"/>
    </row>
    <row r="54" spans="1:40" ht="13.5" customHeight="1">
      <c r="A54" s="117"/>
      <c r="B54" s="1201"/>
      <c r="C54" s="617" t="s">
        <v>602</v>
      </c>
      <c r="D54" s="189"/>
      <c r="E54" s="370" t="s">
        <v>1819</v>
      </c>
      <c r="F54" s="89"/>
      <c r="G54" s="89"/>
      <c r="H54" s="65"/>
      <c r="I54" s="65"/>
      <c r="J54" s="189"/>
      <c r="K54" s="189"/>
      <c r="L54" s="793"/>
      <c r="M54" s="189"/>
      <c r="N54" s="1234"/>
      <c r="O54" s="1211"/>
      <c r="P54" s="1222"/>
      <c r="Q54" s="596"/>
      <c r="R54" s="1864"/>
      <c r="S54" s="1864"/>
      <c r="T54" s="844" t="str">
        <f>IF(T52="","",IF(T52&gt;=3000,INT(T53/50),IF(T52&gt;=25,INT(T53/25),IF(T52&gt;=5,INT((T53+5)/10),0))))</f>
        <v/>
      </c>
      <c r="U54" s="961" t="e">
        <f>LOOKUP(T55,'Tax Table'!$A$2:$A$2063,'Tax Table'!$C$2:$C$2063)</f>
        <v>#N/A</v>
      </c>
      <c r="V54" s="961" t="e">
        <f>LOOKUP(T55,'Tax Table'!$A$2:$A$2063,'Tax Table'!$D$2:$D$2063)</f>
        <v>#N/A</v>
      </c>
      <c r="W54" s="961" t="e">
        <f>LOOKUP(T55,'Tax Table'!$A$2:$A$2063,'Tax Table'!$E$2:$E$2063)</f>
        <v>#N/A</v>
      </c>
      <c r="X54" s="961" t="e">
        <f>LOOKUP(T55,'Tax Table'!$A$2:$A$2063,'Tax Table'!$F$2:$F$2063)</f>
        <v>#N/A</v>
      </c>
      <c r="Y54" s="961" t="str">
        <f>"---"</f>
        <v>---</v>
      </c>
      <c r="Z54" s="961" t="str">
        <f>"---"</f>
        <v>---</v>
      </c>
      <c r="AA54" s="961" t="str">
        <f>"---"</f>
        <v>---</v>
      </c>
      <c r="AB54" s="962" t="str">
        <f>"---"</f>
        <v>---</v>
      </c>
      <c r="AC54" s="2295"/>
      <c r="AD54" s="2295"/>
      <c r="AE54" s="2295"/>
      <c r="AF54" s="2295"/>
      <c r="AG54" s="2295"/>
      <c r="AH54" s="2295"/>
      <c r="AI54" s="2295"/>
      <c r="AJ54" s="2295"/>
      <c r="AK54" s="2295"/>
      <c r="AL54" s="2295"/>
      <c r="AM54" s="2295"/>
      <c r="AN54" s="2295"/>
    </row>
    <row r="55" spans="1:40">
      <c r="A55" s="117"/>
      <c r="B55" s="1201"/>
      <c r="C55" s="189"/>
      <c r="D55" s="189"/>
      <c r="E55" s="89" t="s">
        <v>94</v>
      </c>
      <c r="F55" s="89"/>
      <c r="G55" s="89"/>
      <c r="H55" s="65"/>
      <c r="I55" s="65"/>
      <c r="J55" s="189"/>
      <c r="K55" s="189"/>
      <c r="L55" s="793"/>
      <c r="M55" s="189"/>
      <c r="N55" s="1212"/>
      <c r="O55" s="1211"/>
      <c r="P55" s="1222"/>
      <c r="Q55" s="596"/>
      <c r="R55" s="1864"/>
      <c r="S55" s="1864"/>
      <c r="T55" s="846" t="str">
        <f>IF(T54="","",IF(T53&gt;=3000,50*T54,IF(T53&gt;=25,25*T54,IF(T53&gt;=5,(10*T54)-5,T53))))</f>
        <v/>
      </c>
      <c r="U55" s="961" t="e">
        <f>LOOKUP(T55,'Tax Table'!$A$2:$A$2063,'Tax Table'!$C$2:$C$2063)</f>
        <v>#N/A</v>
      </c>
      <c r="V55" s="961" t="e">
        <f>LOOKUP(T55,'Tax Table'!$A$2:$A$2063,'Tax Table'!$D$2:$D$2063)</f>
        <v>#N/A</v>
      </c>
      <c r="W55" s="961" t="e">
        <f>LOOKUP(T55,'Tax Table'!$A$2:$A$2063,'Tax Table'!$E$2:$E$2063)</f>
        <v>#N/A</v>
      </c>
      <c r="X55" s="961" t="e">
        <f>LOOKUP(T55,'Tax Table'!$A$2:$A$2063,'Tax Table'!$F$2:$F$2063)</f>
        <v>#N/A</v>
      </c>
      <c r="Y55" s="961" t="e">
        <f>IF(T52&lt;SectA_a3,"---",IF(T52&lt;=SectA_a4,ROUND((T52*(SectA_b4/100)-SectA_d4),0),IF(T52&lt;=SectA_a5,ROUND((T52*(SectA_b5/100)-SectA_d5),0),IF(T52&lt;=SectA_a6,ROUND((T52*(SectA_b6/100)-SectA_d6),0),ROUND((T52*(SectA_b7/100)-SectA_d7),0)))))</f>
        <v>#VALUE!</v>
      </c>
      <c r="Z55" s="961" t="e">
        <f>IF(T52&lt;SectB_a2,"---",IF(T52&lt;=SectB_a3,ROUND((T52*(SectB_b3/100)-SectB_d3),0),IF(T52&lt;=SectB_a4,ROUND((T52*(SectB_b4/100)-SectB_d4),0),IF(T52&lt;=SectB_a5,ROUND((T52*(SectB_b5/100)-SectB_d5),0),IF(T52&lt;=SectB_a6,ROUND((T52*(SectB_b6/100)-SectB_d6),0),ROUND((T52*(SectB_b7/100)-SectB_d7),0))))))</f>
        <v>#VALUE!</v>
      </c>
      <c r="AA55" s="961" t="e">
        <f>IF(T52&lt;SectC_a2,"---",IF(T52&lt;=SectC_a3,ROUND((T52*(SectC_b3/100)-SectC_d3),0),IF(T52&lt;=SectC_a4,ROUND((T52*(SectC_b4/100)-SectC_d4),0),IF(T52&lt;=SectC_a5,ROUND((T52*(SectC_b5/100)-SectC_d5),0),ROUND((T52*(SectC_b6/100)-SectC_d6),0)))))</f>
        <v>#VALUE!</v>
      </c>
      <c r="AB55" s="962" t="e">
        <f>IF(T52&lt;SectD_a2,"---",IF(T52&lt;=SectD_a3,ROUND((T52*(SectD_b3/100)-SectD_d3),0),IF(T52&lt;=SectD_a4,ROUND((T52*(SectD_b4/100)-SectD_d4),0),IF(T52&lt;=SectD_a5,ROUND((T52*(SectD_b5/100)-SectD_d5),0),IF(T52&lt;=SectD_a6,ROUND((T52*(SectD_b6/100)-SectD_d6),0),ROUND((T52*(SectD_b7/100)-SectD_d7),0))))))</f>
        <v>#VALUE!</v>
      </c>
      <c r="AC55" s="2295"/>
      <c r="AD55" s="2295"/>
      <c r="AE55" s="2295"/>
      <c r="AF55" s="2295"/>
      <c r="AG55" s="2295"/>
      <c r="AH55" s="2295"/>
      <c r="AI55" s="2295"/>
      <c r="AJ55" s="2295"/>
      <c r="AK55" s="2295"/>
      <c r="AL55" s="2295"/>
      <c r="AM55" s="2295"/>
      <c r="AN55" s="2295"/>
    </row>
    <row r="56" spans="1:40">
      <c r="A56" s="117"/>
      <c r="B56" s="1201"/>
      <c r="C56" s="1218"/>
      <c r="D56" s="189"/>
      <c r="E56" s="89" t="s">
        <v>1271</v>
      </c>
      <c r="F56" s="89"/>
      <c r="G56" s="89"/>
      <c r="H56" s="65"/>
      <c r="I56" s="65"/>
      <c r="J56" s="189"/>
      <c r="K56" s="189"/>
      <c r="L56" s="376" t="s">
        <v>1272</v>
      </c>
      <c r="M56" s="189" t="str">
        <f>C54</f>
        <v>27.</v>
      </c>
      <c r="N56" s="3001" t="str">
        <f>IF(R56&lt;&gt;"",R56,IF(NOT(CGTW),"",MIN(N50,N53)))</f>
        <v/>
      </c>
      <c r="O56" s="1211"/>
      <c r="P56" s="1222"/>
      <c r="Q56" s="596"/>
      <c r="R56" s="2294"/>
      <c r="S56" s="1864"/>
      <c r="T56" s="698" t="str">
        <f>IF(File_Single&lt;&gt;"",U55,IF(File_Marr_Joint&lt;&gt;"",V55,IF(File_Marr_Sep&lt;&gt;"", W55,IF(File_Head&lt;&gt;"",X55,IF(File_Qual_Widow&lt;&gt;"",V55,"Filing status?")))))</f>
        <v>Filing status?</v>
      </c>
      <c r="U56" s="696" t="str">
        <f>"&lt;100k"</f>
        <v>&lt;100k</v>
      </c>
      <c r="V56" s="1308"/>
      <c r="W56" s="1308"/>
      <c r="X56" s="1308"/>
      <c r="Y56" s="1308"/>
      <c r="Z56" s="1308"/>
      <c r="AA56" s="696"/>
      <c r="AB56" s="699"/>
      <c r="AC56" s="2295"/>
      <c r="AD56" s="2295"/>
      <c r="AE56" s="2295"/>
      <c r="AF56" s="2295"/>
      <c r="AG56" s="2295"/>
      <c r="AH56" s="2295"/>
      <c r="AI56" s="2295"/>
      <c r="AJ56" s="2295"/>
      <c r="AK56" s="2295"/>
      <c r="AL56" s="2295"/>
      <c r="AM56" s="2295"/>
      <c r="AN56" s="2295"/>
    </row>
    <row r="57" spans="1:40" ht="18" customHeight="1" thickBot="1">
      <c r="A57" s="117"/>
      <c r="B57" s="1201"/>
      <c r="C57" s="1514" t="s">
        <v>1273</v>
      </c>
      <c r="D57" s="189"/>
      <c r="E57" s="89"/>
      <c r="F57" s="89"/>
      <c r="G57" s="89"/>
      <c r="H57" s="65"/>
      <c r="I57" s="65"/>
      <c r="J57" s="189"/>
      <c r="K57" s="189"/>
      <c r="L57" s="793"/>
      <c r="M57" s="189"/>
      <c r="N57" s="1212"/>
      <c r="O57" s="1211"/>
      <c r="P57" s="1222"/>
      <c r="Q57" s="596"/>
      <c r="R57" s="1864"/>
      <c r="S57" s="1864"/>
      <c r="T57" s="697" t="str">
        <f>IF(File_Single&lt;&gt;"",Y55,IF(OR(File_Marr_Joint&lt;&gt;"",File_Qual_Widow&lt;&gt;""),Z55,IF(File_Marr_Sep&lt;&gt;"", AA55,IF(File_Head&lt;&gt;"",AB55,"Filing status?"))))</f>
        <v>Filing status?</v>
      </c>
      <c r="U57" s="847" t="str">
        <f>"&gt;=100k"</f>
        <v>&gt;=100k</v>
      </c>
      <c r="V57" s="847"/>
      <c r="W57" s="847"/>
      <c r="X57" s="847"/>
      <c r="Y57" s="847"/>
      <c r="Z57" s="847"/>
      <c r="AA57" s="847"/>
      <c r="AB57" s="848"/>
      <c r="AC57" s="2295"/>
      <c r="AD57" s="2295"/>
      <c r="AE57" s="2295"/>
      <c r="AF57" s="2295"/>
      <c r="AG57" s="2295"/>
      <c r="AH57" s="2295"/>
      <c r="AI57" s="2295"/>
      <c r="AJ57" s="2295"/>
      <c r="AK57" s="2295"/>
      <c r="AL57" s="2295"/>
      <c r="AM57" s="2295"/>
      <c r="AN57" s="2295"/>
    </row>
    <row r="58" spans="1:40" ht="7.5" customHeight="1" thickBot="1">
      <c r="A58" s="117"/>
      <c r="B58" s="1220"/>
      <c r="C58" s="187"/>
      <c r="D58" s="187"/>
      <c r="E58" s="45"/>
      <c r="F58" s="45"/>
      <c r="G58" s="45"/>
      <c r="H58" s="71"/>
      <c r="I58" s="71"/>
      <c r="J58" s="71"/>
      <c r="K58" s="71"/>
      <c r="L58" s="71"/>
      <c r="M58" s="187"/>
      <c r="N58" s="770"/>
      <c r="O58" s="1221"/>
      <c r="P58" s="1222"/>
      <c r="Q58" s="596"/>
      <c r="R58" s="1864"/>
      <c r="S58" s="1864"/>
      <c r="AC58" s="2295"/>
      <c r="AD58" s="2295"/>
      <c r="AE58" s="2295"/>
      <c r="AF58" s="2295"/>
      <c r="AG58" s="2295"/>
      <c r="AH58" s="2295"/>
      <c r="AI58" s="2295"/>
      <c r="AJ58" s="2295"/>
      <c r="AK58" s="2295"/>
      <c r="AL58" s="2295"/>
      <c r="AM58" s="2295"/>
      <c r="AN58" s="2295"/>
    </row>
    <row r="59" spans="1:40" ht="12" customHeight="1">
      <c r="A59" s="1222"/>
      <c r="B59" s="1223"/>
      <c r="C59" s="1224"/>
      <c r="D59" s="1225"/>
      <c r="E59" s="1226"/>
      <c r="F59" s="1226"/>
      <c r="G59" s="1227"/>
      <c r="H59" s="1228"/>
      <c r="I59" s="1228"/>
      <c r="J59" s="1227"/>
      <c r="K59" s="1229"/>
      <c r="L59" s="1230"/>
      <c r="M59" s="1057"/>
      <c r="N59" s="1057"/>
      <c r="O59" s="1231"/>
      <c r="P59" s="1222"/>
      <c r="Q59" s="596"/>
      <c r="R59" s="1864"/>
      <c r="S59" s="1864"/>
      <c r="AC59" s="2295"/>
      <c r="AD59" s="2295"/>
      <c r="AE59" s="2295"/>
      <c r="AF59" s="2295"/>
      <c r="AG59" s="2295"/>
      <c r="AH59" s="2295"/>
      <c r="AI59" s="2295"/>
      <c r="AJ59" s="2295"/>
      <c r="AK59" s="2295"/>
      <c r="AL59" s="2295"/>
      <c r="AM59" s="2295"/>
      <c r="AN59" s="2295"/>
    </row>
    <row r="60" spans="1:40" ht="15">
      <c r="B60" s="596"/>
      <c r="C60" s="596"/>
      <c r="D60" s="596"/>
      <c r="E60" s="596"/>
      <c r="F60" s="596"/>
      <c r="G60" s="596"/>
      <c r="H60" s="596"/>
      <c r="I60" s="873"/>
      <c r="J60" s="596"/>
      <c r="K60" s="596"/>
      <c r="L60" s="596"/>
      <c r="M60" s="596"/>
      <c r="N60" s="596"/>
      <c r="O60" s="596"/>
      <c r="P60" s="596"/>
      <c r="Q60" s="596"/>
      <c r="R60" s="596"/>
      <c r="S60" s="596"/>
      <c r="AC60" s="2295"/>
      <c r="AD60" s="2295"/>
      <c r="AE60" s="2295"/>
      <c r="AF60" s="2295"/>
      <c r="AG60" s="2295"/>
      <c r="AH60" s="2295"/>
      <c r="AI60" s="2295"/>
      <c r="AJ60" s="2295"/>
      <c r="AK60" s="2295"/>
      <c r="AL60" s="2295"/>
      <c r="AM60" s="2295"/>
      <c r="AN60" s="2295"/>
    </row>
    <row r="64" spans="1:40" ht="15" customHeight="1"/>
  </sheetData>
  <sheetProtection password="F07E" sheet="1" objects="1" scenarios="1"/>
  <phoneticPr fontId="0" type="noConversion"/>
  <conditionalFormatting sqref="L11">
    <cfRule type="expression" dxfId="81" priority="22">
      <formula>IF(NoColor,1,0)</formula>
    </cfRule>
  </conditionalFormatting>
  <conditionalFormatting sqref="L22">
    <cfRule type="expression" dxfId="80" priority="21">
      <formula>IF(NoColor,1,0)</formula>
    </cfRule>
  </conditionalFormatting>
  <conditionalFormatting sqref="L23">
    <cfRule type="expression" dxfId="79" priority="20">
      <formula>IF(NoColor,1,0)</formula>
    </cfRule>
  </conditionalFormatting>
  <conditionalFormatting sqref="L26">
    <cfRule type="expression" dxfId="78" priority="19">
      <formula>IF(NoColor,1,0)</formula>
    </cfRule>
  </conditionalFormatting>
  <conditionalFormatting sqref="L28">
    <cfRule type="expression" dxfId="77" priority="18">
      <formula>IF(NoColor,1,0)</formula>
    </cfRule>
  </conditionalFormatting>
  <conditionalFormatting sqref="L29">
    <cfRule type="expression" dxfId="76" priority="17">
      <formula>IF(NoColor,1,0)</formula>
    </cfRule>
  </conditionalFormatting>
  <conditionalFormatting sqref="L30">
    <cfRule type="expression" dxfId="75" priority="16">
      <formula>IF(NoColor,1,0)</formula>
    </cfRule>
  </conditionalFormatting>
  <conditionalFormatting sqref="L31:L33">
    <cfRule type="expression" dxfId="74" priority="15">
      <formula>IF(NoColor,1,0)</formula>
    </cfRule>
  </conditionalFormatting>
  <conditionalFormatting sqref="L37">
    <cfRule type="expression" dxfId="73" priority="14">
      <formula>IF(NoColor,1,0)</formula>
    </cfRule>
  </conditionalFormatting>
  <conditionalFormatting sqref="L39:L42">
    <cfRule type="expression" dxfId="72" priority="13">
      <formula>IF(NoColor,1,0)</formula>
    </cfRule>
  </conditionalFormatting>
  <conditionalFormatting sqref="L44:L45">
    <cfRule type="expression" dxfId="71" priority="12">
      <formula>IF(NoColor,1,0)</formula>
    </cfRule>
  </conditionalFormatting>
  <conditionalFormatting sqref="J12">
    <cfRule type="expression" dxfId="70" priority="11">
      <formula>IF(NoColor,1,0)</formula>
    </cfRule>
  </conditionalFormatting>
  <conditionalFormatting sqref="J16">
    <cfRule type="expression" dxfId="69" priority="10">
      <formula>IF(NoColor,1,0)</formula>
    </cfRule>
  </conditionalFormatting>
  <conditionalFormatting sqref="J18">
    <cfRule type="expression" dxfId="68" priority="9">
      <formula>IF(NoColor,1,0)</formula>
    </cfRule>
  </conditionalFormatting>
  <conditionalFormatting sqref="J21">
    <cfRule type="expression" dxfId="67" priority="8">
      <formula>IF(NoColor,1,0)</formula>
    </cfRule>
  </conditionalFormatting>
  <conditionalFormatting sqref="D14">
    <cfRule type="expression" dxfId="66" priority="7">
      <formula>IF(NoColor,1,0)</formula>
    </cfRule>
  </conditionalFormatting>
  <conditionalFormatting sqref="D17">
    <cfRule type="expression" dxfId="65" priority="6">
      <formula>IF(NoColor,1,0)</formula>
    </cfRule>
  </conditionalFormatting>
  <conditionalFormatting sqref="N43">
    <cfRule type="expression" dxfId="64" priority="5">
      <formula>IF(NoColor,1,0)</formula>
    </cfRule>
  </conditionalFormatting>
  <conditionalFormatting sqref="N46">
    <cfRule type="expression" dxfId="63" priority="4">
      <formula>IF(NoColor,1,0)</formula>
    </cfRule>
  </conditionalFormatting>
  <conditionalFormatting sqref="N49:N50">
    <cfRule type="expression" dxfId="62" priority="3">
      <formula>IF(NoColor,1,0)</formula>
    </cfRule>
  </conditionalFormatting>
  <conditionalFormatting sqref="N56">
    <cfRule type="expression" dxfId="61" priority="1">
      <formula>IF(NoColor,1,0)</formula>
    </cfRule>
  </conditionalFormatting>
  <conditionalFormatting sqref="N53">
    <cfRule type="expression" dxfId="60" priority="2">
      <formula>IF(NoColor,1,0)</formula>
    </cfRule>
  </conditionalFormatting>
  <printOptions gridLines="1" gridLinesSet="0"/>
  <pageMargins left="0.38" right="0.25" top="0.66" bottom="0.64" header="0.5" footer="0.5"/>
  <pageSetup scale="89" orientation="portrait" horizontalDpi="120" verticalDpi="144"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W244"/>
  <sheetViews>
    <sheetView zoomScaleNormal="100" zoomScaleSheetLayoutView="100" workbookViewId="0">
      <selection activeCell="Q13" sqref="Q13"/>
    </sheetView>
  </sheetViews>
  <sheetFormatPr defaultColWidth="9.140625" defaultRowHeight="12.75"/>
  <cols>
    <col min="1" max="1" width="9.28515625" style="1880" customWidth="1"/>
    <col min="2" max="2" width="4.140625" style="1880" customWidth="1"/>
    <col min="3" max="3" width="6.28515625" style="1880" customWidth="1"/>
    <col min="4" max="5" width="3.7109375" style="1880" customWidth="1"/>
    <col min="6" max="6" width="4.28515625" style="1880" customWidth="1"/>
    <col min="7" max="7" width="5.140625" style="1880" customWidth="1"/>
    <col min="8" max="8" width="10.140625" style="1880" customWidth="1"/>
    <col min="9" max="9" width="13.140625" style="1880" customWidth="1"/>
    <col min="10" max="10" width="11.85546875" style="1880" customWidth="1"/>
    <col min="11" max="11" width="1.5703125" style="1880" customWidth="1"/>
    <col min="12" max="12" width="3.28515625" style="1880" customWidth="1"/>
    <col min="13" max="13" width="5.42578125" style="1880" customWidth="1"/>
    <col min="14" max="14" width="15.28515625" style="1880" customWidth="1"/>
    <col min="15" max="15" width="4" style="1880" customWidth="1"/>
    <col min="16" max="16" width="12.140625" style="1880" customWidth="1"/>
    <col min="17" max="18" width="4.140625" style="1880" customWidth="1"/>
    <col min="19" max="19" width="3.85546875" style="1880" customWidth="1"/>
    <col min="20" max="20" width="11" style="1880" customWidth="1"/>
    <col min="21" max="21" width="2" style="1880" customWidth="1"/>
    <col min="22" max="22" width="3.5703125" style="1879" customWidth="1"/>
    <col min="23" max="23" width="13.5703125" style="1879" customWidth="1"/>
    <col min="24" max="24" width="7.28515625" style="1880" customWidth="1"/>
    <col min="25" max="25" width="16.7109375" style="1880" customWidth="1"/>
    <col min="26" max="16384" width="9.140625" style="1880"/>
  </cols>
  <sheetData>
    <row r="1" spans="1:23">
      <c r="A1" s="1875"/>
      <c r="B1" s="1875"/>
      <c r="C1" s="1875"/>
      <c r="D1" s="1876"/>
      <c r="E1" s="1875"/>
      <c r="F1" s="1875"/>
      <c r="G1" s="1875"/>
      <c r="H1" s="1875"/>
      <c r="I1" s="1875"/>
      <c r="J1" s="1877"/>
      <c r="K1" s="1875"/>
      <c r="L1" s="1875"/>
      <c r="M1" s="1875"/>
      <c r="N1" s="1878"/>
      <c r="O1" s="1875"/>
      <c r="P1" s="1878"/>
      <c r="Q1" s="1875"/>
      <c r="R1" s="1875"/>
      <c r="S1" s="1875"/>
      <c r="T1" s="1875"/>
      <c r="U1" s="1879"/>
    </row>
    <row r="2" spans="1:23" ht="15">
      <c r="A2" s="1881"/>
      <c r="B2" s="1881"/>
      <c r="C2" s="1882"/>
      <c r="D2" s="1881"/>
      <c r="E2" s="1882" t="str">
        <f>IF(OR(Pub_972&lt;&gt;"Complete.",Qual_Child_Count=0),"NOTICE!","")</f>
        <v>NOTICE!</v>
      </c>
      <c r="F2" s="1882"/>
      <c r="G2" s="1883" t="str">
        <f>IF(Qual_Child_Count=0,"No qualifying children have been indicated on Form 1040.",IF(Pub_972&lt;&gt;"Complete.","To correctly determine your Child Tax Credit, you must answer these questions.",""))</f>
        <v>No qualifying children have been indicated on Form 1040.</v>
      </c>
      <c r="H2" s="1884"/>
      <c r="I2" s="1884"/>
      <c r="J2" s="1885"/>
      <c r="K2" s="1884"/>
      <c r="L2" s="1884"/>
      <c r="M2" s="1884"/>
      <c r="N2" s="1886"/>
      <c r="O2" s="1884"/>
      <c r="P2" s="1886"/>
      <c r="Q2" s="1884"/>
      <c r="R2" s="1884"/>
      <c r="S2" s="1884"/>
      <c r="T2" s="1884"/>
      <c r="U2" s="1879"/>
    </row>
    <row r="3" spans="1:23" ht="24" customHeight="1" thickBot="1">
      <c r="A3" s="1875"/>
      <c r="B3" s="1887"/>
      <c r="C3" s="1875"/>
      <c r="D3" s="1876"/>
      <c r="E3" s="1875"/>
      <c r="F3" s="1875"/>
      <c r="G3" s="1875"/>
      <c r="H3" s="1875"/>
      <c r="I3" s="1875"/>
      <c r="J3" s="1877"/>
      <c r="K3" s="1875"/>
      <c r="L3" s="1875"/>
      <c r="M3" s="1875"/>
      <c r="N3" s="1878"/>
      <c r="O3" s="1875"/>
      <c r="P3" s="1878"/>
      <c r="Q3" s="1888" t="s">
        <v>471</v>
      </c>
      <c r="R3" s="1889" t="s">
        <v>460</v>
      </c>
      <c r="S3" s="1893">
        <f>SUM(S9:S12)</f>
        <v>0</v>
      </c>
      <c r="T3" s="1875"/>
      <c r="U3" s="1879"/>
    </row>
    <row r="4" spans="1:23" ht="12.75" customHeight="1" thickBot="1">
      <c r="A4" s="1875"/>
      <c r="B4" s="1887" t="s">
        <v>506</v>
      </c>
      <c r="C4" s="1875" t="s">
        <v>719</v>
      </c>
      <c r="D4" s="1876"/>
      <c r="E4" s="1875"/>
      <c r="F4" s="1875"/>
      <c r="G4" s="1875"/>
      <c r="H4" s="1875"/>
      <c r="I4" s="1875"/>
      <c r="J4" s="1877"/>
      <c r="K4" s="1875"/>
      <c r="L4" s="1875"/>
      <c r="M4" s="1875"/>
      <c r="N4" s="1878"/>
      <c r="O4" s="1875"/>
      <c r="P4" s="2093" t="str">
        <f>IF(Qual_Child_Count=0,"",IF(AND(Q4="",R4=""),"Check one box.  ",IF(AND(Q4&lt;&gt;"",R4&lt;&gt;""),"Check only one box. ",IF(AND(R4&lt;&gt;"",N40=""),"See Line 3 below. ",IF(AND(Q4="X",N40&lt;&gt;"",N40&lt;&gt;0),"Clear Line 3 entry.","")))))</f>
        <v/>
      </c>
      <c r="Q4" s="3605" t="s">
        <v>2693</v>
      </c>
      <c r="R4" s="3350"/>
      <c r="S4" s="1894"/>
      <c r="T4" s="1875"/>
      <c r="U4" s="1879"/>
    </row>
    <row r="5" spans="1:23">
      <c r="A5" s="1875"/>
      <c r="B5" s="1887"/>
      <c r="C5" s="1875"/>
      <c r="D5" s="1890" t="s">
        <v>585</v>
      </c>
      <c r="E5" s="1875" t="s">
        <v>497</v>
      </c>
      <c r="F5" s="1875"/>
      <c r="G5" s="1875"/>
      <c r="H5" s="1875"/>
      <c r="I5" s="1875"/>
      <c r="J5" s="1877"/>
      <c r="K5" s="1875"/>
      <c r="L5" s="1875"/>
      <c r="M5" s="1875"/>
      <c r="N5" s="1878"/>
      <c r="O5" s="1875"/>
      <c r="P5" s="1878"/>
      <c r="Q5" s="1875"/>
      <c r="R5" s="1875"/>
      <c r="S5" s="1875"/>
      <c r="T5" s="1875"/>
      <c r="U5" s="1879"/>
    </row>
    <row r="6" spans="1:23">
      <c r="A6" s="1875"/>
      <c r="B6" s="1887"/>
      <c r="C6" s="1875"/>
      <c r="D6" s="1890" t="s">
        <v>585</v>
      </c>
      <c r="E6" s="1875" t="s">
        <v>470</v>
      </c>
      <c r="F6" s="1875"/>
      <c r="G6" s="1875"/>
      <c r="H6" s="1875"/>
      <c r="I6" s="1875"/>
      <c r="J6" s="1877"/>
      <c r="K6" s="1875"/>
      <c r="L6" s="1875"/>
      <c r="M6" s="1875"/>
      <c r="N6" s="1878"/>
      <c r="O6" s="1875"/>
      <c r="P6" s="1878"/>
      <c r="Q6" s="1875"/>
      <c r="R6" s="1875"/>
      <c r="S6" s="1875"/>
      <c r="T6" s="1875"/>
      <c r="U6" s="1879"/>
    </row>
    <row r="7" spans="1:23">
      <c r="A7" s="1875"/>
      <c r="B7" s="1887"/>
      <c r="C7" s="1875"/>
      <c r="D7" s="1876"/>
      <c r="E7" s="1875"/>
      <c r="F7" s="1875"/>
      <c r="G7" s="1875"/>
      <c r="H7" s="1875"/>
      <c r="I7" s="1875"/>
      <c r="J7" s="1877"/>
      <c r="K7" s="1875"/>
      <c r="L7" s="1875"/>
      <c r="M7" s="1875"/>
      <c r="N7" s="1878"/>
      <c r="O7" s="1875"/>
      <c r="P7" s="1878"/>
      <c r="Q7" s="1878"/>
      <c r="R7" s="1878"/>
      <c r="S7" s="1889"/>
      <c r="T7" s="1875"/>
      <c r="U7" s="1879"/>
    </row>
    <row r="8" spans="1:23" ht="13.5" thickBot="1">
      <c r="A8" s="1875"/>
      <c r="B8" s="1887" t="s">
        <v>0</v>
      </c>
      <c r="C8" s="1875" t="s">
        <v>809</v>
      </c>
      <c r="D8" s="1876"/>
      <c r="E8" s="1875"/>
      <c r="F8" s="1875"/>
      <c r="G8" s="1875"/>
      <c r="H8" s="1875"/>
      <c r="I8" s="1875"/>
      <c r="J8" s="1877"/>
      <c r="K8" s="1875"/>
      <c r="L8" s="1875"/>
      <c r="M8" s="1875"/>
      <c r="N8" s="1878"/>
      <c r="O8" s="1875"/>
      <c r="P8" s="1878"/>
      <c r="Q8" s="1888" t="s">
        <v>471</v>
      </c>
      <c r="R8" s="1889" t="s">
        <v>460</v>
      </c>
      <c r="S8" s="1889"/>
      <c r="T8" s="1875"/>
      <c r="U8" s="1879"/>
    </row>
    <row r="9" spans="1:23" ht="12.75" customHeight="1">
      <c r="A9" s="1875"/>
      <c r="B9" s="1887"/>
      <c r="C9" s="1875"/>
      <c r="D9" s="1890" t="s">
        <v>585</v>
      </c>
      <c r="E9" s="1875" t="str">
        <f>"Mortgage interest credit, Form 8396"</f>
        <v>Mortgage interest credit, Form 8396</v>
      </c>
      <c r="F9" s="1875"/>
      <c r="G9" s="1875"/>
      <c r="H9" s="1875"/>
      <c r="I9" s="1875"/>
      <c r="J9" s="1877"/>
      <c r="K9" s="1875"/>
      <c r="L9" s="1875"/>
      <c r="M9" s="1875"/>
      <c r="N9" s="1878"/>
      <c r="O9" s="1875"/>
      <c r="P9" s="2093" t="str">
        <f>IF(Qual_Child_Count=0,"",IF(AND(Q9="",R9=""),"Check one box.  ",IF(AND(Q9&lt;&gt;"",R9&lt;&gt;""),"Check only one box. ",IF(AND(R9&lt;&gt;"",J228=""),"See Line 11 Worksheet, Line 13.",""))))</f>
        <v/>
      </c>
      <c r="Q9" s="3599" t="s">
        <v>2693</v>
      </c>
      <c r="R9" s="3602"/>
      <c r="S9" s="2090" t="str">
        <f>IF(R9&lt;&gt;"",1,"")</f>
        <v/>
      </c>
      <c r="T9" s="1875"/>
      <c r="U9" s="1879"/>
    </row>
    <row r="10" spans="1:23" ht="12.75" customHeight="1">
      <c r="A10" s="1875"/>
      <c r="B10" s="1887"/>
      <c r="C10" s="1875"/>
      <c r="D10" s="1890" t="s">
        <v>585</v>
      </c>
      <c r="E10" s="1875" t="s">
        <v>1631</v>
      </c>
      <c r="F10" s="1875"/>
      <c r="G10" s="1875"/>
      <c r="H10" s="1875"/>
      <c r="I10" s="1875"/>
      <c r="J10" s="1877"/>
      <c r="K10" s="1875"/>
      <c r="L10" s="1875"/>
      <c r="M10" s="1875"/>
      <c r="N10" s="1878"/>
      <c r="O10" s="1875"/>
      <c r="P10" s="2093" t="str">
        <f>IF(Qual_Child_Count=0,"",IF(AND(Q10="",R10=""),"Check one box.  ",IF(AND(Q10&lt;&gt;"",R10&lt;&gt;""),"Check only one box. ",IF(AND(R10&lt;&gt;"",J229=""),"See Line 11 Worksheet, Line 13.",""))))</f>
        <v/>
      </c>
      <c r="Q10" s="3600" t="s">
        <v>2693</v>
      </c>
      <c r="R10" s="3603"/>
      <c r="S10" s="1892" t="str">
        <f>IF(R10&lt;&gt;"",1,"")</f>
        <v/>
      </c>
      <c r="T10" s="1875"/>
      <c r="U10" s="1879"/>
    </row>
    <row r="11" spans="1:23" ht="12.75" customHeight="1">
      <c r="A11" s="1875"/>
      <c r="B11" s="1887"/>
      <c r="C11" s="1875"/>
      <c r="D11" s="1890" t="s">
        <v>585</v>
      </c>
      <c r="E11" s="1875" t="str">
        <f>"Residential energy efficient property credit, Form 5695, Part II"</f>
        <v>Residential energy efficient property credit, Form 5695, Part II</v>
      </c>
      <c r="F11" s="1875"/>
      <c r="G11" s="1875"/>
      <c r="H11" s="1875"/>
      <c r="I11" s="1875"/>
      <c r="J11" s="1877"/>
      <c r="K11" s="1875"/>
      <c r="L11" s="1875"/>
      <c r="M11" s="1875"/>
      <c r="N11" s="1878"/>
      <c r="O11" s="1875"/>
      <c r="P11" s="2093" t="str">
        <f>IF(Qual_Child_Count=0,"",IF(AND(Q11="",R11=""),"Check one box.  ",IF(AND(Q11&lt;&gt;"",R11&lt;&gt;""),"Check only one box. ",IF(AND(R11&lt;&gt;"",J230=""),"See Lines 10 and Line 11 Worksheet, Line 13.",""))))</f>
        <v/>
      </c>
      <c r="Q11" s="3600" t="s">
        <v>2693</v>
      </c>
      <c r="R11" s="3603"/>
      <c r="S11" s="1892" t="str">
        <f>IF(R11&lt;&gt;"",1,"")</f>
        <v/>
      </c>
      <c r="T11" s="1875"/>
      <c r="U11" s="1879"/>
    </row>
    <row r="12" spans="1:23" ht="12.75" customHeight="1" thickBot="1">
      <c r="A12" s="1875"/>
      <c r="B12" s="1887"/>
      <c r="C12" s="1875"/>
      <c r="D12" s="1890" t="s">
        <v>585</v>
      </c>
      <c r="E12" s="1875" t="s">
        <v>237</v>
      </c>
      <c r="F12" s="1875"/>
      <c r="G12" s="1875"/>
      <c r="H12" s="1875"/>
      <c r="I12" s="1875"/>
      <c r="J12" s="1877"/>
      <c r="K12" s="1875"/>
      <c r="L12" s="1875"/>
      <c r="M12" s="1875"/>
      <c r="N12" s="1878"/>
      <c r="O12" s="1875"/>
      <c r="P12" s="2093" t="str">
        <f>IF(Qual_Child_Count=0,"",IF(AND(Q12="",R12=""),"Check one box.  ",IF(AND(Q12&lt;&gt;"",R12&lt;&gt;""),"Check only one box. ",IF(AND(R12&lt;&gt;"",J231=""),"See Line 11 Worksheet, Line 13.",""))))</f>
        <v/>
      </c>
      <c r="Q12" s="3601" t="s">
        <v>2693</v>
      </c>
      <c r="R12" s="3604"/>
      <c r="S12" s="1892" t="str">
        <f>IF(R12&lt;&gt;"",1,"")</f>
        <v/>
      </c>
      <c r="T12" s="1875"/>
      <c r="U12" s="1879"/>
    </row>
    <row r="13" spans="1:23" s="1903" customFormat="1" ht="20.25" customHeight="1">
      <c r="A13" s="1895"/>
      <c r="B13" s="1896"/>
      <c r="C13" s="1896" t="s">
        <v>456</v>
      </c>
      <c r="D13" s="1897" t="str">
        <f>IF(Qual_Child_Count=0," Not applicable",  IF(AND(Q4&lt;&gt;"",R4&lt;&gt;"")," Check only one box.",  IF(OR(AND(Q9="",R9=""),AND(Q11="",R11=""), AND(Q12="",R12=""), AND(Q4="",R4=""))," Check boxes as indicated above.",  IF(OR(AND(R9&lt;&gt;"",J228=""), AND(R10&lt;&gt;"",J229=""),AND(R11&lt;&gt;"",N94="",J230=""), AND(R12&lt;&gt;"",J231=""), AND(R4&lt;&gt;"",N40=""))," Need more information.","Complete."))))</f>
        <v xml:space="preserve"> Not applicable</v>
      </c>
      <c r="E13" s="1895"/>
      <c r="F13" s="1895"/>
      <c r="G13" s="1898"/>
      <c r="H13" s="1899"/>
      <c r="I13" s="1899"/>
      <c r="J13" s="1900"/>
      <c r="K13" s="1895"/>
      <c r="L13" s="1895"/>
      <c r="M13" s="1895"/>
      <c r="N13" s="1901"/>
      <c r="O13" s="1895"/>
      <c r="P13" s="1891"/>
      <c r="Q13" s="1895"/>
      <c r="R13" s="1891"/>
      <c r="S13" s="1895"/>
      <c r="T13" s="1895"/>
      <c r="U13" s="1902"/>
      <c r="V13" s="1902"/>
      <c r="W13" s="1902"/>
    </row>
    <row r="14" spans="1:23" ht="20.25" customHeight="1" thickBot="1">
      <c r="A14" s="1904"/>
      <c r="B14" s="1905"/>
      <c r="C14" s="1905"/>
      <c r="D14" s="1906"/>
      <c r="E14" s="1904"/>
      <c r="F14" s="1904"/>
      <c r="G14" s="1907"/>
      <c r="H14" s="1908"/>
      <c r="I14" s="1908"/>
      <c r="J14" s="1909"/>
      <c r="K14" s="1904"/>
      <c r="L14" s="1904"/>
      <c r="M14" s="1904"/>
      <c r="N14" s="1910"/>
      <c r="O14" s="1904"/>
      <c r="P14" s="1891"/>
      <c r="Q14" s="1904"/>
      <c r="R14" s="1891"/>
      <c r="S14" s="1904"/>
      <c r="T14" s="1904"/>
      <c r="U14" s="1879"/>
    </row>
    <row r="15" spans="1:23" ht="12.75" customHeight="1">
      <c r="A15" s="1911"/>
      <c r="B15" s="1912"/>
      <c r="C15" s="1913"/>
      <c r="D15" s="1914"/>
      <c r="E15" s="1915"/>
      <c r="F15" s="1915"/>
      <c r="G15" s="1915"/>
      <c r="H15" s="1915"/>
      <c r="I15" s="1915"/>
      <c r="J15" s="1916"/>
      <c r="K15" s="1915"/>
      <c r="L15" s="1915"/>
      <c r="M15" s="1915"/>
      <c r="N15" s="1917"/>
      <c r="O15" s="1915"/>
      <c r="P15" s="1917"/>
      <c r="Q15" s="1918"/>
      <c r="R15" s="1918"/>
      <c r="S15" s="1918"/>
      <c r="T15" s="1918"/>
      <c r="U15" s="1879"/>
    </row>
    <row r="16" spans="1:23" ht="12.75" customHeight="1">
      <c r="A16" s="1911"/>
      <c r="B16" s="1919"/>
      <c r="C16" s="1920" t="s">
        <v>1274</v>
      </c>
      <c r="D16" s="1921"/>
      <c r="E16" s="1922" t="s">
        <v>1340</v>
      </c>
      <c r="F16" s="1922"/>
      <c r="G16" s="1911"/>
      <c r="H16" s="1911"/>
      <c r="I16" s="1911"/>
      <c r="J16" s="1923"/>
      <c r="K16" s="1911"/>
      <c r="L16" s="1911"/>
      <c r="M16" s="1911"/>
      <c r="N16" s="1918"/>
      <c r="O16" s="1911"/>
      <c r="P16" s="1918"/>
      <c r="Q16" s="1918"/>
      <c r="R16" s="1918"/>
      <c r="S16" s="1918"/>
      <c r="T16" s="1918"/>
      <c r="U16" s="1879"/>
    </row>
    <row r="17" spans="1:21" ht="12.75" customHeight="1" thickBot="1">
      <c r="A17" s="1878"/>
      <c r="B17" s="1924"/>
      <c r="C17" s="1924"/>
      <c r="D17" s="1925"/>
      <c r="E17" s="1924"/>
      <c r="F17" s="1924"/>
      <c r="G17" s="1924"/>
      <c r="H17" s="1924"/>
      <c r="I17" s="1924"/>
      <c r="J17" s="1926"/>
      <c r="K17" s="1924"/>
      <c r="L17" s="1924"/>
      <c r="M17" s="1924"/>
      <c r="N17" s="1924"/>
      <c r="O17" s="1924"/>
      <c r="P17" s="1924"/>
      <c r="Q17" s="1878"/>
      <c r="R17" s="1878"/>
      <c r="S17" s="1878"/>
      <c r="T17" s="1878"/>
      <c r="U17" s="1879"/>
    </row>
    <row r="18" spans="1:21" ht="12.75" customHeight="1">
      <c r="A18" s="1878"/>
      <c r="B18" s="1878"/>
      <c r="C18" s="1878"/>
      <c r="D18" s="1927"/>
      <c r="E18" s="1878"/>
      <c r="F18" s="1878"/>
      <c r="G18" s="1878"/>
      <c r="H18" s="1878"/>
      <c r="I18" s="1878"/>
      <c r="J18" s="1928"/>
      <c r="K18" s="1878"/>
      <c r="L18" s="1878"/>
      <c r="M18" s="1878"/>
      <c r="N18" s="1878"/>
      <c r="O18" s="1878"/>
      <c r="P18" s="1878"/>
      <c r="Q18" s="1878"/>
      <c r="R18" s="1878"/>
      <c r="S18" s="1878"/>
      <c r="T18" s="1878"/>
      <c r="U18" s="1879"/>
    </row>
    <row r="19" spans="1:21" ht="6.75" customHeight="1" thickBot="1">
      <c r="A19" s="1929"/>
      <c r="B19" s="1929"/>
      <c r="C19" s="1930"/>
      <c r="D19" s="1931"/>
      <c r="E19" s="1929"/>
      <c r="F19" s="1929"/>
      <c r="G19" s="1929"/>
      <c r="H19" s="1929"/>
      <c r="I19" s="1929"/>
      <c r="J19" s="1929"/>
      <c r="K19" s="1929"/>
      <c r="L19" s="1929"/>
      <c r="M19" s="1929"/>
      <c r="N19" s="1929"/>
      <c r="O19" s="1929"/>
      <c r="P19" s="1929"/>
      <c r="Q19" s="1929"/>
      <c r="R19" s="1929"/>
      <c r="S19" s="1929"/>
      <c r="T19" s="1929"/>
      <c r="U19" s="1879"/>
    </row>
    <row r="20" spans="1:21" ht="41.25" customHeight="1" thickBot="1">
      <c r="A20" s="1911"/>
      <c r="B20" s="1942" t="s">
        <v>1275</v>
      </c>
      <c r="C20" s="1943"/>
      <c r="D20" s="1944"/>
      <c r="E20" s="1945"/>
      <c r="F20" s="1945"/>
      <c r="G20" s="1945"/>
      <c r="H20" s="1945"/>
      <c r="I20" s="1945"/>
      <c r="J20" s="1946"/>
      <c r="K20" s="1945"/>
      <c r="L20" s="1945"/>
      <c r="M20" s="1945"/>
      <c r="N20" s="1947"/>
      <c r="O20" s="1947" t="s">
        <v>300</v>
      </c>
      <c r="P20" s="1948"/>
      <c r="Q20" s="1918"/>
      <c r="R20" s="1918"/>
      <c r="S20" s="1918"/>
      <c r="T20" s="1918"/>
      <c r="U20" s="1879"/>
    </row>
    <row r="21" spans="1:21" ht="24" customHeight="1" thickTop="1">
      <c r="A21" s="1904"/>
      <c r="B21" s="1932"/>
      <c r="C21" s="1906"/>
      <c r="D21" s="1921"/>
      <c r="E21" s="1933"/>
      <c r="F21" s="1934"/>
      <c r="G21" s="1934" t="s">
        <v>362</v>
      </c>
      <c r="H21" s="1935" t="s">
        <v>625</v>
      </c>
      <c r="I21" s="2080" t="s">
        <v>2254</v>
      </c>
      <c r="J21" s="1936"/>
      <c r="K21" s="1936"/>
      <c r="L21" s="1936"/>
      <c r="M21" s="1936"/>
      <c r="N21" s="1936"/>
      <c r="O21" s="1936"/>
      <c r="P21" s="1936"/>
      <c r="Q21" s="1936"/>
      <c r="R21" s="1936"/>
      <c r="S21" s="1936"/>
      <c r="T21" s="1904"/>
      <c r="U21" s="1879"/>
    </row>
    <row r="22" spans="1:21" ht="11.25" customHeight="1">
      <c r="A22" s="1904"/>
      <c r="B22" s="1937"/>
      <c r="C22" s="1906"/>
      <c r="D22" s="1921"/>
      <c r="E22" s="1904"/>
      <c r="F22" s="1904"/>
      <c r="G22" s="1904"/>
      <c r="H22" s="1938"/>
      <c r="I22" s="2081" t="s">
        <v>1820</v>
      </c>
      <c r="J22" s="1939"/>
      <c r="K22" s="1904"/>
      <c r="L22" s="1904"/>
      <c r="M22" s="1904"/>
      <c r="N22" s="1904"/>
      <c r="O22" s="1940"/>
      <c r="P22" s="1941"/>
      <c r="Q22" s="1904"/>
      <c r="R22" s="1904"/>
      <c r="S22" s="1904"/>
      <c r="T22" s="1904"/>
      <c r="U22" s="1879"/>
    </row>
    <row r="23" spans="1:21" ht="12.75" customHeight="1">
      <c r="A23" s="1911"/>
      <c r="B23" s="1919"/>
      <c r="C23" s="1922"/>
      <c r="D23" s="1921"/>
      <c r="E23" s="1911"/>
      <c r="F23" s="1911"/>
      <c r="G23" s="1911"/>
      <c r="H23" s="1911"/>
      <c r="I23" s="1911"/>
      <c r="J23" s="1923"/>
      <c r="K23" s="1911"/>
      <c r="L23" s="1911"/>
      <c r="M23" s="1911"/>
      <c r="N23" s="1918"/>
      <c r="O23" s="1911"/>
      <c r="P23" s="1918"/>
      <c r="Q23" s="1918"/>
      <c r="R23" s="1918"/>
      <c r="S23" s="1918"/>
      <c r="T23" s="1918"/>
      <c r="U23" s="1879"/>
    </row>
    <row r="24" spans="1:21" ht="12.75" customHeight="1">
      <c r="A24" s="1911"/>
      <c r="B24" s="1919"/>
      <c r="C24" s="1920"/>
      <c r="D24" s="1952" t="str">
        <f>"1."</f>
        <v>1.</v>
      </c>
      <c r="E24" s="2082" t="s">
        <v>1627</v>
      </c>
      <c r="F24" s="1949"/>
      <c r="G24" s="1911"/>
      <c r="H24" s="1911"/>
      <c r="I24" s="1911"/>
      <c r="J24" s="1923"/>
      <c r="K24" s="1911"/>
      <c r="L24" s="1911"/>
      <c r="M24" s="1911"/>
      <c r="N24" s="1949"/>
      <c r="O24" s="1911"/>
      <c r="P24" s="1918"/>
      <c r="Q24" s="1918"/>
      <c r="R24" s="1918"/>
      <c r="S24" s="1918"/>
      <c r="T24" s="1918"/>
      <c r="U24" s="1879"/>
    </row>
    <row r="25" spans="1:21" ht="12.75" customHeight="1">
      <c r="A25" s="1911"/>
      <c r="B25" s="1919"/>
      <c r="C25" s="1920"/>
      <c r="D25" s="1921"/>
      <c r="E25" s="2082" t="str">
        <f>"of "&amp;TaxYear&amp;" and and meet the other requirements listed earlier under Qualifying Child."</f>
        <v>of 2014 and and meet the other requirements listed earlier under Qualifying Child.</v>
      </c>
      <c r="F25" s="1950"/>
      <c r="G25" s="1911"/>
      <c r="H25" s="1911"/>
      <c r="I25" s="1911"/>
      <c r="J25" s="1923"/>
      <c r="K25" s="1911"/>
      <c r="L25" s="1911"/>
      <c r="M25" s="1911"/>
      <c r="N25" s="1918"/>
      <c r="O25" s="1911"/>
      <c r="P25" s="1918"/>
      <c r="Q25" s="1918"/>
      <c r="R25" s="1918"/>
      <c r="S25" s="1918"/>
      <c r="T25" s="1918"/>
      <c r="U25" s="1879"/>
    </row>
    <row r="26" spans="1:21" ht="12.75" customHeight="1">
      <c r="A26" s="2763"/>
      <c r="B26" s="1919"/>
      <c r="C26" s="1922"/>
      <c r="D26" s="1921"/>
      <c r="E26" s="2763"/>
      <c r="F26" s="2763"/>
      <c r="G26" s="2763"/>
      <c r="H26" s="2763"/>
      <c r="I26" s="2763"/>
      <c r="J26" s="1923"/>
      <c r="K26" s="2763"/>
      <c r="L26" s="2763"/>
      <c r="M26" s="2763"/>
      <c r="N26" s="1918"/>
      <c r="O26" s="2763"/>
      <c r="P26" s="1918"/>
      <c r="Q26" s="1918"/>
      <c r="R26" s="1918"/>
      <c r="S26" s="1918"/>
      <c r="T26" s="1918"/>
      <c r="U26" s="1879"/>
    </row>
    <row r="27" spans="1:21" ht="12.75" customHeight="1">
      <c r="A27" s="2763"/>
      <c r="B27" s="1919"/>
      <c r="C27" s="1920"/>
      <c r="D27" s="1952" t="str">
        <f>"2."</f>
        <v>2.</v>
      </c>
      <c r="E27" s="2082" t="s">
        <v>1341</v>
      </c>
      <c r="F27" s="1949"/>
      <c r="G27" s="2763"/>
      <c r="H27" s="2763"/>
      <c r="I27" s="2763"/>
      <c r="J27" s="1923"/>
      <c r="K27" s="2763"/>
      <c r="L27" s="2763"/>
      <c r="M27" s="2763"/>
      <c r="N27" s="1949"/>
      <c r="O27" s="2763"/>
      <c r="P27" s="1918"/>
      <c r="Q27" s="1918"/>
      <c r="R27" s="1918"/>
      <c r="S27" s="1918"/>
      <c r="T27" s="1918"/>
      <c r="U27" s="1879"/>
    </row>
    <row r="28" spans="1:21" ht="12.75" customHeight="1" thickBot="1">
      <c r="A28" s="2763"/>
      <c r="B28" s="1919"/>
      <c r="C28" s="1920"/>
      <c r="D28" s="1952"/>
      <c r="E28" s="2082"/>
      <c r="F28" s="1949"/>
      <c r="G28" s="2763"/>
      <c r="H28" s="2763"/>
      <c r="I28" s="2763"/>
      <c r="J28" s="1923"/>
      <c r="K28" s="2763"/>
      <c r="L28" s="2763"/>
      <c r="M28" s="2763"/>
      <c r="N28" s="1949"/>
      <c r="O28" s="2763"/>
      <c r="P28" s="1918"/>
      <c r="Q28" s="1918"/>
      <c r="R28" s="1918"/>
      <c r="S28" s="1918"/>
      <c r="T28" s="1918"/>
      <c r="U28" s="1879"/>
    </row>
    <row r="29" spans="1:21" ht="12.75" customHeight="1" thickTop="1">
      <c r="A29" s="2763"/>
      <c r="B29" s="2765"/>
      <c r="C29" s="2766"/>
      <c r="D29" s="2767"/>
      <c r="E29" s="2768"/>
      <c r="F29" s="2769"/>
      <c r="G29" s="2770"/>
      <c r="H29" s="2770"/>
      <c r="I29" s="2770"/>
      <c r="J29" s="2771"/>
      <c r="K29" s="2770"/>
      <c r="L29" s="2770"/>
      <c r="M29" s="2770"/>
      <c r="N29" s="2769"/>
      <c r="O29" s="2770"/>
      <c r="P29" s="2772"/>
      <c r="Q29" s="1918"/>
      <c r="R29" s="1918"/>
      <c r="S29" s="1918"/>
      <c r="T29" s="1918"/>
      <c r="U29" s="1879"/>
    </row>
    <row r="30" spans="1:21" ht="21" customHeight="1">
      <c r="A30" s="1951"/>
      <c r="B30" s="5229" t="s">
        <v>634</v>
      </c>
      <c r="C30" s="5229"/>
      <c r="D30" s="1952" t="str">
        <f>O30&amp;"."</f>
        <v>1.</v>
      </c>
      <c r="E30" s="1953" t="s">
        <v>739</v>
      </c>
      <c r="F30" s="1953"/>
      <c r="G30" s="1951"/>
      <c r="H30" s="1954"/>
      <c r="I30" s="1954"/>
      <c r="J30" s="3010">
        <f>Qual_Child_Count</f>
        <v>0</v>
      </c>
      <c r="K30" s="5230" t="str">
        <f>"X "&amp;TEXT(N32,"$0,000")&amp;"."</f>
        <v>X $1,000.</v>
      </c>
      <c r="L30" s="5230"/>
      <c r="M30" s="5230"/>
      <c r="N30" s="5231"/>
      <c r="O30" s="1955" t="s">
        <v>251</v>
      </c>
      <c r="P30" s="3007">
        <f>N32*J30</f>
        <v>0</v>
      </c>
      <c r="Q30" s="1956"/>
      <c r="R30" s="1956"/>
      <c r="S30" s="1956"/>
      <c r="T30" s="1956"/>
      <c r="U30" s="1879"/>
    </row>
    <row r="31" spans="1:21" ht="12" customHeight="1">
      <c r="A31" s="1951"/>
      <c r="B31" s="1951"/>
      <c r="C31" s="1951"/>
      <c r="D31" s="1952"/>
      <c r="E31" s="1953" t="s">
        <v>1322</v>
      </c>
      <c r="F31" s="1953"/>
      <c r="G31" s="1951"/>
      <c r="H31" s="1954"/>
      <c r="I31" s="1954"/>
      <c r="J31" s="2773"/>
      <c r="K31" s="2763"/>
      <c r="L31" s="2763"/>
      <c r="M31" s="2763"/>
      <c r="N31" s="2763"/>
      <c r="O31" s="1968"/>
      <c r="P31" s="1996"/>
      <c r="Q31" s="1956"/>
      <c r="R31" s="1956"/>
      <c r="S31" s="1956"/>
      <c r="T31" s="1956"/>
      <c r="U31" s="1879"/>
    </row>
    <row r="32" spans="1:21" ht="10.5" customHeight="1">
      <c r="A32" s="1951"/>
      <c r="B32" s="1957"/>
      <c r="C32" s="1957"/>
      <c r="D32" s="1958"/>
      <c r="E32" s="1959"/>
      <c r="F32" s="1959"/>
      <c r="G32" s="1960"/>
      <c r="H32" s="1960"/>
      <c r="I32" s="1960"/>
      <c r="J32" s="1961"/>
      <c r="K32" s="1960"/>
      <c r="L32" s="1960"/>
      <c r="M32" s="1960"/>
      <c r="N32" s="1962">
        <v>1000</v>
      </c>
      <c r="O32" s="1951"/>
      <c r="P32" s="1951"/>
      <c r="Q32" s="1951"/>
      <c r="R32" s="1951"/>
      <c r="S32" s="1951"/>
      <c r="T32" s="1951"/>
      <c r="U32" s="1879"/>
    </row>
    <row r="33" spans="1:21" ht="9" customHeight="1">
      <c r="A33" s="1951"/>
      <c r="B33" s="1957"/>
      <c r="C33" s="1957"/>
      <c r="D33" s="1958"/>
      <c r="E33" s="1963"/>
      <c r="F33" s="1963"/>
      <c r="G33" s="1964"/>
      <c r="H33" s="1964"/>
      <c r="I33" s="1964"/>
      <c r="J33" s="1965"/>
      <c r="K33" s="1878"/>
      <c r="L33" s="1878"/>
      <c r="M33" s="1951"/>
      <c r="N33" s="1958"/>
      <c r="O33" s="1951"/>
      <c r="P33" s="1958"/>
      <c r="Q33" s="1958"/>
      <c r="R33" s="1958"/>
      <c r="S33" s="1958"/>
      <c r="T33" s="1958"/>
      <c r="U33" s="1879"/>
    </row>
    <row r="34" spans="1:21" ht="15" customHeight="1">
      <c r="A34" s="1951"/>
      <c r="B34" s="1896"/>
      <c r="C34" s="1953"/>
      <c r="D34" s="1952" t="str">
        <f>M34&amp;"."</f>
        <v>2.</v>
      </c>
      <c r="E34" s="1953" t="s">
        <v>822</v>
      </c>
      <c r="F34" s="1967"/>
      <c r="G34" s="1951"/>
      <c r="H34" s="1878"/>
      <c r="I34" s="1878"/>
      <c r="J34" s="1954"/>
      <c r="K34" s="1878"/>
      <c r="L34" s="1878"/>
      <c r="M34" s="1955" t="s">
        <v>252</v>
      </c>
      <c r="N34" s="3008">
        <f>Adj_Gross_Inc</f>
        <v>0</v>
      </c>
      <c r="O34" s="1951"/>
      <c r="P34" s="1958"/>
      <c r="Q34" s="1956"/>
      <c r="R34" s="1956"/>
      <c r="S34" s="1956"/>
      <c r="T34" s="1956"/>
      <c r="U34" s="1879"/>
    </row>
    <row r="35" spans="1:21" ht="18.75" customHeight="1">
      <c r="A35" s="1951"/>
      <c r="B35" s="1896"/>
      <c r="C35" s="1953"/>
      <c r="D35" s="1952"/>
      <c r="E35" s="1967" t="s">
        <v>1628</v>
      </c>
      <c r="F35" s="1967"/>
      <c r="G35" s="1951"/>
      <c r="H35" s="1878"/>
      <c r="I35" s="1878"/>
      <c r="J35" s="1954"/>
      <c r="K35" s="1878"/>
      <c r="L35" s="1878"/>
      <c r="M35" s="1968"/>
      <c r="N35" s="2774"/>
      <c r="O35" s="1951"/>
      <c r="P35" s="1958"/>
      <c r="Q35" s="1956"/>
      <c r="R35" s="1956"/>
      <c r="S35" s="1956"/>
      <c r="T35" s="1956"/>
      <c r="U35" s="1879"/>
    </row>
    <row r="36" spans="1:21" ht="7.5" customHeight="1">
      <c r="A36" s="1951"/>
      <c r="B36" s="1896"/>
      <c r="C36" s="1953"/>
      <c r="D36" s="1966"/>
      <c r="E36" s="1953"/>
      <c r="F36" s="1953"/>
      <c r="G36" s="1951"/>
      <c r="H36" s="1878"/>
      <c r="I36" s="1878"/>
      <c r="J36" s="1954"/>
      <c r="K36" s="1878"/>
      <c r="L36" s="1878"/>
      <c r="M36" s="1968"/>
      <c r="N36" s="1969"/>
      <c r="O36" s="1951"/>
      <c r="P36" s="1958"/>
      <c r="Q36" s="1956"/>
      <c r="R36" s="1956"/>
      <c r="S36" s="1956"/>
      <c r="T36" s="1956"/>
      <c r="U36" s="1879"/>
    </row>
    <row r="37" spans="1:21" ht="9" customHeight="1">
      <c r="A37" s="1951"/>
      <c r="B37" s="1957"/>
      <c r="C37" s="1957"/>
      <c r="D37" s="1958"/>
      <c r="E37" s="1963"/>
      <c r="F37" s="1963"/>
      <c r="G37" s="1964"/>
      <c r="H37" s="1964"/>
      <c r="I37" s="1964"/>
      <c r="J37" s="1965"/>
      <c r="K37" s="1878"/>
      <c r="L37" s="1878"/>
      <c r="M37" s="1951"/>
      <c r="N37" s="1958"/>
      <c r="O37" s="1951"/>
      <c r="P37" s="1958"/>
      <c r="Q37" s="1958"/>
      <c r="R37" s="1958"/>
      <c r="S37" s="1958"/>
      <c r="T37" s="1958"/>
      <c r="U37" s="1879"/>
    </row>
    <row r="38" spans="1:21" ht="12.75" customHeight="1">
      <c r="A38" s="1878"/>
      <c r="B38" s="1878"/>
      <c r="C38" s="1878"/>
      <c r="D38" s="1952" t="str">
        <f>M40&amp;"."</f>
        <v>3.</v>
      </c>
      <c r="E38" s="1970" t="s">
        <v>1276</v>
      </c>
      <c r="F38" s="1970"/>
      <c r="G38" s="1878"/>
      <c r="H38" s="1878"/>
      <c r="I38" s="1878"/>
      <c r="J38" s="1928"/>
      <c r="K38" s="1878"/>
      <c r="L38" s="1878"/>
      <c r="M38" s="1878"/>
      <c r="N38" s="1878"/>
      <c r="O38" s="1878"/>
      <c r="P38" s="1878"/>
      <c r="Q38" s="1878"/>
      <c r="R38" s="1878"/>
      <c r="S38" s="1878"/>
      <c r="T38" s="1878"/>
      <c r="U38" s="1879"/>
    </row>
    <row r="39" spans="1:21" ht="12.75" customHeight="1">
      <c r="A39" s="1904"/>
      <c r="B39" s="1904"/>
      <c r="C39" s="1904"/>
      <c r="D39" s="1968"/>
      <c r="E39" s="1971" t="s">
        <v>585</v>
      </c>
      <c r="F39" s="1971"/>
      <c r="G39" s="1972" t="s">
        <v>1277</v>
      </c>
      <c r="H39" s="1904"/>
      <c r="I39" s="1904"/>
      <c r="J39" s="1939"/>
      <c r="K39" s="1904"/>
      <c r="L39" s="1904"/>
      <c r="M39" s="1904"/>
      <c r="N39" s="1904"/>
      <c r="O39" s="1904"/>
      <c r="P39" s="1904"/>
      <c r="Q39" s="1904"/>
      <c r="R39" s="1904"/>
      <c r="S39" s="1904"/>
      <c r="T39" s="1904"/>
      <c r="U39" s="1879"/>
    </row>
    <row r="40" spans="1:21" ht="19.5" customHeight="1">
      <c r="A40" s="1904"/>
      <c r="B40" s="1904"/>
      <c r="C40" s="1904"/>
      <c r="D40" s="1968"/>
      <c r="E40" s="1971" t="s">
        <v>585</v>
      </c>
      <c r="F40" s="1971"/>
      <c r="G40" s="1904" t="s">
        <v>1278</v>
      </c>
      <c r="H40" s="1904"/>
      <c r="I40" s="1904"/>
      <c r="J40" s="1939"/>
      <c r="K40" s="1904"/>
      <c r="L40" s="1904"/>
      <c r="M40" s="1955" t="s">
        <v>253</v>
      </c>
      <c r="N40" s="3016"/>
      <c r="O40" s="1973" t="str">
        <f>IF(AND($R$4&lt;&gt;"",N40=""),"¬","")</f>
        <v/>
      </c>
      <c r="P40" s="1906" t="str">
        <f>IF(AND($R$4&lt;&gt;"",N40=""),"Enter total.","")</f>
        <v/>
      </c>
      <c r="Q40" s="1904"/>
      <c r="R40" s="1904"/>
      <c r="S40" s="1904"/>
      <c r="T40" s="1904"/>
      <c r="U40" s="1879"/>
    </row>
    <row r="41" spans="1:21" ht="12.75" customHeight="1">
      <c r="A41" s="1904"/>
      <c r="B41" s="1904"/>
      <c r="C41" s="1904"/>
      <c r="D41" s="1968"/>
      <c r="E41" s="1974"/>
      <c r="F41" s="1974"/>
      <c r="G41" s="1904" t="s">
        <v>1279</v>
      </c>
      <c r="H41" s="1904"/>
      <c r="I41" s="1904"/>
      <c r="J41" s="1939"/>
      <c r="K41" s="1904"/>
      <c r="L41" s="1904"/>
      <c r="M41" s="1904"/>
      <c r="N41" s="1904"/>
      <c r="O41" s="1904"/>
      <c r="P41" s="1904"/>
      <c r="Q41" s="1904"/>
      <c r="R41" s="1904"/>
      <c r="S41" s="1904"/>
      <c r="T41" s="1904"/>
      <c r="U41" s="1879"/>
    </row>
    <row r="42" spans="1:21" ht="12.75" customHeight="1">
      <c r="A42" s="1904"/>
      <c r="B42" s="1904"/>
      <c r="C42" s="1904"/>
      <c r="D42" s="1968"/>
      <c r="E42" s="1974"/>
      <c r="F42" s="1974"/>
      <c r="G42" s="1904" t="s">
        <v>1280</v>
      </c>
      <c r="H42" s="1904"/>
      <c r="I42" s="1904"/>
      <c r="J42" s="1939"/>
      <c r="K42" s="1904"/>
      <c r="L42" s="1904"/>
      <c r="M42" s="1904"/>
      <c r="N42" s="1904"/>
      <c r="O42" s="1904"/>
      <c r="P42" s="1904"/>
      <c r="Q42" s="1904"/>
      <c r="R42" s="1904"/>
      <c r="S42" s="1904"/>
      <c r="T42" s="1904"/>
      <c r="U42" s="1879"/>
    </row>
    <row r="43" spans="1:21" ht="15" customHeight="1">
      <c r="A43" s="1904"/>
      <c r="B43" s="1904"/>
      <c r="C43" s="1904"/>
      <c r="D43" s="1968"/>
      <c r="E43" s="1974" t="s">
        <v>1281</v>
      </c>
      <c r="F43" s="1974"/>
      <c r="G43" s="1904"/>
      <c r="H43" s="1904"/>
      <c r="I43" s="1904"/>
      <c r="J43" s="1939"/>
      <c r="K43" s="1904"/>
      <c r="L43" s="1904"/>
      <c r="M43" s="1904"/>
      <c r="N43" s="1904"/>
      <c r="O43" s="1904"/>
      <c r="P43" s="1904"/>
      <c r="Q43" s="1904"/>
      <c r="R43" s="1904"/>
      <c r="S43" s="1904"/>
      <c r="T43" s="1904"/>
      <c r="U43" s="1879"/>
    </row>
    <row r="44" spans="1:21" ht="8.25" customHeight="1">
      <c r="A44" s="1951"/>
      <c r="B44" s="1957"/>
      <c r="C44" s="1957"/>
      <c r="D44" s="1958"/>
      <c r="E44" s="1959"/>
      <c r="F44" s="1959"/>
      <c r="G44" s="1960"/>
      <c r="H44" s="1960"/>
      <c r="I44" s="1960"/>
      <c r="J44" s="1961"/>
      <c r="K44" s="1960"/>
      <c r="L44" s="1960"/>
      <c r="M44" s="1951"/>
      <c r="N44" s="1951"/>
      <c r="O44" s="1951"/>
      <c r="P44" s="1951"/>
      <c r="Q44" s="1951"/>
      <c r="R44" s="1951"/>
      <c r="S44" s="1951"/>
      <c r="T44" s="1951"/>
      <c r="U44" s="1879"/>
    </row>
    <row r="45" spans="1:21" ht="9" customHeight="1">
      <c r="A45" s="1951"/>
      <c r="B45" s="1957"/>
      <c r="C45" s="1957"/>
      <c r="D45" s="1958"/>
      <c r="E45" s="1963"/>
      <c r="F45" s="1963"/>
      <c r="G45" s="1964"/>
      <c r="H45" s="1964"/>
      <c r="I45" s="1964"/>
      <c r="J45" s="1965"/>
      <c r="K45" s="1878"/>
      <c r="L45" s="1878"/>
      <c r="M45" s="1951"/>
      <c r="N45" s="1958"/>
      <c r="O45" s="1951"/>
      <c r="P45" s="1958"/>
      <c r="Q45" s="1958"/>
      <c r="R45" s="1958"/>
      <c r="S45" s="1958"/>
      <c r="T45" s="1958"/>
      <c r="U45" s="1879"/>
    </row>
    <row r="46" spans="1:21" ht="16.5" customHeight="1">
      <c r="A46" s="1951"/>
      <c r="B46" s="1896"/>
      <c r="C46" s="1953"/>
      <c r="D46" s="1952" t="str">
        <f>M46&amp;"."</f>
        <v>4.</v>
      </c>
      <c r="E46" s="1953" t="s">
        <v>1282</v>
      </c>
      <c r="F46" s="1953"/>
      <c r="G46" s="1951"/>
      <c r="H46" s="1878"/>
      <c r="I46" s="1878"/>
      <c r="J46" s="1954"/>
      <c r="K46" s="1878"/>
      <c r="L46" s="1878"/>
      <c r="M46" s="1955" t="s">
        <v>254</v>
      </c>
      <c r="N46" s="3008">
        <f>SUM(N34,N40)</f>
        <v>0</v>
      </c>
      <c r="O46" s="1951"/>
      <c r="P46" s="1958"/>
      <c r="Q46" s="1956"/>
      <c r="R46" s="1956"/>
      <c r="S46" s="1956"/>
      <c r="T46" s="1956"/>
      <c r="U46" s="1879"/>
    </row>
    <row r="47" spans="1:21" ht="7.5" customHeight="1">
      <c r="A47" s="1951"/>
      <c r="B47" s="1957"/>
      <c r="C47" s="1957"/>
      <c r="D47" s="1958"/>
      <c r="E47" s="1959"/>
      <c r="F47" s="1959"/>
      <c r="G47" s="1960"/>
      <c r="H47" s="1960"/>
      <c r="I47" s="1960"/>
      <c r="J47" s="1961"/>
      <c r="K47" s="1960"/>
      <c r="L47" s="1960"/>
      <c r="M47" s="1951"/>
      <c r="N47" s="1951"/>
      <c r="O47" s="1951"/>
      <c r="P47" s="1951"/>
      <c r="Q47" s="1951"/>
      <c r="R47" s="1951"/>
      <c r="S47" s="1951"/>
      <c r="T47" s="1951"/>
      <c r="U47" s="1879"/>
    </row>
    <row r="48" spans="1:21" ht="9" customHeight="1">
      <c r="A48" s="1951"/>
      <c r="B48" s="1957"/>
      <c r="C48" s="1957"/>
      <c r="D48" s="1958"/>
      <c r="E48" s="1963"/>
      <c r="F48" s="1963"/>
      <c r="G48" s="1964"/>
      <c r="H48" s="1964"/>
      <c r="I48" s="1964"/>
      <c r="J48" s="1965"/>
      <c r="K48" s="1878"/>
      <c r="L48" s="1878"/>
      <c r="M48" s="1951"/>
      <c r="N48" s="1958"/>
      <c r="O48" s="1951"/>
      <c r="P48" s="1958"/>
      <c r="Q48" s="1958"/>
      <c r="R48" s="1958"/>
      <c r="S48" s="1958"/>
      <c r="T48" s="1958"/>
      <c r="U48" s="1879"/>
    </row>
    <row r="49" spans="1:21" ht="13.5" customHeight="1">
      <c r="A49" s="1878"/>
      <c r="B49" s="1878"/>
      <c r="C49" s="1878"/>
      <c r="D49" s="1952" t="str">
        <f>M52&amp;"."</f>
        <v>5.</v>
      </c>
      <c r="E49" s="1953" t="s">
        <v>1283</v>
      </c>
      <c r="F49" s="1953"/>
      <c r="G49" s="1878"/>
      <c r="H49" s="1878"/>
      <c r="I49" s="1878"/>
      <c r="J49" s="1928"/>
      <c r="K49" s="1878"/>
      <c r="L49" s="1878"/>
      <c r="M49" s="1878"/>
      <c r="N49" s="1878"/>
      <c r="O49" s="1878"/>
      <c r="P49" s="1878"/>
      <c r="Q49" s="1878"/>
      <c r="R49" s="1878"/>
      <c r="S49" s="1878"/>
      <c r="T49" s="1878"/>
      <c r="U49" s="1879"/>
    </row>
    <row r="50" spans="1:21" ht="12.75" customHeight="1">
      <c r="A50" s="1904"/>
      <c r="B50" s="1904"/>
      <c r="C50" s="1904"/>
      <c r="D50" s="1968"/>
      <c r="E50" s="1972" t="s">
        <v>1284</v>
      </c>
      <c r="F50" s="1972"/>
      <c r="G50" s="1972"/>
      <c r="H50" s="1904"/>
      <c r="I50" s="1904"/>
      <c r="J50" s="1939"/>
      <c r="K50" s="1904"/>
      <c r="L50" s="1904"/>
      <c r="M50" s="1904"/>
      <c r="N50" s="1904"/>
      <c r="O50" s="1904"/>
      <c r="P50" s="1904"/>
      <c r="Q50" s="1904"/>
      <c r="R50" s="1904"/>
      <c r="S50" s="1904"/>
      <c r="T50" s="1904"/>
      <c r="U50" s="1879"/>
    </row>
    <row r="51" spans="1:21" ht="14.25" customHeight="1">
      <c r="A51" s="1904"/>
      <c r="B51" s="1904"/>
      <c r="C51" s="1904"/>
      <c r="D51" s="1968"/>
      <c r="E51" s="1971" t="s">
        <v>585</v>
      </c>
      <c r="F51" s="1971"/>
      <c r="G51" s="1972" t="str">
        <f>"Married filing jointly – "&amp;TEXT(P51,"$0,000")</f>
        <v>Married filing jointly – $110,000</v>
      </c>
      <c r="H51" s="1904"/>
      <c r="I51" s="1904"/>
      <c r="J51" s="1939"/>
      <c r="K51" s="1904"/>
      <c r="L51" s="1904"/>
      <c r="M51" s="1904"/>
      <c r="N51" s="1904"/>
      <c r="O51" s="1904"/>
      <c r="P51" s="1975">
        <v>110000</v>
      </c>
      <c r="Q51" s="1904"/>
      <c r="R51" s="1904"/>
      <c r="S51" s="1904"/>
      <c r="T51" s="1904"/>
      <c r="U51" s="1879"/>
    </row>
    <row r="52" spans="1:21" ht="17.25" customHeight="1">
      <c r="A52" s="1904"/>
      <c r="B52" s="1904"/>
      <c r="C52" s="1904"/>
      <c r="D52" s="1968"/>
      <c r="E52" s="1971" t="s">
        <v>585</v>
      </c>
      <c r="F52" s="1971"/>
      <c r="G52" s="1904" t="s">
        <v>823</v>
      </c>
      <c r="H52" s="1904"/>
      <c r="I52" s="1904"/>
      <c r="J52" s="1939"/>
      <c r="K52" s="1904"/>
      <c r="L52" s="1904"/>
      <c r="M52" s="1955" t="s">
        <v>347</v>
      </c>
      <c r="N52" s="3008" t="str">
        <f>IF(File_Marr_Joint&lt;&gt;"",P51,IF(OR(File_Single&lt;&gt;"",File_Head&lt;&gt;"",File_Qual_Widow&lt;&gt;""),P53,IF(File_Marr_Sep&lt;&gt;"",P54,"Filing Status?")))</f>
        <v>Filing Status?</v>
      </c>
      <c r="O52" s="1904"/>
      <c r="P52" s="1975"/>
      <c r="Q52" s="1904"/>
      <c r="R52" s="1904"/>
      <c r="S52" s="1904"/>
      <c r="T52" s="1904"/>
      <c r="U52" s="1879"/>
    </row>
    <row r="53" spans="1:21" ht="12" customHeight="1">
      <c r="A53" s="1904"/>
      <c r="B53" s="1904"/>
      <c r="C53" s="1904"/>
      <c r="D53" s="1968"/>
      <c r="E53" s="1974"/>
      <c r="F53" s="1974"/>
      <c r="G53" s="1904" t="str">
        <f>"qualifying widow(er) – "&amp;TEXT(P53,"$0,000")</f>
        <v>qualifying widow(er) – $75,000</v>
      </c>
      <c r="H53" s="1904"/>
      <c r="I53" s="1904"/>
      <c r="J53" s="1939"/>
      <c r="K53" s="1904"/>
      <c r="L53" s="1904"/>
      <c r="M53" s="1904"/>
      <c r="N53" s="1904"/>
      <c r="O53" s="1904"/>
      <c r="P53" s="1975">
        <v>75000</v>
      </c>
      <c r="Q53" s="1904"/>
      <c r="R53" s="1904"/>
      <c r="S53" s="1904"/>
      <c r="T53" s="1904"/>
      <c r="U53" s="1879"/>
    </row>
    <row r="54" spans="1:21" ht="17.25" customHeight="1">
      <c r="A54" s="1904"/>
      <c r="B54" s="1904"/>
      <c r="C54" s="1904"/>
      <c r="D54" s="1968"/>
      <c r="E54" s="1971" t="s">
        <v>585</v>
      </c>
      <c r="F54" s="1971"/>
      <c r="G54" s="1904" t="str">
        <f>"Married filing separately – "&amp;TEXT(P54,"$0,000")</f>
        <v>Married filing separately – $55,000</v>
      </c>
      <c r="H54" s="1904"/>
      <c r="I54" s="1904"/>
      <c r="J54" s="1939"/>
      <c r="K54" s="1904"/>
      <c r="L54" s="1904"/>
      <c r="M54" s="1904"/>
      <c r="N54" s="1904"/>
      <c r="O54" s="1904"/>
      <c r="P54" s="1975">
        <v>55000</v>
      </c>
      <c r="Q54" s="1904"/>
      <c r="R54" s="1904"/>
      <c r="S54" s="1904"/>
      <c r="T54" s="1904"/>
      <c r="U54" s="1879"/>
    </row>
    <row r="55" spans="1:21" ht="8.25" customHeight="1">
      <c r="A55" s="1951"/>
      <c r="B55" s="1957"/>
      <c r="C55" s="1957"/>
      <c r="D55" s="1958"/>
      <c r="E55" s="1959"/>
      <c r="F55" s="1959"/>
      <c r="G55" s="1960"/>
      <c r="H55" s="1960"/>
      <c r="I55" s="1960"/>
      <c r="J55" s="1961"/>
      <c r="K55" s="1960"/>
      <c r="L55" s="1960"/>
      <c r="M55" s="1951"/>
      <c r="N55" s="1951"/>
      <c r="O55" s="1951"/>
      <c r="P55" s="1951"/>
      <c r="Q55" s="1951"/>
      <c r="R55" s="1951"/>
      <c r="S55" s="1951"/>
      <c r="T55" s="1951"/>
      <c r="U55" s="1879"/>
    </row>
    <row r="56" spans="1:21" ht="9" customHeight="1">
      <c r="A56" s="1951"/>
      <c r="B56" s="1957"/>
      <c r="C56" s="1957"/>
      <c r="D56" s="1958"/>
      <c r="E56" s="1963"/>
      <c r="F56" s="1963"/>
      <c r="G56" s="1964"/>
      <c r="H56" s="1964"/>
      <c r="I56" s="1964"/>
      <c r="J56" s="1965"/>
      <c r="K56" s="1878"/>
      <c r="L56" s="1878"/>
      <c r="M56" s="1951"/>
      <c r="N56" s="1958"/>
      <c r="O56" s="1951"/>
      <c r="P56" s="1958"/>
      <c r="Q56" s="1958"/>
      <c r="R56" s="1958"/>
      <c r="S56" s="1958"/>
      <c r="T56" s="1958"/>
      <c r="U56" s="1879"/>
    </row>
    <row r="57" spans="1:21" ht="15.75" customHeight="1">
      <c r="A57" s="1878"/>
      <c r="B57" s="1878"/>
      <c r="C57" s="1878"/>
      <c r="D57" s="1952" t="str">
        <f>M60&amp;"."</f>
        <v>6.</v>
      </c>
      <c r="E57" s="1953" t="s">
        <v>1285</v>
      </c>
      <c r="F57" s="1953"/>
      <c r="G57" s="1878"/>
      <c r="H57" s="1878"/>
      <c r="I57" s="1878"/>
      <c r="J57" s="1928"/>
      <c r="K57" s="1878"/>
      <c r="L57" s="1878"/>
      <c r="M57" s="1878"/>
      <c r="N57" s="1878"/>
      <c r="O57" s="1878"/>
      <c r="P57" s="1878"/>
      <c r="Q57" s="1878"/>
      <c r="R57" s="1878"/>
      <c r="S57" s="1878"/>
      <c r="T57" s="1878"/>
      <c r="U57" s="1879"/>
    </row>
    <row r="58" spans="1:21" ht="9.75" customHeight="1" thickBot="1">
      <c r="A58" s="1904"/>
      <c r="B58" s="1904"/>
      <c r="C58" s="1904"/>
      <c r="D58" s="1968"/>
      <c r="E58" s="1976"/>
      <c r="F58" s="1976"/>
      <c r="G58" s="1972"/>
      <c r="H58" s="1904"/>
      <c r="I58" s="1904"/>
      <c r="J58" s="1939"/>
      <c r="K58" s="1904"/>
      <c r="L58" s="1904"/>
      <c r="M58" s="1904"/>
      <c r="N58" s="1904"/>
      <c r="O58" s="1904"/>
      <c r="P58" s="1904"/>
      <c r="Q58" s="1904"/>
      <c r="R58" s="1904"/>
      <c r="S58" s="1904"/>
      <c r="T58" s="1904"/>
      <c r="U58" s="1879"/>
    </row>
    <row r="59" spans="1:21" ht="14.25" customHeight="1" thickBot="1">
      <c r="A59" s="1904"/>
      <c r="B59" s="1904"/>
      <c r="C59" s="1904"/>
      <c r="D59" s="1968"/>
      <c r="E59" s="3009" t="str">
        <f>IF(N46&gt;N52,"","X")</f>
        <v>X</v>
      </c>
      <c r="F59" s="1977"/>
      <c r="G59" s="1978" t="s">
        <v>468</v>
      </c>
      <c r="H59" s="1904" t="s">
        <v>1286</v>
      </c>
      <c r="I59" s="1904"/>
      <c r="J59" s="1939"/>
      <c r="K59" s="1904"/>
      <c r="L59" s="1904"/>
      <c r="M59" s="1904"/>
      <c r="N59" s="1904"/>
      <c r="O59" s="1904"/>
      <c r="P59" s="1904"/>
      <c r="Q59" s="1904"/>
      <c r="R59" s="1904"/>
      <c r="S59" s="1904"/>
      <c r="T59" s="1904"/>
      <c r="U59" s="1879"/>
    </row>
    <row r="60" spans="1:21" ht="17.25" customHeight="1" thickBot="1">
      <c r="A60" s="1904"/>
      <c r="B60" s="1904"/>
      <c r="C60" s="1904"/>
      <c r="D60" s="1968"/>
      <c r="E60" s="1971"/>
      <c r="F60" s="1971"/>
      <c r="G60" s="1904"/>
      <c r="H60" s="1904"/>
      <c r="I60" s="1904"/>
      <c r="J60" s="1939"/>
      <c r="K60" s="1904"/>
      <c r="L60" s="1904"/>
      <c r="M60" s="1955" t="s">
        <v>175</v>
      </c>
      <c r="N60" s="3008" t="str">
        <f>IF(E59="X","",ROUNDUP(N46-N52,-3))</f>
        <v/>
      </c>
      <c r="O60" s="1904"/>
      <c r="P60" s="1979"/>
      <c r="Q60" s="1904"/>
      <c r="R60" s="1904"/>
      <c r="S60" s="1904"/>
      <c r="T60" s="1904"/>
      <c r="U60" s="1879"/>
    </row>
    <row r="61" spans="1:21" ht="12" customHeight="1" thickBot="1">
      <c r="A61" s="1904"/>
      <c r="B61" s="1904"/>
      <c r="C61" s="1904"/>
      <c r="D61" s="1968"/>
      <c r="E61" s="3009" t="str">
        <f>IF(N46&gt;N52,"X","")</f>
        <v/>
      </c>
      <c r="F61" s="1977"/>
      <c r="G61" s="1978" t="s">
        <v>292</v>
      </c>
      <c r="H61" s="1904" t="s">
        <v>1287</v>
      </c>
      <c r="I61" s="1904"/>
      <c r="J61" s="1939"/>
      <c r="K61" s="1904"/>
      <c r="L61" s="1904"/>
      <c r="M61" s="1904"/>
      <c r="N61" s="1904"/>
      <c r="O61" s="1904"/>
      <c r="P61" s="1904"/>
      <c r="Q61" s="1904"/>
      <c r="R61" s="1904"/>
      <c r="S61" s="1904"/>
      <c r="T61" s="1904"/>
      <c r="U61" s="1879"/>
    </row>
    <row r="62" spans="1:21" ht="12" customHeight="1">
      <c r="A62" s="1904"/>
      <c r="B62" s="1904"/>
      <c r="C62" s="1904"/>
      <c r="D62" s="1968"/>
      <c r="E62" s="1980"/>
      <c r="F62" s="1980"/>
      <c r="G62" s="1981" t="s">
        <v>1288</v>
      </c>
      <c r="H62" s="1904"/>
      <c r="I62" s="1904"/>
      <c r="J62" s="1939"/>
      <c r="K62" s="1904"/>
      <c r="L62" s="1904"/>
      <c r="M62" s="1904"/>
      <c r="N62" s="1904"/>
      <c r="O62" s="1904"/>
      <c r="P62" s="1904"/>
      <c r="Q62" s="1904"/>
      <c r="R62" s="1904"/>
      <c r="S62" s="1904"/>
      <c r="T62" s="1904"/>
      <c r="U62" s="1879"/>
    </row>
    <row r="63" spans="1:21" ht="12" customHeight="1">
      <c r="A63" s="1904"/>
      <c r="B63" s="1904"/>
      <c r="C63" s="1904"/>
      <c r="D63" s="1968"/>
      <c r="E63" s="1980"/>
      <c r="F63" s="1980"/>
      <c r="G63" s="1981" t="s">
        <v>1289</v>
      </c>
      <c r="H63" s="1904"/>
      <c r="I63" s="1904"/>
      <c r="J63" s="1939"/>
      <c r="K63" s="1904"/>
      <c r="L63" s="1904"/>
      <c r="M63" s="1904"/>
      <c r="N63" s="1904"/>
      <c r="O63" s="1904"/>
      <c r="P63" s="1904"/>
      <c r="Q63" s="1904"/>
      <c r="R63" s="1904"/>
      <c r="S63" s="1904"/>
      <c r="T63" s="1904"/>
      <c r="U63" s="1879"/>
    </row>
    <row r="64" spans="1:21" ht="12" customHeight="1">
      <c r="A64" s="1904"/>
      <c r="B64" s="1904"/>
      <c r="C64" s="1904"/>
      <c r="D64" s="1968"/>
      <c r="E64" s="1980"/>
      <c r="F64" s="1980"/>
      <c r="G64" s="1981" t="s">
        <v>1290</v>
      </c>
      <c r="H64" s="1904"/>
      <c r="I64" s="1904"/>
      <c r="J64" s="1939"/>
      <c r="K64" s="1904"/>
      <c r="L64" s="1904"/>
      <c r="M64" s="1904"/>
      <c r="N64" s="1904"/>
      <c r="O64" s="1904"/>
      <c r="P64" s="1904"/>
      <c r="Q64" s="1904"/>
      <c r="R64" s="1904"/>
      <c r="S64" s="1904"/>
      <c r="T64" s="1904"/>
      <c r="U64" s="1879"/>
    </row>
    <row r="65" spans="1:21" ht="12" customHeight="1">
      <c r="A65" s="1904"/>
      <c r="B65" s="1904"/>
      <c r="C65" s="1904"/>
      <c r="D65" s="1968"/>
      <c r="E65" s="1980"/>
      <c r="F65" s="1980"/>
      <c r="G65" s="1981" t="s">
        <v>1291</v>
      </c>
      <c r="H65" s="1904"/>
      <c r="I65" s="1904"/>
      <c r="J65" s="1939"/>
      <c r="K65" s="1904"/>
      <c r="L65" s="1904"/>
      <c r="M65" s="1904"/>
      <c r="N65" s="1904"/>
      <c r="O65" s="1904"/>
      <c r="P65" s="1904"/>
      <c r="Q65" s="1904"/>
      <c r="R65" s="1904"/>
      <c r="S65" s="1904"/>
      <c r="T65" s="1904"/>
      <c r="U65" s="1879"/>
    </row>
    <row r="66" spans="1:21" ht="8.25" customHeight="1">
      <c r="A66" s="1951"/>
      <c r="B66" s="1957"/>
      <c r="C66" s="1957"/>
      <c r="D66" s="1958"/>
      <c r="E66" s="1959"/>
      <c r="F66" s="1959"/>
      <c r="G66" s="1960"/>
      <c r="H66" s="1960"/>
      <c r="I66" s="1960"/>
      <c r="J66" s="1961"/>
      <c r="K66" s="1951"/>
      <c r="L66" s="1951"/>
      <c r="M66" s="1951"/>
      <c r="N66" s="1951"/>
      <c r="O66" s="1951"/>
      <c r="P66" s="1951"/>
      <c r="Q66" s="1951"/>
      <c r="R66" s="1951"/>
      <c r="S66" s="1951"/>
      <c r="T66" s="1951"/>
      <c r="U66" s="1879"/>
    </row>
    <row r="67" spans="1:21" ht="23.25" customHeight="1">
      <c r="A67" s="1951"/>
      <c r="B67" s="1896"/>
      <c r="C67" s="1953"/>
      <c r="D67" s="1952" t="str">
        <f>O67&amp;"."</f>
        <v>7.</v>
      </c>
      <c r="E67" s="1982" t="s">
        <v>1292</v>
      </c>
      <c r="F67" s="1982"/>
      <c r="G67" s="1951"/>
      <c r="H67" s="1954"/>
      <c r="I67" s="1954"/>
      <c r="J67" s="1954"/>
      <c r="K67" s="1954"/>
      <c r="L67" s="1954"/>
      <c r="M67" s="1911"/>
      <c r="N67" s="1918"/>
      <c r="O67" s="1955" t="s">
        <v>176</v>
      </c>
      <c r="P67" s="3008">
        <f>IF(E59="X",0,N60*0.05)</f>
        <v>0</v>
      </c>
      <c r="Q67" s="1956"/>
      <c r="R67" s="1956"/>
      <c r="S67" s="1956"/>
      <c r="T67" s="1956"/>
      <c r="U67" s="1879"/>
    </row>
    <row r="68" spans="1:21" ht="9" customHeight="1">
      <c r="A68" s="1951"/>
      <c r="B68" s="1957"/>
      <c r="C68" s="1957"/>
      <c r="D68" s="1958"/>
      <c r="E68" s="1959"/>
      <c r="F68" s="1959"/>
      <c r="G68" s="1960"/>
      <c r="H68" s="1960"/>
      <c r="I68" s="1960"/>
      <c r="J68" s="1961"/>
      <c r="K68" s="1960"/>
      <c r="L68" s="1960"/>
      <c r="M68" s="1960"/>
      <c r="N68" s="1960"/>
      <c r="O68" s="1951"/>
      <c r="P68" s="1951"/>
      <c r="Q68" s="1951"/>
      <c r="R68" s="1951"/>
      <c r="S68" s="1951"/>
      <c r="T68" s="1951"/>
      <c r="U68" s="1879"/>
    </row>
    <row r="69" spans="1:21" ht="9" customHeight="1">
      <c r="A69" s="1951"/>
      <c r="B69" s="1957"/>
      <c r="C69" s="1957"/>
      <c r="D69" s="1958"/>
      <c r="E69" s="1963"/>
      <c r="F69" s="1963"/>
      <c r="G69" s="1964"/>
      <c r="H69" s="1964"/>
      <c r="I69" s="1964"/>
      <c r="J69" s="1965"/>
      <c r="K69" s="1878"/>
      <c r="L69" s="1878"/>
      <c r="M69" s="1951"/>
      <c r="N69" s="1958"/>
      <c r="O69" s="1951"/>
      <c r="P69" s="1958"/>
      <c r="Q69" s="1958"/>
      <c r="R69" s="1958"/>
      <c r="S69" s="1958"/>
      <c r="T69" s="1958"/>
      <c r="U69" s="1879"/>
    </row>
    <row r="70" spans="1:21" ht="14.25" customHeight="1">
      <c r="A70" s="1878"/>
      <c r="B70" s="1878"/>
      <c r="C70" s="1878"/>
      <c r="D70" s="1952" t="str">
        <f>O78&amp;"."</f>
        <v>8.</v>
      </c>
      <c r="E70" s="1953" t="s">
        <v>1293</v>
      </c>
      <c r="F70" s="1953"/>
      <c r="G70" s="1878"/>
      <c r="H70" s="1878"/>
      <c r="I70" s="1878"/>
      <c r="J70" s="1928"/>
      <c r="K70" s="1878"/>
      <c r="L70" s="1878"/>
      <c r="M70" s="1878"/>
      <c r="N70" s="1878"/>
      <c r="O70" s="1878"/>
      <c r="P70" s="1878"/>
      <c r="Q70" s="1878"/>
      <c r="R70" s="1878"/>
      <c r="S70" s="1878"/>
      <c r="T70" s="1878"/>
      <c r="U70" s="1879"/>
    </row>
    <row r="71" spans="1:21" ht="9.75" customHeight="1" thickBot="1">
      <c r="A71" s="1904"/>
      <c r="B71" s="1904"/>
      <c r="C71" s="1904"/>
      <c r="D71" s="1968"/>
      <c r="E71" s="1976"/>
      <c r="F71" s="1976"/>
      <c r="G71" s="1972"/>
      <c r="H71" s="1904"/>
      <c r="I71" s="1904"/>
      <c r="J71" s="1939"/>
      <c r="K71" s="1904"/>
      <c r="L71" s="1904"/>
      <c r="M71" s="1904"/>
      <c r="N71" s="1904"/>
      <c r="O71" s="1904"/>
      <c r="P71" s="1904"/>
      <c r="Q71" s="1904"/>
      <c r="R71" s="1904"/>
      <c r="S71" s="1904"/>
      <c r="T71" s="1904"/>
      <c r="U71" s="1879"/>
    </row>
    <row r="72" spans="1:21" ht="17.25" customHeight="1" thickBot="1">
      <c r="A72" s="1904"/>
      <c r="B72" s="1904"/>
      <c r="C72" s="1904"/>
      <c r="D72" s="1968"/>
      <c r="E72" s="3009" t="str">
        <f>IF(P30&gt;P67,"","X")</f>
        <v>X</v>
      </c>
      <c r="F72" s="1977"/>
      <c r="G72" s="1978" t="s">
        <v>1294</v>
      </c>
      <c r="H72" s="1983" t="str">
        <f>IF(E72="X","    STOP","")</f>
        <v xml:space="preserve">    STOP</v>
      </c>
      <c r="I72" s="1983"/>
      <c r="J72" s="1939"/>
      <c r="K72" s="1904"/>
      <c r="L72" s="1904"/>
      <c r="M72" s="1904"/>
      <c r="N72" s="1904"/>
      <c r="O72" s="1904"/>
      <c r="P72" s="1904"/>
      <c r="Q72" s="1904"/>
      <c r="R72" s="1904"/>
      <c r="S72" s="1904"/>
      <c r="T72" s="1904"/>
      <c r="U72" s="1879"/>
    </row>
    <row r="73" spans="1:21" ht="12" customHeight="1">
      <c r="A73" s="1904"/>
      <c r="B73" s="1904"/>
      <c r="C73" s="1904"/>
      <c r="D73" s="1968"/>
      <c r="E73" s="1977"/>
      <c r="F73" s="1977"/>
      <c r="G73" s="1981" t="s">
        <v>2255</v>
      </c>
      <c r="H73" s="1904"/>
      <c r="I73" s="1904"/>
      <c r="J73" s="1939"/>
      <c r="K73" s="1904"/>
      <c r="L73" s="1904"/>
      <c r="M73" s="1904"/>
      <c r="N73" s="1904"/>
      <c r="O73" s="1904"/>
      <c r="P73" s="1904"/>
      <c r="Q73" s="1904"/>
      <c r="R73" s="1904"/>
      <c r="S73" s="1904"/>
      <c r="T73" s="1904"/>
      <c r="U73" s="1879"/>
    </row>
    <row r="74" spans="1:21" ht="12" customHeight="1">
      <c r="A74" s="1904"/>
      <c r="B74" s="1904"/>
      <c r="C74" s="1904"/>
      <c r="D74" s="1968"/>
      <c r="E74" s="1977"/>
      <c r="F74" s="1977"/>
      <c r="G74" s="1981" t="s">
        <v>2256</v>
      </c>
      <c r="H74" s="1904"/>
      <c r="I74" s="1904"/>
      <c r="J74" s="1939"/>
      <c r="K74" s="1904"/>
      <c r="L74" s="1904"/>
      <c r="M74" s="1904"/>
      <c r="N74" s="1904"/>
      <c r="O74" s="1904"/>
      <c r="P74" s="1904"/>
      <c r="Q74" s="1904"/>
      <c r="R74" s="1904"/>
      <c r="S74" s="1904"/>
      <c r="T74" s="1904"/>
      <c r="U74" s="1879"/>
    </row>
    <row r="75" spans="1:21" ht="12" customHeight="1">
      <c r="A75" s="1904"/>
      <c r="B75" s="1904"/>
      <c r="C75" s="1904"/>
      <c r="D75" s="1968"/>
      <c r="E75" s="1977"/>
      <c r="F75" s="1977"/>
      <c r="G75" s="1981" t="s">
        <v>2257</v>
      </c>
      <c r="H75" s="1904"/>
      <c r="I75" s="1904"/>
      <c r="J75" s="1939"/>
      <c r="K75" s="1904"/>
      <c r="L75" s="1904"/>
      <c r="M75" s="1904"/>
      <c r="N75" s="1904"/>
      <c r="O75" s="1904"/>
      <c r="P75" s="1904"/>
      <c r="Q75" s="1904"/>
      <c r="R75" s="1904"/>
      <c r="S75" s="1904"/>
      <c r="T75" s="1904"/>
      <c r="U75" s="1879"/>
    </row>
    <row r="76" spans="1:21" ht="12" customHeight="1">
      <c r="A76" s="1904"/>
      <c r="B76" s="1904"/>
      <c r="C76" s="1904"/>
      <c r="D76" s="1968"/>
      <c r="E76" s="1977"/>
      <c r="F76" s="1977"/>
      <c r="G76" s="1981" t="s">
        <v>2258</v>
      </c>
      <c r="H76" s="1904"/>
      <c r="I76" s="1904"/>
      <c r="J76" s="1939"/>
      <c r="K76" s="1904"/>
      <c r="L76" s="1904"/>
      <c r="M76" s="1904"/>
      <c r="N76" s="1904"/>
      <c r="O76" s="1904"/>
      <c r="P76" s="1904"/>
      <c r="Q76" s="1904"/>
      <c r="R76" s="1904"/>
      <c r="S76" s="1904"/>
      <c r="T76" s="1904"/>
      <c r="U76" s="1879"/>
    </row>
    <row r="77" spans="1:21" ht="12" customHeight="1">
      <c r="A77" s="1904"/>
      <c r="B77" s="1904"/>
      <c r="C77" s="1904"/>
      <c r="D77" s="1968"/>
      <c r="E77" s="1977"/>
      <c r="F77" s="1977"/>
      <c r="G77" s="1981" t="s">
        <v>1295</v>
      </c>
      <c r="H77" s="1904"/>
      <c r="I77" s="1904"/>
      <c r="J77" s="1939"/>
      <c r="K77" s="1904"/>
      <c r="L77" s="1904"/>
      <c r="M77" s="1904"/>
      <c r="N77" s="1904"/>
      <c r="O77" s="1904"/>
      <c r="P77" s="1904"/>
      <c r="Q77" s="1904"/>
      <c r="R77" s="1904"/>
      <c r="S77" s="1904"/>
      <c r="T77" s="1904"/>
      <c r="U77" s="1879"/>
    </row>
    <row r="78" spans="1:21" ht="17.25" customHeight="1" thickBot="1">
      <c r="A78" s="1904"/>
      <c r="B78" s="1904"/>
      <c r="C78" s="1904"/>
      <c r="D78" s="1968"/>
      <c r="E78" s="1971"/>
      <c r="F78" s="1971"/>
      <c r="G78" s="1984"/>
      <c r="H78" s="1904"/>
      <c r="I78" s="1904"/>
      <c r="J78" s="1939"/>
      <c r="K78" s="1904"/>
      <c r="L78" s="1904"/>
      <c r="M78" s="1904"/>
      <c r="N78" s="1904"/>
      <c r="O78" s="1955" t="s">
        <v>177</v>
      </c>
      <c r="P78" s="3007">
        <f>IF(E72="X",0,P30-P67)</f>
        <v>0</v>
      </c>
      <c r="Q78" s="1904"/>
      <c r="R78" s="1904"/>
      <c r="S78" s="1904"/>
      <c r="T78" s="1904"/>
      <c r="U78" s="1879"/>
    </row>
    <row r="79" spans="1:21" ht="18" customHeight="1" thickBot="1">
      <c r="A79" s="1904"/>
      <c r="B79" s="1904"/>
      <c r="C79" s="1904"/>
      <c r="D79" s="1968"/>
      <c r="E79" s="3009" t="str">
        <f>IF(P30&gt;P67,"X","")</f>
        <v/>
      </c>
      <c r="F79" s="1977"/>
      <c r="G79" s="1978" t="s">
        <v>713</v>
      </c>
      <c r="H79" s="1904" t="s">
        <v>1296</v>
      </c>
      <c r="I79" s="1904"/>
      <c r="J79" s="1939"/>
      <c r="K79" s="1904"/>
      <c r="L79" s="1904"/>
      <c r="M79" s="1904"/>
      <c r="N79" s="1904"/>
      <c r="O79" s="1904"/>
      <c r="P79" s="1904"/>
      <c r="Q79" s="1904"/>
      <c r="R79" s="1904"/>
      <c r="S79" s="1904"/>
      <c r="T79" s="1904"/>
      <c r="U79" s="1879"/>
    </row>
    <row r="80" spans="1:21" ht="12" customHeight="1">
      <c r="A80" s="1904"/>
      <c r="B80" s="1904"/>
      <c r="C80" s="1904"/>
      <c r="D80" s="1968"/>
      <c r="E80" s="1980"/>
      <c r="F80" s="1980"/>
      <c r="G80" s="1985" t="s">
        <v>1297</v>
      </c>
      <c r="H80" s="1904"/>
      <c r="I80" s="1904"/>
      <c r="J80" s="1939"/>
      <c r="K80" s="1904"/>
      <c r="L80" s="1904"/>
      <c r="M80" s="1904"/>
      <c r="N80" s="1904"/>
      <c r="O80" s="1904"/>
      <c r="P80" s="1904"/>
      <c r="Q80" s="1904"/>
      <c r="R80" s="1904"/>
      <c r="S80" s="1904"/>
      <c r="T80" s="1904"/>
      <c r="U80" s="1879"/>
    </row>
    <row r="81" spans="1:23" ht="15" customHeight="1">
      <c r="A81" s="1951"/>
      <c r="B81" s="1986"/>
      <c r="C81" s="1986"/>
      <c r="D81" s="1987"/>
      <c r="E81" s="1959"/>
      <c r="F81" s="1959"/>
      <c r="G81" s="1960"/>
      <c r="H81" s="1960"/>
      <c r="I81" s="1960"/>
      <c r="J81" s="1961"/>
      <c r="K81" s="1960"/>
      <c r="L81" s="1960"/>
      <c r="M81" s="1960"/>
      <c r="N81" s="1960"/>
      <c r="O81" s="1960"/>
      <c r="P81" s="1960"/>
      <c r="Q81" s="1951"/>
      <c r="R81" s="1951"/>
      <c r="S81" s="1951"/>
      <c r="T81" s="1951"/>
      <c r="U81" s="1879"/>
    </row>
    <row r="82" spans="1:23" ht="25.5" customHeight="1" thickBot="1">
      <c r="A82" s="1929"/>
      <c r="B82" s="1929"/>
      <c r="C82" s="1988" t="s">
        <v>1298</v>
      </c>
      <c r="D82" s="1931"/>
      <c r="E82" s="1929"/>
      <c r="F82" s="1929"/>
      <c r="G82" s="1929"/>
      <c r="H82" s="1929"/>
      <c r="I82" s="1929"/>
      <c r="J82" s="1989"/>
      <c r="K82" s="1929"/>
      <c r="L82" s="1929"/>
      <c r="M82" s="1929"/>
      <c r="N82" s="1929"/>
      <c r="O82" s="1990"/>
      <c r="P82" s="3005" t="str">
        <f>"Publication 972 ("&amp;TaxYear&amp;")"</f>
        <v>Publication 972 (2014)</v>
      </c>
      <c r="Q82" s="1929"/>
      <c r="R82" s="1929"/>
      <c r="S82" s="1929"/>
      <c r="T82" s="1929"/>
      <c r="U82" s="1879"/>
    </row>
    <row r="83" spans="1:23" ht="30.75" customHeight="1" thickBot="1">
      <c r="A83" s="1911"/>
      <c r="B83" s="1942" t="s">
        <v>1821</v>
      </c>
      <c r="C83" s="1943"/>
      <c r="D83" s="1944"/>
      <c r="E83" s="1945"/>
      <c r="F83" s="1945"/>
      <c r="G83" s="1945"/>
      <c r="H83" s="1945"/>
      <c r="I83" s="1945"/>
      <c r="J83" s="1946"/>
      <c r="K83" s="1945"/>
      <c r="L83" s="1945"/>
      <c r="M83" s="1945"/>
      <c r="N83" s="1991"/>
      <c r="O83" s="1945"/>
      <c r="P83" s="1992" t="s">
        <v>300</v>
      </c>
      <c r="Q83" s="1918"/>
      <c r="R83" s="1918"/>
      <c r="S83" s="1918"/>
      <c r="T83" s="1918"/>
      <c r="U83" s="1879"/>
    </row>
    <row r="84" spans="1:23" ht="9" customHeight="1" thickTop="1">
      <c r="A84" s="1951"/>
      <c r="B84" s="1957"/>
      <c r="C84" s="1957"/>
      <c r="D84" s="1958"/>
      <c r="E84" s="1963"/>
      <c r="F84" s="1963"/>
      <c r="G84" s="1964"/>
      <c r="H84" s="1964"/>
      <c r="I84" s="1964"/>
      <c r="J84" s="1965"/>
      <c r="K84" s="1878"/>
      <c r="L84" s="1878"/>
      <c r="M84" s="1951"/>
      <c r="N84" s="1958"/>
      <c r="O84" s="1951"/>
      <c r="P84" s="1958"/>
      <c r="Q84" s="1958"/>
      <c r="R84" s="1958"/>
      <c r="S84" s="1958"/>
      <c r="T84" s="1958"/>
      <c r="U84" s="1879"/>
    </row>
    <row r="85" spans="1:23" ht="21" customHeight="1">
      <c r="A85" s="1951"/>
      <c r="B85" s="5229" t="s">
        <v>180</v>
      </c>
      <c r="C85" s="5232"/>
      <c r="D85" s="1952" t="str">
        <f>O85&amp;"."</f>
        <v>9.</v>
      </c>
      <c r="E85" s="1993" t="s">
        <v>2259</v>
      </c>
      <c r="F85" s="1993"/>
      <c r="G85" s="1951"/>
      <c r="H85" s="1878"/>
      <c r="I85" s="1878"/>
      <c r="J85" s="1954"/>
      <c r="K85" s="1878"/>
      <c r="L85" s="1878"/>
      <c r="M85" s="1951"/>
      <c r="N85" s="1951"/>
      <c r="O85" s="1994">
        <v>9</v>
      </c>
      <c r="P85" s="3007" t="str">
        <f>IF(E72="X","",F1040_Line47)</f>
        <v/>
      </c>
      <c r="Q85" s="1956"/>
      <c r="R85" s="1956"/>
      <c r="S85" s="1956"/>
      <c r="T85" s="1956"/>
      <c r="U85" s="1879"/>
    </row>
    <row r="86" spans="1:23" ht="13.5" customHeight="1">
      <c r="A86" s="1951"/>
      <c r="B86" s="1957"/>
      <c r="C86" s="1957"/>
      <c r="D86" s="1952"/>
      <c r="E86" s="1993" t="s">
        <v>2260</v>
      </c>
      <c r="F86" s="1993"/>
      <c r="G86" s="1951"/>
      <c r="H86" s="1878"/>
      <c r="I86" s="1878"/>
      <c r="J86" s="1954"/>
      <c r="K86" s="1878"/>
      <c r="L86" s="1878"/>
      <c r="M86" s="1951"/>
      <c r="N86" s="1951"/>
      <c r="O86" s="1995"/>
      <c r="P86" s="1996"/>
      <c r="Q86" s="1956"/>
      <c r="R86" s="1956"/>
      <c r="S86" s="1956"/>
      <c r="T86" s="1956"/>
      <c r="U86" s="1879"/>
    </row>
    <row r="87" spans="1:23" ht="4.5" customHeight="1">
      <c r="A87" s="1951"/>
      <c r="B87" s="1957"/>
      <c r="C87" s="1957"/>
      <c r="D87" s="1958"/>
      <c r="E87" s="1959"/>
      <c r="F87" s="1959"/>
      <c r="G87" s="1960"/>
      <c r="H87" s="1960"/>
      <c r="I87" s="1960"/>
      <c r="J87" s="1961"/>
      <c r="K87" s="1960"/>
      <c r="L87" s="1960"/>
      <c r="M87" s="1960"/>
      <c r="N87" s="1960"/>
      <c r="O87" s="1951"/>
      <c r="P87" s="1951"/>
      <c r="Q87" s="1951"/>
      <c r="R87" s="1951"/>
      <c r="S87" s="1951"/>
      <c r="T87" s="1951"/>
      <c r="U87" s="1879"/>
    </row>
    <row r="88" spans="1:23" ht="24" customHeight="1">
      <c r="A88" s="1951"/>
      <c r="B88" s="1896"/>
      <c r="C88" s="1953"/>
      <c r="D88" s="1952" t="str">
        <f>M99&amp;"."</f>
        <v>10.</v>
      </c>
      <c r="E88" s="1953" t="s">
        <v>1299</v>
      </c>
      <c r="F88" s="1953"/>
      <c r="G88" s="1951"/>
      <c r="H88" s="1878"/>
      <c r="I88" s="1878"/>
      <c r="J88" s="1954"/>
      <c r="K88" s="1951"/>
      <c r="L88" s="1951"/>
      <c r="M88" s="1951"/>
      <c r="N88" s="1958"/>
      <c r="O88" s="1951"/>
      <c r="P88" s="1958"/>
      <c r="Q88" s="1956"/>
      <c r="R88" s="1956"/>
      <c r="S88" s="1956"/>
      <c r="T88" s="1956"/>
      <c r="U88" s="1879"/>
    </row>
    <row r="89" spans="1:23" ht="14.25" customHeight="1">
      <c r="A89" s="1951"/>
      <c r="B89" s="1896"/>
      <c r="C89" s="1953"/>
      <c r="D89" s="1952"/>
      <c r="E89" s="1957" t="s">
        <v>1344</v>
      </c>
      <c r="F89" s="1957"/>
      <c r="G89" s="1951"/>
      <c r="H89" s="1997" t="s">
        <v>1345</v>
      </c>
      <c r="I89" s="1958"/>
      <c r="J89" s="1970" t="s">
        <v>1300</v>
      </c>
      <c r="K89" s="1951"/>
      <c r="L89" s="1951"/>
      <c r="M89" s="1951"/>
      <c r="N89" s="1958"/>
      <c r="O89" s="1951"/>
      <c r="P89" s="1958"/>
      <c r="Q89" s="1956"/>
      <c r="R89" s="1956"/>
      <c r="S89" s="1956"/>
      <c r="T89" s="1956"/>
      <c r="U89" s="1879"/>
    </row>
    <row r="90" spans="1:23" ht="12.75" customHeight="1">
      <c r="A90" s="1951"/>
      <c r="B90" s="1896"/>
      <c r="C90" s="1953"/>
      <c r="D90" s="1966"/>
      <c r="E90" s="1953" t="s">
        <v>1302</v>
      </c>
      <c r="F90" s="1953"/>
      <c r="G90" s="1951"/>
      <c r="H90" s="2003" t="s">
        <v>1303</v>
      </c>
      <c r="I90" s="1878"/>
      <c r="J90" s="1953" t="s">
        <v>1307</v>
      </c>
      <c r="K90" s="1951"/>
      <c r="L90" s="1951"/>
      <c r="M90" s="1951"/>
      <c r="N90" s="3011">
        <f>Foreign_Tax_Credit</f>
        <v>0</v>
      </c>
      <c r="O90" s="1951"/>
      <c r="P90" s="1958"/>
      <c r="Q90" s="1956"/>
      <c r="R90" s="1956"/>
      <c r="S90" s="1956"/>
      <c r="T90" s="1956"/>
      <c r="U90" s="1879"/>
    </row>
    <row r="91" spans="1:23" ht="12.75" customHeight="1">
      <c r="A91" s="1951"/>
      <c r="B91" s="1896"/>
      <c r="C91" s="1953"/>
      <c r="D91" s="1966"/>
      <c r="E91" s="1953" t="s">
        <v>1305</v>
      </c>
      <c r="F91" s="1953"/>
      <c r="G91" s="1951"/>
      <c r="H91" s="1998" t="s">
        <v>1306</v>
      </c>
      <c r="I91" s="1878"/>
      <c r="J91" s="1953" t="s">
        <v>1301</v>
      </c>
      <c r="K91" s="1951"/>
      <c r="L91" s="1951"/>
      <c r="M91" s="2001" t="s">
        <v>1304</v>
      </c>
      <c r="N91" s="3012" t="str">
        <f>Care_Expenses</f>
        <v/>
      </c>
      <c r="O91" s="1951"/>
      <c r="P91" s="1958"/>
      <c r="Q91" s="1956"/>
      <c r="R91" s="1956"/>
      <c r="S91" s="1956"/>
      <c r="T91" s="1956"/>
      <c r="U91" s="1879"/>
    </row>
    <row r="92" spans="1:23" ht="12.75" customHeight="1">
      <c r="A92" s="1951"/>
      <c r="B92" s="1896"/>
      <c r="C92" s="1953"/>
      <c r="D92" s="1966"/>
      <c r="E92" s="1953" t="s">
        <v>1342</v>
      </c>
      <c r="F92" s="1953"/>
      <c r="G92" s="1951"/>
      <c r="H92" s="1998" t="s">
        <v>2262</v>
      </c>
      <c r="I92" s="1878"/>
      <c r="J92" s="2000" t="s">
        <v>1303</v>
      </c>
      <c r="K92" s="1951"/>
      <c r="L92" s="1951"/>
      <c r="M92" s="2001" t="s">
        <v>1304</v>
      </c>
      <c r="N92" s="3012">
        <f>Education</f>
        <v>0</v>
      </c>
      <c r="O92" s="1951"/>
      <c r="P92" s="1958"/>
      <c r="Q92" s="1956"/>
      <c r="R92" s="1956"/>
      <c r="S92" s="1956"/>
      <c r="T92" s="1956"/>
      <c r="U92" s="1879"/>
    </row>
    <row r="93" spans="1:23" ht="12.75" customHeight="1">
      <c r="A93" s="1951"/>
      <c r="B93" s="1896"/>
      <c r="C93" s="1953"/>
      <c r="D93" s="1966"/>
      <c r="E93" s="1982" t="s">
        <v>2261</v>
      </c>
      <c r="F93" s="1953"/>
      <c r="G93" s="2002">
        <f>ResEnergyCredits</f>
        <v>0</v>
      </c>
      <c r="H93" s="1998" t="s">
        <v>2263</v>
      </c>
      <c r="I93" s="1878"/>
      <c r="J93" s="1953" t="s">
        <v>1302</v>
      </c>
      <c r="K93" s="1951"/>
      <c r="L93" s="1951"/>
      <c r="M93" s="2001" t="s">
        <v>1304</v>
      </c>
      <c r="N93" s="3011">
        <f>Retirement_Savings</f>
        <v>0</v>
      </c>
      <c r="O93" s="1951"/>
      <c r="P93" s="1958"/>
      <c r="Q93" s="1956"/>
      <c r="R93" s="1956"/>
      <c r="S93" s="1956"/>
      <c r="T93" s="1956"/>
      <c r="U93" s="1879"/>
      <c r="W93" s="2094"/>
    </row>
    <row r="94" spans="1:23" ht="12.75" customHeight="1">
      <c r="A94" s="1951"/>
      <c r="B94" s="1896"/>
      <c r="C94" s="1953"/>
      <c r="D94" s="2089" t="str">
        <f>IF(R11&lt;&gt;"","®","")</f>
        <v/>
      </c>
      <c r="E94" s="1982" t="s">
        <v>1822</v>
      </c>
      <c r="F94" s="1953"/>
      <c r="G94" s="1951"/>
      <c r="H94" s="2003"/>
      <c r="I94" s="1878"/>
      <c r="J94" s="2091"/>
      <c r="K94" s="1951"/>
      <c r="L94" s="2092"/>
      <c r="M94" s="2001" t="s">
        <v>1304</v>
      </c>
      <c r="N94" s="3013"/>
      <c r="O94" s="1951"/>
      <c r="P94" s="1958"/>
      <c r="Q94" s="1956"/>
      <c r="R94" s="1956"/>
      <c r="S94" s="1956"/>
      <c r="T94" s="1956"/>
      <c r="U94" s="1879"/>
      <c r="W94" s="2094"/>
    </row>
    <row r="95" spans="1:23" ht="12.75" customHeight="1">
      <c r="A95" s="1951"/>
      <c r="B95" s="1896"/>
      <c r="C95" s="1953"/>
      <c r="D95" s="1966"/>
      <c r="E95" s="1953" t="s">
        <v>1823</v>
      </c>
      <c r="F95" s="1953"/>
      <c r="G95" s="1951"/>
      <c r="H95" s="1998"/>
      <c r="I95" s="1878"/>
      <c r="J95" s="1953"/>
      <c r="K95" s="1951"/>
      <c r="L95" s="1951"/>
      <c r="M95" s="2001" t="s">
        <v>1304</v>
      </c>
      <c r="N95" s="3013"/>
      <c r="O95" s="1951"/>
      <c r="P95" s="1958"/>
      <c r="Q95" s="1956"/>
      <c r="R95" s="1956"/>
      <c r="S95" s="1956"/>
      <c r="T95" s="1956"/>
      <c r="U95" s="1879"/>
    </row>
    <row r="96" spans="1:23" ht="12.75" customHeight="1">
      <c r="A96" s="1951"/>
      <c r="B96" s="1896"/>
      <c r="C96" s="1953"/>
      <c r="D96" s="1966"/>
      <c r="E96" s="2087" t="s">
        <v>1630</v>
      </c>
      <c r="F96" s="1953"/>
      <c r="G96" s="1951"/>
      <c r="H96" s="1878"/>
      <c r="I96" s="1878"/>
      <c r="J96" s="1953"/>
      <c r="K96" s="1951"/>
      <c r="L96" s="2089"/>
      <c r="M96" s="2001" t="s">
        <v>1304</v>
      </c>
      <c r="N96" s="3013"/>
      <c r="O96" s="1951"/>
      <c r="P96" s="1958"/>
      <c r="Q96" s="1956"/>
      <c r="R96" s="1956"/>
      <c r="S96" s="1956"/>
      <c r="T96" s="1956"/>
      <c r="U96" s="1879"/>
      <c r="W96" s="2094" t="s">
        <v>152</v>
      </c>
    </row>
    <row r="97" spans="1:23" ht="12.75" customHeight="1">
      <c r="A97" s="1951"/>
      <c r="B97" s="1896"/>
      <c r="C97" s="1953"/>
      <c r="D97" s="1966"/>
      <c r="E97" s="1953" t="s">
        <v>1343</v>
      </c>
      <c r="F97" s="1953"/>
      <c r="G97" s="1951"/>
      <c r="H97" s="1878"/>
      <c r="I97" s="1878"/>
      <c r="J97" s="1953"/>
      <c r="K97" s="1951"/>
      <c r="L97" s="1951"/>
      <c r="M97" s="2001" t="s">
        <v>1304</v>
      </c>
      <c r="N97" s="3013"/>
      <c r="O97" s="1951"/>
      <c r="P97" s="1958"/>
      <c r="Q97" s="1956"/>
      <c r="R97" s="1956"/>
      <c r="S97" s="1956"/>
      <c r="T97" s="1956"/>
      <c r="U97" s="1879"/>
      <c r="W97" s="2094" t="s">
        <v>706</v>
      </c>
    </row>
    <row r="98" spans="1:23" ht="5.25" customHeight="1" thickBot="1">
      <c r="A98" s="1951"/>
      <c r="B98" s="1896"/>
      <c r="C98" s="1953"/>
      <c r="D98" s="1966"/>
      <c r="E98" s="1953"/>
      <c r="F98" s="1953"/>
      <c r="G98" s="1951"/>
      <c r="H98" s="1878"/>
      <c r="I98" s="1878"/>
      <c r="J98" s="1953"/>
      <c r="K98" s="1951"/>
      <c r="L98" s="1951"/>
      <c r="M98" s="2001"/>
      <c r="N98" s="1999"/>
      <c r="O98" s="1951"/>
      <c r="P98" s="1958"/>
      <c r="Q98" s="1956"/>
      <c r="R98" s="1956"/>
      <c r="S98" s="1956"/>
      <c r="T98" s="1956"/>
      <c r="U98" s="1879"/>
    </row>
    <row r="99" spans="1:23" ht="21" customHeight="1" thickBot="1">
      <c r="A99" s="1951"/>
      <c r="B99" s="1896"/>
      <c r="C99" s="1953"/>
      <c r="D99" s="1966"/>
      <c r="E99" s="1951"/>
      <c r="F99" s="1951"/>
      <c r="G99" s="1951"/>
      <c r="H99" s="1951"/>
      <c r="I99" s="1951"/>
      <c r="J99" s="2004" t="s">
        <v>1308</v>
      </c>
      <c r="K99" s="1951"/>
      <c r="L99" s="1951"/>
      <c r="M99" s="1955" t="s">
        <v>179</v>
      </c>
      <c r="N99" s="3014" t="str">
        <f>IF(W99&lt;&gt;"",W99,IF(E72="X","",SUM(N90:N97)))</f>
        <v/>
      </c>
      <c r="O99" s="1951"/>
      <c r="P99" s="1958"/>
      <c r="Q99" s="1956"/>
      <c r="R99" s="1956"/>
      <c r="S99" s="1956"/>
      <c r="T99" s="1956"/>
      <c r="U99" s="1879"/>
      <c r="W99" s="2096"/>
    </row>
    <row r="100" spans="1:23" ht="8.25" customHeight="1">
      <c r="A100" s="1951"/>
      <c r="B100" s="1957"/>
      <c r="C100" s="1957"/>
      <c r="D100" s="1958"/>
      <c r="E100" s="2005"/>
      <c r="F100" s="2005"/>
      <c r="G100" s="1960"/>
      <c r="H100" s="1960"/>
      <c r="I100" s="1960"/>
      <c r="J100" s="1961"/>
      <c r="K100" s="1951"/>
      <c r="L100" s="1951"/>
      <c r="M100" s="1951"/>
      <c r="N100" s="1958"/>
      <c r="O100" s="1951"/>
      <c r="P100" s="1958"/>
      <c r="Q100" s="1958"/>
      <c r="R100" s="1958"/>
      <c r="S100" s="1958"/>
      <c r="T100" s="1958"/>
      <c r="U100" s="1879"/>
    </row>
    <row r="101" spans="1:23" ht="11.25" customHeight="1">
      <c r="A101" s="1951"/>
      <c r="B101" s="1957"/>
      <c r="C101" s="1957"/>
      <c r="D101" s="1958"/>
      <c r="E101" s="2006"/>
      <c r="F101" s="2006"/>
      <c r="G101" s="1951"/>
      <c r="H101" s="1951"/>
      <c r="I101" s="1951"/>
      <c r="J101" s="1896"/>
      <c r="K101" s="1951"/>
      <c r="L101" s="1951"/>
      <c r="M101" s="1951"/>
      <c r="N101" s="1958"/>
      <c r="O101" s="1951"/>
      <c r="P101" s="1958"/>
      <c r="Q101" s="1958"/>
      <c r="R101" s="1958"/>
      <c r="S101" s="1958"/>
      <c r="T101" s="1958"/>
      <c r="U101" s="1879"/>
    </row>
    <row r="102" spans="1:23" ht="15.75" customHeight="1">
      <c r="A102" s="1951"/>
      <c r="B102" s="1957"/>
      <c r="C102" s="1957"/>
      <c r="D102" s="1952" t="str">
        <f>O109&amp;"."</f>
        <v>11.</v>
      </c>
      <c r="E102" s="1982" t="s">
        <v>809</v>
      </c>
      <c r="F102" s="1982"/>
      <c r="G102" s="1951"/>
      <c r="H102" s="1951"/>
      <c r="I102" s="1951"/>
      <c r="J102" s="1896"/>
      <c r="K102" s="1951"/>
      <c r="L102" s="1951"/>
      <c r="M102" s="1951"/>
      <c r="N102" s="1958"/>
      <c r="O102" s="1951"/>
      <c r="P102" s="1958"/>
      <c r="Q102" s="1958"/>
      <c r="R102" s="1958"/>
      <c r="S102" s="1958"/>
      <c r="T102" s="1958"/>
      <c r="U102" s="1879"/>
    </row>
    <row r="103" spans="1:23" ht="15" customHeight="1">
      <c r="A103" s="1878"/>
      <c r="B103" s="1878"/>
      <c r="C103" s="1878"/>
      <c r="D103" s="2089" t="str">
        <f>IF(R9&lt;&gt;"","®","")</f>
        <v/>
      </c>
      <c r="E103" s="1890" t="s">
        <v>585</v>
      </c>
      <c r="F103" s="1890"/>
      <c r="G103" s="1875" t="s">
        <v>1309</v>
      </c>
      <c r="H103" s="1878"/>
      <c r="I103" s="1878"/>
      <c r="J103" s="1928"/>
      <c r="K103" s="1878"/>
      <c r="L103" s="1878"/>
      <c r="M103" s="1878"/>
      <c r="N103" s="1878"/>
      <c r="O103" s="1878"/>
      <c r="P103" s="1878"/>
      <c r="Q103" s="1878"/>
      <c r="R103" s="1878"/>
      <c r="S103" s="1878"/>
      <c r="T103" s="1878"/>
      <c r="U103" s="1879"/>
    </row>
    <row r="104" spans="1:23" ht="15" customHeight="1">
      <c r="A104" s="1878"/>
      <c r="B104" s="1878"/>
      <c r="C104" s="1878"/>
      <c r="D104" s="2089" t="str">
        <f>IF(R10&lt;&gt;"","®","")</f>
        <v/>
      </c>
      <c r="E104" s="1890" t="s">
        <v>585</v>
      </c>
      <c r="F104" s="1890"/>
      <c r="G104" s="1875" t="s">
        <v>1631</v>
      </c>
      <c r="H104" s="1878"/>
      <c r="I104" s="1878"/>
      <c r="J104" s="1928"/>
      <c r="K104" s="1878"/>
      <c r="L104" s="1878"/>
      <c r="M104" s="1878"/>
      <c r="N104" s="1878"/>
      <c r="O104" s="1878"/>
      <c r="P104" s="1878"/>
      <c r="Q104" s="1878"/>
      <c r="R104" s="1878"/>
      <c r="S104" s="1878"/>
      <c r="T104" s="1878"/>
      <c r="U104" s="1879"/>
    </row>
    <row r="105" spans="1:23" ht="15" customHeight="1">
      <c r="A105" s="1878"/>
      <c r="B105" s="1878"/>
      <c r="C105" s="1878"/>
      <c r="D105" s="2089" t="str">
        <f>IF(R11&lt;&gt;"","®","")</f>
        <v/>
      </c>
      <c r="E105" s="1890" t="s">
        <v>585</v>
      </c>
      <c r="F105" s="1890"/>
      <c r="G105" s="1875" t="s">
        <v>1824</v>
      </c>
      <c r="H105" s="1878"/>
      <c r="I105" s="1878"/>
      <c r="J105" s="1928"/>
      <c r="K105" s="1878"/>
      <c r="L105" s="1878"/>
      <c r="M105" s="1878"/>
      <c r="N105" s="1878"/>
      <c r="O105" s="1878"/>
      <c r="P105" s="1878"/>
      <c r="Q105" s="1878"/>
      <c r="R105" s="1878"/>
      <c r="S105" s="1878"/>
      <c r="T105" s="1878"/>
      <c r="U105" s="1879"/>
    </row>
    <row r="106" spans="1:23" ht="15" customHeight="1">
      <c r="A106" s="1878"/>
      <c r="B106" s="1878"/>
      <c r="C106" s="1878"/>
      <c r="D106" s="2089" t="str">
        <f>IF(R12&lt;&gt;"","®","")</f>
        <v/>
      </c>
      <c r="E106" s="1890" t="s">
        <v>585</v>
      </c>
      <c r="F106" s="1890"/>
      <c r="G106" s="1875" t="s">
        <v>237</v>
      </c>
      <c r="H106" s="1878"/>
      <c r="I106" s="1878"/>
      <c r="J106" s="1928"/>
      <c r="K106" s="1878"/>
      <c r="L106" s="1878"/>
      <c r="M106" s="1878"/>
      <c r="N106" s="1878"/>
      <c r="O106" s="1878"/>
      <c r="P106" s="1878"/>
      <c r="Q106" s="1878"/>
      <c r="R106" s="1878"/>
      <c r="S106" s="1878"/>
      <c r="T106" s="1878"/>
      <c r="U106" s="1879"/>
    </row>
    <row r="107" spans="1:23" ht="15" customHeight="1" thickBot="1">
      <c r="A107" s="1878"/>
      <c r="B107" s="1878"/>
      <c r="C107" s="1878"/>
      <c r="D107" s="1927"/>
      <c r="E107" s="1878"/>
      <c r="F107" s="1878"/>
      <c r="G107" s="1878"/>
      <c r="H107" s="1878"/>
      <c r="I107" s="1878"/>
      <c r="J107" s="1928"/>
      <c r="K107" s="1878"/>
      <c r="L107" s="1878"/>
      <c r="M107" s="1878"/>
      <c r="N107" s="1878"/>
      <c r="O107" s="1878"/>
      <c r="P107" s="1878"/>
      <c r="Q107" s="1878"/>
      <c r="R107" s="1878"/>
      <c r="S107" s="1878"/>
      <c r="T107" s="1878"/>
      <c r="U107" s="1879"/>
      <c r="W107" s="2094"/>
    </row>
    <row r="108" spans="1:23" ht="15" customHeight="1" thickBot="1">
      <c r="A108" s="1878"/>
      <c r="B108" s="1878"/>
      <c r="C108" s="1878"/>
      <c r="D108" s="1927"/>
      <c r="E108" s="3009" t="str">
        <f>IF(OR(R9&lt;&gt;"",R10&lt;&gt;"",R11&lt;&gt;"",R12&lt;&gt;""),"","X")</f>
        <v>X</v>
      </c>
      <c r="F108" s="1977"/>
      <c r="G108" s="1997" t="s">
        <v>307</v>
      </c>
      <c r="H108" s="1878" t="str">
        <f>"Enter the amount from Line "&amp;M99&amp;"."</f>
        <v>Enter the amount from Line 10.</v>
      </c>
      <c r="I108" s="1878"/>
      <c r="J108" s="1928"/>
      <c r="K108" s="1878"/>
      <c r="L108" s="1878"/>
      <c r="M108" s="1878"/>
      <c r="N108" s="1878"/>
      <c r="O108" s="1878"/>
      <c r="P108" s="1878"/>
      <c r="Q108" s="1878"/>
      <c r="R108" s="1878"/>
      <c r="S108" s="1878"/>
      <c r="T108" s="1878"/>
      <c r="U108" s="1879"/>
      <c r="W108" s="2094"/>
    </row>
    <row r="109" spans="1:23" ht="18.75" customHeight="1" thickBot="1">
      <c r="A109" s="1878"/>
      <c r="B109" s="1878"/>
      <c r="C109" s="1878"/>
      <c r="D109" s="2007"/>
      <c r="E109" s="1878"/>
      <c r="F109" s="1878"/>
      <c r="G109" s="1878"/>
      <c r="H109" s="1878"/>
      <c r="I109" s="1878"/>
      <c r="J109" s="1928"/>
      <c r="K109" s="1878"/>
      <c r="L109" s="1878"/>
      <c r="M109" s="1878"/>
      <c r="N109" s="1878"/>
      <c r="O109" s="1955" t="s">
        <v>1310</v>
      </c>
      <c r="P109" s="3007" t="str">
        <f>IF(W109&lt;&gt;"",W109,IF(E72="X","",IF(E108="X",N99,IF(AND(E110="X",E165,D166),N99,P237))))</f>
        <v/>
      </c>
      <c r="Q109" s="1878"/>
      <c r="R109" s="1878"/>
      <c r="S109" s="1878"/>
      <c r="T109" s="1878"/>
      <c r="U109" s="1879"/>
      <c r="W109" s="2096"/>
    </row>
    <row r="110" spans="1:23" ht="17.25" customHeight="1" thickBot="1">
      <c r="A110" s="1878"/>
      <c r="B110" s="1878"/>
      <c r="C110" s="1878"/>
      <c r="D110" s="1927"/>
      <c r="E110" s="3009" t="str">
        <f>IF(OR(R9&lt;&gt;"",R10&lt;&gt;"",R11&lt;&gt;"",R12&lt;&gt;""),"X","")</f>
        <v/>
      </c>
      <c r="F110" s="1977"/>
      <c r="G110" s="1997" t="s">
        <v>274</v>
      </c>
      <c r="H110" s="2008" t="s">
        <v>1311</v>
      </c>
      <c r="I110" s="2008"/>
      <c r="J110" s="2009"/>
      <c r="K110" s="1984"/>
      <c r="L110" s="1878"/>
      <c r="M110" s="1878"/>
      <c r="N110" s="1878"/>
      <c r="O110" s="1878"/>
      <c r="P110" s="1878"/>
      <c r="Q110" s="1878"/>
      <c r="R110" s="1878"/>
      <c r="S110" s="1878"/>
      <c r="T110" s="1878"/>
      <c r="U110" s="1879"/>
    </row>
    <row r="111" spans="1:23" ht="15" customHeight="1">
      <c r="A111" s="1878"/>
      <c r="B111" s="1878"/>
      <c r="C111" s="1878"/>
      <c r="D111" s="1927"/>
      <c r="E111" s="2010"/>
      <c r="F111" s="2010"/>
      <c r="G111" s="2011"/>
      <c r="H111" s="2011" t="s">
        <v>1312</v>
      </c>
      <c r="I111" s="2011"/>
      <c r="J111" s="1896"/>
      <c r="K111" s="1951"/>
      <c r="L111" s="1951"/>
      <c r="M111" s="1951"/>
      <c r="N111" s="1951"/>
      <c r="O111" s="1878"/>
      <c r="P111" s="1878"/>
      <c r="Q111" s="1878"/>
      <c r="R111" s="1878"/>
      <c r="S111" s="1878"/>
      <c r="T111" s="1878"/>
      <c r="U111" s="1879"/>
    </row>
    <row r="112" spans="1:23" ht="7.5" customHeight="1">
      <c r="A112" s="1878"/>
      <c r="B112" s="1878"/>
      <c r="C112" s="1878"/>
      <c r="D112" s="1927"/>
      <c r="E112" s="1959"/>
      <c r="F112" s="1959"/>
      <c r="G112" s="1960"/>
      <c r="H112" s="1960"/>
      <c r="I112" s="1960"/>
      <c r="J112" s="1961"/>
      <c r="K112" s="1960"/>
      <c r="L112" s="1960"/>
      <c r="M112" s="1960"/>
      <c r="N112" s="1960"/>
      <c r="O112" s="1878"/>
      <c r="P112" s="1878"/>
      <c r="Q112" s="1878"/>
      <c r="R112" s="1878"/>
      <c r="S112" s="1878"/>
      <c r="T112" s="1878"/>
      <c r="U112" s="1879"/>
    </row>
    <row r="113" spans="1:21" ht="6" customHeight="1">
      <c r="A113" s="1878"/>
      <c r="B113" s="1878"/>
      <c r="C113" s="1878"/>
      <c r="D113" s="1927"/>
      <c r="E113" s="2010"/>
      <c r="F113" s="2010"/>
      <c r="G113" s="1951"/>
      <c r="H113" s="1951"/>
      <c r="I113" s="1951"/>
      <c r="J113" s="1896"/>
      <c r="K113" s="1951"/>
      <c r="L113" s="1951"/>
      <c r="M113" s="1951"/>
      <c r="N113" s="1951"/>
      <c r="O113" s="1878"/>
      <c r="P113" s="1878"/>
      <c r="Q113" s="1878"/>
      <c r="R113" s="1878"/>
      <c r="S113" s="1878"/>
      <c r="T113" s="1878"/>
      <c r="U113" s="1879"/>
    </row>
    <row r="114" spans="1:21" ht="23.25" customHeight="1">
      <c r="A114" s="1951"/>
      <c r="B114" s="1896"/>
      <c r="C114" s="1953"/>
      <c r="D114" s="1952" t="str">
        <f>O114&amp;"."</f>
        <v>12.</v>
      </c>
      <c r="E114" s="1982" t="s">
        <v>1313</v>
      </c>
      <c r="F114" s="1982"/>
      <c r="G114" s="1951"/>
      <c r="H114" s="1954"/>
      <c r="I114" s="1954"/>
      <c r="J114" s="1954"/>
      <c r="K114" s="1954"/>
      <c r="L114" s="1954"/>
      <c r="M114" s="1911"/>
      <c r="N114" s="1918"/>
      <c r="O114" s="1955" t="s">
        <v>369</v>
      </c>
      <c r="P114" s="3007" t="str">
        <f>IF(E72="X","",IF(SUM(P85,-P109)&lt;0,0,SUM(P85,-P109)))</f>
        <v/>
      </c>
      <c r="Q114" s="1956"/>
      <c r="R114" s="1956"/>
      <c r="S114" s="1956"/>
      <c r="T114" s="1956"/>
      <c r="U114" s="1879"/>
    </row>
    <row r="115" spans="1:21" ht="9" customHeight="1">
      <c r="A115" s="1951"/>
      <c r="B115" s="1957"/>
      <c r="C115" s="1957"/>
      <c r="D115" s="1958"/>
      <c r="E115" s="1959"/>
      <c r="F115" s="1959"/>
      <c r="G115" s="1960"/>
      <c r="H115" s="1960"/>
      <c r="I115" s="1960"/>
      <c r="J115" s="1961"/>
      <c r="K115" s="1960"/>
      <c r="L115" s="1960"/>
      <c r="M115" s="1960"/>
      <c r="N115" s="1960"/>
      <c r="O115" s="1951"/>
      <c r="P115" s="1951"/>
      <c r="Q115" s="1951"/>
      <c r="R115" s="1951"/>
      <c r="S115" s="1951"/>
      <c r="T115" s="1951"/>
      <c r="U115" s="1879"/>
    </row>
    <row r="116" spans="1:21" ht="21" customHeight="1">
      <c r="A116" s="1951"/>
      <c r="B116" s="1957"/>
      <c r="C116" s="1957"/>
      <c r="D116" s="1952" t="str">
        <f>O119&amp;"."</f>
        <v>13.</v>
      </c>
      <c r="E116" s="1982" t="s">
        <v>1314</v>
      </c>
      <c r="F116" s="1982"/>
      <c r="G116" s="1951"/>
      <c r="H116" s="1951"/>
      <c r="I116" s="1951"/>
      <c r="J116" s="1896"/>
      <c r="K116" s="1951"/>
      <c r="L116" s="1951"/>
      <c r="M116" s="1951"/>
      <c r="N116" s="1958"/>
      <c r="O116" s="1951"/>
      <c r="P116" s="1958"/>
      <c r="Q116" s="1958"/>
      <c r="R116" s="1958"/>
      <c r="S116" s="1958"/>
      <c r="T116" s="1958"/>
      <c r="U116" s="1879"/>
    </row>
    <row r="117" spans="1:21" ht="15" customHeight="1" thickBot="1">
      <c r="A117" s="1878"/>
      <c r="B117" s="1878"/>
      <c r="C117" s="1878"/>
      <c r="D117" s="1927"/>
      <c r="E117" s="1878"/>
      <c r="F117" s="1878"/>
      <c r="G117" s="1878"/>
      <c r="H117" s="1878"/>
      <c r="I117" s="1878"/>
      <c r="J117" s="1928"/>
      <c r="K117" s="1878"/>
      <c r="L117" s="1878"/>
      <c r="M117" s="1878"/>
      <c r="N117" s="1878"/>
      <c r="O117" s="1878"/>
      <c r="P117" s="1878"/>
      <c r="Q117" s="1878"/>
      <c r="R117" s="1878"/>
      <c r="S117" s="1878"/>
      <c r="T117" s="1878"/>
      <c r="U117" s="1879"/>
    </row>
    <row r="118" spans="1:21" ht="21" customHeight="1" thickBot="1">
      <c r="A118" s="1878"/>
      <c r="B118" s="1878"/>
      <c r="C118" s="1878"/>
      <c r="D118" s="1927"/>
      <c r="E118" s="3009" t="str">
        <f>IF(P78&gt;P114,"","X")</f>
        <v>X</v>
      </c>
      <c r="F118" s="1977"/>
      <c r="G118" s="1922" t="s">
        <v>468</v>
      </c>
      <c r="H118" s="1904" t="str">
        <f>"Enter the amount from line "&amp;O78&amp;"."</f>
        <v>Enter the amount from line 8.</v>
      </c>
      <c r="I118" s="1904"/>
      <c r="J118" s="1928"/>
      <c r="K118" s="1878"/>
      <c r="L118" s="1878"/>
      <c r="M118" s="1997" t="s">
        <v>610</v>
      </c>
      <c r="N118" s="1878"/>
      <c r="O118" s="1878"/>
      <c r="P118" s="1878"/>
      <c r="Q118" s="1878"/>
      <c r="R118" s="1878"/>
      <c r="S118" s="1878"/>
      <c r="T118" s="1878"/>
      <c r="U118" s="1879"/>
    </row>
    <row r="119" spans="1:21" ht="22.5" customHeight="1" thickTop="1" thickBot="1">
      <c r="A119" s="1878"/>
      <c r="B119" s="1878"/>
      <c r="C119" s="1878"/>
      <c r="D119" s="1927"/>
      <c r="E119" s="1878"/>
      <c r="F119" s="1878"/>
      <c r="G119" s="1878"/>
      <c r="H119" s="1878"/>
      <c r="I119" s="1878"/>
      <c r="J119" s="1928"/>
      <c r="K119" s="2012"/>
      <c r="L119" s="2013"/>
      <c r="M119" s="2013" t="s">
        <v>609</v>
      </c>
      <c r="N119" s="2014"/>
      <c r="O119" s="2015" t="s">
        <v>1315</v>
      </c>
      <c r="P119" s="3007">
        <f>IF(E118&lt;&gt;"",P78,P114)</f>
        <v>0</v>
      </c>
      <c r="Q119" s="1878"/>
      <c r="R119" s="1878"/>
      <c r="S119" s="1878"/>
      <c r="T119" s="1878"/>
      <c r="U119" s="1879"/>
    </row>
    <row r="120" spans="1:21" ht="21" customHeight="1" thickTop="1" thickBot="1">
      <c r="A120" s="1878"/>
      <c r="B120" s="1878"/>
      <c r="C120" s="1878"/>
      <c r="D120" s="1927"/>
      <c r="E120" s="3009" t="str">
        <f>IF(P78&gt;P114,"X","")</f>
        <v/>
      </c>
      <c r="F120" s="1977"/>
      <c r="G120" s="1922" t="s">
        <v>292</v>
      </c>
      <c r="H120" s="1895" t="str">
        <f>"Enter the amount from line "&amp;O114&amp;"."</f>
        <v>Enter the amount from line 12.</v>
      </c>
      <c r="I120" s="1895"/>
      <c r="J120" s="1928"/>
      <c r="K120" s="1878"/>
      <c r="L120" s="1878"/>
      <c r="M120" s="1878"/>
      <c r="N120" s="1878"/>
      <c r="O120" s="2016" t="s">
        <v>792</v>
      </c>
      <c r="P120" s="2017"/>
      <c r="Q120" s="1878"/>
      <c r="R120" s="1878"/>
      <c r="S120" s="1878"/>
      <c r="T120" s="1878"/>
      <c r="U120" s="1879"/>
    </row>
    <row r="121" spans="1:21" ht="12.75" customHeight="1">
      <c r="A121" s="1878"/>
      <c r="B121" s="1878"/>
      <c r="C121" s="1878"/>
      <c r="D121" s="1927"/>
      <c r="E121" s="1878"/>
      <c r="F121" s="1878"/>
      <c r="G121" s="1878"/>
      <c r="H121" s="1878" t="s">
        <v>1316</v>
      </c>
      <c r="I121" s="1878"/>
      <c r="J121" s="1928"/>
      <c r="K121" s="1878"/>
      <c r="L121" s="1878"/>
      <c r="M121" s="1878"/>
      <c r="N121" s="1878"/>
      <c r="O121" s="3356" t="s">
        <v>2357</v>
      </c>
      <c r="P121" s="1878"/>
      <c r="Q121" s="1878"/>
      <c r="R121" s="1878"/>
      <c r="S121" s="1878"/>
      <c r="T121" s="1878"/>
      <c r="U121" s="1879"/>
    </row>
    <row r="122" spans="1:21" ht="12.75" customHeight="1">
      <c r="A122" s="1878"/>
      <c r="B122" s="1878"/>
      <c r="C122" s="1878"/>
      <c r="D122" s="1927"/>
      <c r="E122" s="1878"/>
      <c r="F122" s="1878"/>
      <c r="G122" s="1878"/>
      <c r="H122" s="1878"/>
      <c r="I122" s="1878"/>
      <c r="J122" s="1928"/>
      <c r="K122" s="1878"/>
      <c r="L122" s="1878"/>
      <c r="M122" s="1878"/>
      <c r="N122" s="1878"/>
      <c r="O122" s="2018" t="s">
        <v>1346</v>
      </c>
      <c r="P122" s="1878"/>
      <c r="Q122" s="2019"/>
      <c r="R122" s="1878"/>
      <c r="S122" s="1878"/>
      <c r="T122" s="1878"/>
      <c r="U122" s="1879"/>
    </row>
    <row r="123" spans="1:21" ht="12.75" customHeight="1">
      <c r="A123" s="1878"/>
      <c r="B123" s="1878"/>
      <c r="C123" s="1878"/>
      <c r="D123" s="1927"/>
      <c r="E123" s="1878"/>
      <c r="F123" s="1878"/>
      <c r="G123" s="1878"/>
      <c r="H123" s="1878"/>
      <c r="I123" s="1878"/>
      <c r="J123" s="1928"/>
      <c r="K123" s="1878"/>
      <c r="L123" s="1878"/>
      <c r="M123" s="1878"/>
      <c r="N123" s="1878"/>
      <c r="O123" s="2018" t="s">
        <v>1348</v>
      </c>
      <c r="P123" s="1878"/>
      <c r="Q123" s="2020"/>
      <c r="R123" s="1878"/>
      <c r="S123" s="1878"/>
      <c r="T123" s="1878"/>
      <c r="U123" s="1879"/>
    </row>
    <row r="124" spans="1:21" ht="15" customHeight="1">
      <c r="A124" s="1878"/>
      <c r="B124" s="1878"/>
      <c r="C124" s="1878"/>
      <c r="D124" s="1927"/>
      <c r="E124" s="1878"/>
      <c r="F124" s="1878"/>
      <c r="G124" s="1878"/>
      <c r="H124" s="1878"/>
      <c r="I124" s="1878"/>
      <c r="J124" s="1928"/>
      <c r="K124" s="1878"/>
      <c r="L124" s="1878"/>
      <c r="M124" s="1878"/>
      <c r="N124" s="1878"/>
      <c r="O124" s="2083" t="s">
        <v>1347</v>
      </c>
      <c r="P124" s="1878"/>
      <c r="Q124" s="1878"/>
      <c r="R124" s="1878"/>
      <c r="S124" s="1878"/>
      <c r="T124" s="1878"/>
      <c r="U124" s="1879"/>
    </row>
    <row r="125" spans="1:21" ht="15" customHeight="1">
      <c r="A125" s="1878"/>
      <c r="B125" s="1878"/>
      <c r="C125" s="1878"/>
      <c r="D125" s="1927"/>
      <c r="E125" s="1878"/>
      <c r="F125" s="1878"/>
      <c r="G125" s="1878"/>
      <c r="H125" s="1878"/>
      <c r="I125" s="1878"/>
      <c r="J125" s="1928"/>
      <c r="K125" s="1878"/>
      <c r="L125" s="1878"/>
      <c r="M125" s="1878"/>
      <c r="N125" s="1878"/>
      <c r="O125" s="1878"/>
      <c r="P125" s="1878"/>
      <c r="Q125" s="1878"/>
      <c r="R125" s="1878"/>
      <c r="S125" s="1878"/>
      <c r="T125" s="1878"/>
      <c r="U125" s="1879"/>
    </row>
    <row r="126" spans="1:21" ht="15" customHeight="1">
      <c r="A126" s="1878"/>
      <c r="B126" s="2021"/>
      <c r="C126" s="1878"/>
      <c r="D126" s="1927"/>
      <c r="E126" s="1878"/>
      <c r="F126" s="1878"/>
      <c r="G126" s="1878"/>
      <c r="H126" s="1878"/>
      <c r="I126" s="1878"/>
      <c r="J126" s="1928"/>
      <c r="K126" s="1878"/>
      <c r="L126" s="1878"/>
      <c r="M126" s="1878"/>
      <c r="N126" s="1878"/>
      <c r="O126" s="1878"/>
      <c r="P126" s="1878"/>
      <c r="Q126" s="1878"/>
      <c r="R126" s="1878"/>
      <c r="S126" s="1878"/>
      <c r="T126" s="1878"/>
      <c r="U126" s="1879"/>
    </row>
    <row r="127" spans="1:21" ht="15" customHeight="1">
      <c r="A127" s="1878"/>
      <c r="B127" s="1878"/>
      <c r="C127" s="1878"/>
      <c r="D127" s="1927"/>
      <c r="E127" s="1878"/>
      <c r="F127" s="1878"/>
      <c r="G127" s="1878"/>
      <c r="H127" s="1878" t="s">
        <v>1317</v>
      </c>
      <c r="I127" s="1878"/>
      <c r="J127" s="1928"/>
      <c r="K127" s="1878"/>
      <c r="L127" s="1878"/>
      <c r="M127" s="1878"/>
      <c r="N127" s="1878"/>
      <c r="O127" s="1878"/>
      <c r="P127" s="1878"/>
      <c r="Q127" s="1878"/>
      <c r="R127" s="1878"/>
      <c r="S127" s="1878"/>
      <c r="T127" s="1878"/>
      <c r="U127" s="1879"/>
    </row>
    <row r="128" spans="1:21" ht="15" customHeight="1">
      <c r="A128" s="1878"/>
      <c r="B128" s="1878"/>
      <c r="C128" s="1878"/>
      <c r="D128" s="1927"/>
      <c r="E128" s="1878"/>
      <c r="F128" s="1878"/>
      <c r="G128" s="1958"/>
      <c r="H128" s="1878" t="s">
        <v>2264</v>
      </c>
      <c r="I128" s="1878"/>
      <c r="J128" s="1928"/>
      <c r="K128" s="1878"/>
      <c r="L128" s="1878"/>
      <c r="M128" s="1878"/>
      <c r="N128" s="1878"/>
      <c r="O128" s="1878"/>
      <c r="P128" s="1878"/>
      <c r="Q128" s="1878"/>
      <c r="R128" s="1878"/>
      <c r="S128" s="1878"/>
      <c r="T128" s="1878"/>
      <c r="U128" s="1879"/>
    </row>
    <row r="129" spans="1:21" ht="15" customHeight="1">
      <c r="A129" s="1878"/>
      <c r="B129" s="1878"/>
      <c r="C129" s="1878"/>
      <c r="D129" s="1927"/>
      <c r="E129" s="1878"/>
      <c r="F129" s="1878"/>
      <c r="G129" s="1878"/>
      <c r="H129" s="1878" t="s">
        <v>2265</v>
      </c>
      <c r="I129" s="1878"/>
      <c r="J129" s="1928"/>
      <c r="K129" s="1878"/>
      <c r="L129" s="1878"/>
      <c r="M129" s="1878"/>
      <c r="N129" s="1878"/>
      <c r="O129" s="1878"/>
      <c r="P129" s="1878"/>
      <c r="Q129" s="1878"/>
      <c r="R129" s="1878"/>
      <c r="S129" s="1878"/>
      <c r="T129" s="1878"/>
      <c r="U129" s="1879"/>
    </row>
    <row r="130" spans="1:21" ht="15" customHeight="1">
      <c r="A130" s="1878"/>
      <c r="B130" s="1878"/>
      <c r="C130" s="1878"/>
      <c r="D130" s="1927"/>
      <c r="E130" s="1878"/>
      <c r="F130" s="1878"/>
      <c r="G130" s="1878"/>
      <c r="H130" s="1878"/>
      <c r="I130" s="1878"/>
      <c r="J130" s="1928"/>
      <c r="K130" s="1878"/>
      <c r="L130" s="1878"/>
      <c r="M130" s="1878"/>
      <c r="N130" s="1878"/>
      <c r="O130" s="1878"/>
      <c r="P130" s="1878"/>
      <c r="Q130" s="1878"/>
      <c r="R130" s="1878"/>
      <c r="S130" s="1878"/>
      <c r="T130" s="1878"/>
      <c r="U130" s="1879"/>
    </row>
    <row r="131" spans="1:21" ht="15" customHeight="1">
      <c r="A131" s="1878"/>
      <c r="B131" s="1878"/>
      <c r="C131" s="1878"/>
      <c r="D131" s="1927"/>
      <c r="E131" s="1878"/>
      <c r="F131" s="1878"/>
      <c r="G131" s="2022" t="s">
        <v>585</v>
      </c>
      <c r="H131" s="1878" t="s">
        <v>2266</v>
      </c>
      <c r="I131" s="1878"/>
      <c r="J131" s="1928"/>
      <c r="K131" s="1878"/>
      <c r="L131" s="1878"/>
      <c r="M131" s="1878"/>
      <c r="N131" s="1878"/>
      <c r="O131" s="1878"/>
      <c r="P131" s="1878"/>
      <c r="Q131" s="1878"/>
      <c r="R131" s="1878"/>
      <c r="S131" s="1878"/>
      <c r="T131" s="1878"/>
      <c r="U131" s="1879"/>
    </row>
    <row r="132" spans="1:21" ht="15" customHeight="1">
      <c r="A132" s="1878"/>
      <c r="B132" s="1878"/>
      <c r="C132" s="1878"/>
      <c r="D132" s="1927"/>
      <c r="E132" s="1878"/>
      <c r="F132" s="1878"/>
      <c r="G132" s="1878"/>
      <c r="H132" s="1878" t="s">
        <v>2267</v>
      </c>
      <c r="I132" s="1878"/>
      <c r="J132" s="1878"/>
      <c r="K132" s="1878"/>
      <c r="L132" s="1878"/>
      <c r="M132" s="1878"/>
      <c r="N132" s="1878"/>
      <c r="O132" s="1878"/>
      <c r="P132" s="1878"/>
      <c r="Q132" s="1878"/>
      <c r="R132" s="1878"/>
      <c r="S132" s="1878"/>
      <c r="T132" s="1878"/>
      <c r="U132" s="1879"/>
    </row>
    <row r="133" spans="1:21" ht="12.75" customHeight="1">
      <c r="A133" s="1878"/>
      <c r="B133" s="1878"/>
      <c r="C133" s="1878"/>
      <c r="D133" s="1927"/>
      <c r="E133" s="1878"/>
      <c r="F133" s="1878"/>
      <c r="G133" s="1878"/>
      <c r="H133" s="1878" t="s">
        <v>2268</v>
      </c>
      <c r="I133" s="1878"/>
      <c r="J133" s="1928"/>
      <c r="K133" s="1878"/>
      <c r="L133" s="1878"/>
      <c r="M133" s="1878"/>
      <c r="N133" s="1878"/>
      <c r="O133" s="1878"/>
      <c r="P133" s="1878"/>
      <c r="Q133" s="1878"/>
      <c r="R133" s="1878"/>
      <c r="S133" s="1878"/>
      <c r="T133" s="1878"/>
      <c r="U133" s="1879"/>
    </row>
    <row r="134" spans="1:21" ht="15" customHeight="1">
      <c r="A134" s="1878"/>
      <c r="B134" s="1878"/>
      <c r="C134" s="1878"/>
      <c r="D134" s="1927"/>
      <c r="E134" s="1878"/>
      <c r="F134" s="1878"/>
      <c r="G134" s="2022" t="s">
        <v>585</v>
      </c>
      <c r="H134" s="1878" t="s">
        <v>1632</v>
      </c>
      <c r="I134" s="1878"/>
      <c r="J134" s="1928"/>
      <c r="K134" s="1878"/>
      <c r="L134" s="1878"/>
      <c r="M134" s="1878"/>
      <c r="N134" s="1878"/>
      <c r="O134" s="1878"/>
      <c r="P134" s="1878"/>
      <c r="Q134" s="1878"/>
      <c r="R134" s="1878"/>
      <c r="S134" s="1878"/>
      <c r="T134" s="1878"/>
      <c r="U134" s="1879"/>
    </row>
    <row r="135" spans="1:21" ht="19.5" customHeight="1">
      <c r="A135" s="1878"/>
      <c r="B135" s="1878"/>
      <c r="C135" s="1878"/>
      <c r="D135" s="1927"/>
      <c r="E135" s="1878"/>
      <c r="F135" s="1878"/>
      <c r="G135" s="1878"/>
      <c r="H135" s="2053" t="s">
        <v>1633</v>
      </c>
      <c r="I135" s="1878"/>
      <c r="J135" s="1928"/>
      <c r="K135" s="1878"/>
      <c r="L135" s="1878"/>
      <c r="M135" s="1878"/>
      <c r="N135" s="1878"/>
      <c r="O135" s="1878"/>
      <c r="P135" s="1878"/>
      <c r="Q135" s="1878"/>
      <c r="R135" s="1878"/>
      <c r="S135" s="1878"/>
      <c r="T135" s="1878"/>
      <c r="U135" s="1879"/>
    </row>
    <row r="136" spans="1:21" ht="21" customHeight="1" thickBot="1">
      <c r="A136" s="2023"/>
      <c r="B136" s="3006" t="str">
        <f>"Publication 972 ("&amp;TaxYear&amp;")"</f>
        <v>Publication 972 (2014)</v>
      </c>
      <c r="C136" s="2024"/>
      <c r="D136" s="2025"/>
      <c r="E136" s="2026"/>
      <c r="F136" s="2026"/>
      <c r="G136" s="2027"/>
      <c r="H136" s="2026"/>
      <c r="I136" s="2026"/>
      <c r="J136" s="2028"/>
      <c r="K136" s="2029"/>
      <c r="L136" s="2029"/>
      <c r="M136" s="2029"/>
      <c r="N136" s="2030"/>
      <c r="O136" s="2030"/>
      <c r="P136" s="3004"/>
      <c r="Q136" s="2032" t="s">
        <v>1318</v>
      </c>
      <c r="R136" s="2032"/>
      <c r="S136" s="1879"/>
      <c r="T136" s="2031"/>
      <c r="U136" s="1879"/>
    </row>
    <row r="137" spans="1:21" ht="25.5" customHeight="1" thickBot="1">
      <c r="A137" s="2033"/>
      <c r="B137" s="2034" t="str">
        <f>"Line "&amp;O109&amp;" Worksheet"</f>
        <v>Line 11 Worksheet</v>
      </c>
      <c r="C137" s="2035"/>
      <c r="D137" s="2036"/>
      <c r="E137" s="2037"/>
      <c r="F137" s="2037"/>
      <c r="G137" s="2037"/>
      <c r="H137" s="2037"/>
      <c r="I137" s="2037"/>
      <c r="J137" s="2038"/>
      <c r="K137" s="2037"/>
      <c r="L137" s="2037"/>
      <c r="M137" s="2037"/>
      <c r="N137" s="2039"/>
      <c r="O137" s="2037"/>
      <c r="P137" s="2040"/>
      <c r="Q137" s="2040"/>
      <c r="R137" s="2040" t="s">
        <v>300</v>
      </c>
      <c r="S137" s="1918"/>
      <c r="T137" s="1918"/>
      <c r="U137" s="1879"/>
    </row>
    <row r="138" spans="1:21" ht="9" customHeight="1" thickTop="1">
      <c r="A138" s="1951"/>
      <c r="B138" s="1957"/>
      <c r="C138" s="1957"/>
      <c r="D138" s="1958"/>
      <c r="E138" s="1963"/>
      <c r="F138" s="1963"/>
      <c r="G138" s="1964"/>
      <c r="H138" s="1964"/>
      <c r="I138" s="1964"/>
      <c r="J138" s="1965"/>
      <c r="K138" s="1878"/>
      <c r="L138" s="1878"/>
      <c r="M138" s="1951"/>
      <c r="N138" s="1958"/>
      <c r="O138" s="1951"/>
      <c r="P138" s="1958"/>
      <c r="Q138" s="1958"/>
      <c r="R138" s="1958"/>
      <c r="S138" s="1958"/>
      <c r="T138" s="1958"/>
      <c r="U138" s="1879"/>
    </row>
    <row r="139" spans="1:21" ht="13.5" customHeight="1">
      <c r="A139" s="1951"/>
      <c r="B139" s="1957"/>
      <c r="C139" s="1957"/>
      <c r="D139" s="2041"/>
      <c r="E139" s="2042"/>
      <c r="F139" s="2042"/>
      <c r="G139" s="2043" t="s">
        <v>1319</v>
      </c>
      <c r="H139" s="1982" t="s">
        <v>1634</v>
      </c>
      <c r="I139" s="1982"/>
      <c r="J139" s="1896"/>
      <c r="K139" s="1878"/>
      <c r="L139" s="1878"/>
      <c r="M139" s="1951"/>
      <c r="N139" s="1958"/>
      <c r="O139" s="1951"/>
      <c r="P139" s="1958"/>
      <c r="Q139" s="1958"/>
      <c r="R139" s="1958"/>
      <c r="S139" s="1958"/>
      <c r="T139" s="1958"/>
      <c r="U139" s="1879"/>
    </row>
    <row r="140" spans="1:21" ht="12.75" customHeight="1">
      <c r="A140" s="1911"/>
      <c r="B140" s="1919"/>
      <c r="C140" s="1922"/>
      <c r="D140" s="1921"/>
      <c r="E140" s="1911"/>
      <c r="F140" s="1911"/>
      <c r="G140" s="3279" t="s">
        <v>2269</v>
      </c>
      <c r="H140" s="1982" t="s">
        <v>2270</v>
      </c>
      <c r="I140" s="1922"/>
      <c r="J140" s="1923"/>
      <c r="K140" s="1911"/>
      <c r="L140" s="1911"/>
      <c r="M140" s="1911"/>
      <c r="N140" s="1918"/>
      <c r="O140" s="1911"/>
      <c r="P140" s="1918"/>
      <c r="Q140" s="1918"/>
      <c r="R140" s="1918"/>
      <c r="S140" s="1918"/>
      <c r="T140" s="2044" t="s">
        <v>1358</v>
      </c>
      <c r="U140" s="1879"/>
    </row>
    <row r="141" spans="1:21" ht="19.5" customHeight="1">
      <c r="A141" s="1911"/>
      <c r="B141" s="1919"/>
      <c r="C141" s="1920"/>
      <c r="D141" s="2045"/>
      <c r="E141" s="3280" t="s">
        <v>1635</v>
      </c>
      <c r="F141" s="2046"/>
      <c r="G141" s="2047"/>
      <c r="H141" s="2047"/>
      <c r="I141" s="2047"/>
      <c r="J141" s="2047"/>
      <c r="K141" s="2047"/>
      <c r="L141" s="2047"/>
      <c r="M141" s="2047"/>
      <c r="N141" s="2047"/>
      <c r="O141" s="2047"/>
      <c r="P141" s="2047"/>
      <c r="Q141" s="2047"/>
      <c r="R141" s="1918"/>
      <c r="S141" s="1918"/>
      <c r="T141" s="3015" t="str">
        <f>IF(E108&lt;&gt;"","No",IF(E110&lt;&gt;"","Yes",""))</f>
        <v>No</v>
      </c>
      <c r="U141" s="1879"/>
    </row>
    <row r="142" spans="1:21" ht="12" customHeight="1" thickBot="1">
      <c r="A142" s="1878"/>
      <c r="B142" s="1924"/>
      <c r="C142" s="1924"/>
      <c r="D142" s="1925"/>
      <c r="E142" s="1924"/>
      <c r="F142" s="1924"/>
      <c r="G142" s="1924"/>
      <c r="H142" s="1924"/>
      <c r="I142" s="1924"/>
      <c r="J142" s="1926"/>
      <c r="K142" s="1924"/>
      <c r="L142" s="1924"/>
      <c r="M142" s="1924"/>
      <c r="N142" s="1924"/>
      <c r="O142" s="1924"/>
      <c r="P142" s="1924"/>
      <c r="Q142" s="1878"/>
      <c r="R142" s="1878"/>
      <c r="S142" s="1878"/>
      <c r="T142" s="1878"/>
      <c r="U142" s="1879"/>
    </row>
    <row r="143" spans="1:21" ht="9" customHeight="1">
      <c r="A143" s="1951"/>
      <c r="B143" s="1957"/>
      <c r="C143" s="1957"/>
      <c r="D143" s="1958"/>
      <c r="E143" s="1963"/>
      <c r="F143" s="1963"/>
      <c r="G143" s="1964"/>
      <c r="H143" s="1964"/>
      <c r="I143" s="1964"/>
      <c r="J143" s="1965"/>
      <c r="K143" s="1878"/>
      <c r="L143" s="1878"/>
      <c r="M143" s="1951"/>
      <c r="N143" s="1958"/>
      <c r="O143" s="1951"/>
      <c r="P143" s="1958"/>
      <c r="Q143" s="1958"/>
      <c r="R143" s="1958"/>
      <c r="S143" s="1958"/>
      <c r="T143" s="1958"/>
      <c r="U143" s="1879"/>
    </row>
    <row r="144" spans="1:21" ht="15" customHeight="1">
      <c r="A144" s="1951"/>
      <c r="B144" s="1896"/>
      <c r="C144" s="1953"/>
      <c r="D144" s="1966" t="s">
        <v>506</v>
      </c>
      <c r="E144" s="1951" t="s">
        <v>1349</v>
      </c>
      <c r="F144" s="1951"/>
      <c r="G144" s="1951"/>
      <c r="H144" s="1878"/>
      <c r="I144" s="1878"/>
      <c r="J144" s="1954"/>
      <c r="K144" s="1878"/>
      <c r="L144" s="1878"/>
      <c r="M144" s="1951"/>
      <c r="N144" s="1951"/>
      <c r="O144" s="1955" t="s">
        <v>251</v>
      </c>
      <c r="P144" s="3007" t="str">
        <f>IF(T141="No","",P78)</f>
        <v/>
      </c>
      <c r="Q144" s="1956"/>
      <c r="R144" s="1956"/>
      <c r="S144" s="1956"/>
      <c r="T144" s="1956"/>
      <c r="U144" s="1879"/>
    </row>
    <row r="145" spans="1:21" ht="6.75" customHeight="1">
      <c r="A145" s="1951"/>
      <c r="B145" s="1957"/>
      <c r="C145" s="1957"/>
      <c r="D145" s="1958"/>
      <c r="E145" s="1959"/>
      <c r="F145" s="1959"/>
      <c r="G145" s="1960"/>
      <c r="H145" s="1960"/>
      <c r="I145" s="1960"/>
      <c r="J145" s="1961"/>
      <c r="K145" s="1960"/>
      <c r="L145" s="1960"/>
      <c r="M145" s="1960"/>
      <c r="N145" s="1960"/>
      <c r="O145" s="1951"/>
      <c r="P145" s="1951"/>
      <c r="Q145" s="1951"/>
      <c r="R145" s="1951"/>
      <c r="S145" s="1951"/>
      <c r="T145" s="1951"/>
      <c r="U145" s="1879"/>
    </row>
    <row r="146" spans="1:21" ht="9" customHeight="1">
      <c r="A146" s="1951"/>
      <c r="B146" s="1957"/>
      <c r="C146" s="1957"/>
      <c r="D146" s="1958"/>
      <c r="E146" s="1963"/>
      <c r="F146" s="1963"/>
      <c r="G146" s="1964"/>
      <c r="H146" s="1964"/>
      <c r="I146" s="1964"/>
      <c r="J146" s="1965"/>
      <c r="K146" s="1878"/>
      <c r="L146" s="1878"/>
      <c r="M146" s="1951"/>
      <c r="N146" s="1958"/>
      <c r="O146" s="1951"/>
      <c r="P146" s="1958"/>
      <c r="Q146" s="1958"/>
      <c r="R146" s="1958"/>
      <c r="S146" s="1958"/>
      <c r="T146" s="1958"/>
      <c r="U146" s="1879"/>
    </row>
    <row r="147" spans="1:21" ht="14.25" customHeight="1">
      <c r="A147" s="1951"/>
      <c r="B147" s="1896"/>
      <c r="C147" s="1953"/>
      <c r="D147" s="1966" t="s">
        <v>0</v>
      </c>
      <c r="E147" s="1953" t="s">
        <v>1350</v>
      </c>
      <c r="F147" s="1953"/>
      <c r="G147" s="1951"/>
      <c r="H147" s="1878"/>
      <c r="I147" s="1878"/>
      <c r="J147" s="1954"/>
      <c r="K147" s="1878"/>
      <c r="L147" s="1878"/>
      <c r="M147" s="1955" t="s">
        <v>252</v>
      </c>
      <c r="N147" s="3016"/>
      <c r="O147" s="1951"/>
      <c r="P147" s="1958"/>
      <c r="Q147" s="1956"/>
      <c r="R147" s="1956"/>
      <c r="S147" s="1956"/>
      <c r="T147" s="1956"/>
      <c r="U147" s="1879"/>
    </row>
    <row r="148" spans="1:21" ht="12.75" customHeight="1">
      <c r="A148" s="1951"/>
      <c r="B148" s="1896"/>
      <c r="C148" s="1953"/>
      <c r="D148" s="1966"/>
      <c r="E148" s="1953" t="s">
        <v>1351</v>
      </c>
      <c r="F148" s="1953"/>
      <c r="G148" s="1951"/>
      <c r="H148" s="1878"/>
      <c r="I148" s="1878"/>
      <c r="J148" s="1954"/>
      <c r="K148" s="1878"/>
      <c r="L148" s="1878"/>
      <c r="M148" s="1968"/>
      <c r="N148" s="1969"/>
      <c r="O148" s="1951"/>
      <c r="P148" s="1958"/>
      <c r="Q148" s="1956"/>
      <c r="R148" s="1956"/>
      <c r="S148" s="1956"/>
      <c r="T148" s="1956"/>
      <c r="U148" s="1879"/>
    </row>
    <row r="149" spans="1:21" ht="6.75" customHeight="1">
      <c r="A149" s="1951"/>
      <c r="B149" s="1957"/>
      <c r="C149" s="1957"/>
      <c r="D149" s="1958"/>
      <c r="E149" s="1959"/>
      <c r="F149" s="1959"/>
      <c r="G149" s="1960"/>
      <c r="H149" s="1960"/>
      <c r="I149" s="1960"/>
      <c r="J149" s="1961"/>
      <c r="K149" s="1878"/>
      <c r="L149" s="1878"/>
      <c r="M149" s="1951"/>
      <c r="N149" s="1951"/>
      <c r="O149" s="1951"/>
      <c r="P149" s="1951"/>
      <c r="Q149" s="1951"/>
      <c r="R149" s="1951"/>
      <c r="S149" s="1951"/>
      <c r="T149" s="1951"/>
      <c r="U149" s="1879"/>
    </row>
    <row r="150" spans="1:21" ht="6.75" customHeight="1">
      <c r="A150" s="1951"/>
      <c r="B150" s="1957"/>
      <c r="C150" s="1957"/>
      <c r="D150" s="1958"/>
      <c r="E150" s="1963"/>
      <c r="F150" s="1963"/>
      <c r="G150" s="1964"/>
      <c r="H150" s="1964"/>
      <c r="I150" s="1964"/>
      <c r="J150" s="1965"/>
      <c r="K150" s="1878"/>
      <c r="L150" s="1878"/>
      <c r="M150" s="1951"/>
      <c r="N150" s="1958"/>
      <c r="O150" s="1951"/>
      <c r="P150" s="1958"/>
      <c r="Q150" s="1958"/>
      <c r="R150" s="1958"/>
      <c r="S150" s="1958"/>
      <c r="T150" s="1958"/>
      <c r="U150" s="1879"/>
    </row>
    <row r="151" spans="1:21" ht="13.5" customHeight="1">
      <c r="A151" s="1878"/>
      <c r="B151" s="1878"/>
      <c r="C151" s="1878"/>
      <c r="D151" s="1966" t="s">
        <v>1</v>
      </c>
      <c r="E151" s="1878" t="str">
        <f>"Is the amount on line 2 more than "&amp;TEXT(P151,"$0,000")&amp;"?"</f>
        <v>Is the amount on line 2 more than $3,000?</v>
      </c>
      <c r="F151" s="1878"/>
      <c r="G151" s="1878"/>
      <c r="H151" s="1878"/>
      <c r="I151" s="1878"/>
      <c r="J151" s="1928"/>
      <c r="K151" s="1878"/>
      <c r="L151" s="1878"/>
      <c r="M151" s="1878"/>
      <c r="N151" s="2002"/>
      <c r="O151" s="1878"/>
      <c r="P151" s="2002">
        <v>3000</v>
      </c>
      <c r="Q151" s="1878"/>
      <c r="R151" s="1878"/>
      <c r="S151" s="1878"/>
      <c r="T151" s="1878"/>
      <c r="U151" s="1879"/>
    </row>
    <row r="152" spans="1:21" ht="9.75" customHeight="1" thickBot="1">
      <c r="A152" s="1904"/>
      <c r="B152" s="1904"/>
      <c r="C152" s="1904"/>
      <c r="D152" s="1968"/>
      <c r="E152" s="1976"/>
      <c r="F152" s="1976"/>
      <c r="G152" s="1972"/>
      <c r="H152" s="1904"/>
      <c r="I152" s="1904"/>
      <c r="J152" s="1939"/>
      <c r="K152" s="1904"/>
      <c r="L152" s="1904"/>
      <c r="M152" s="1904"/>
      <c r="N152" s="1904"/>
      <c r="O152" s="1904"/>
      <c r="P152" s="1904"/>
      <c r="Q152" s="1904"/>
      <c r="R152" s="1904"/>
      <c r="S152" s="1904"/>
      <c r="T152" s="1904"/>
      <c r="U152" s="1879"/>
    </row>
    <row r="153" spans="1:21" ht="14.25" customHeight="1" thickBot="1">
      <c r="A153" s="1904"/>
      <c r="B153" s="1904"/>
      <c r="C153" s="1904"/>
      <c r="D153" s="1968"/>
      <c r="E153" s="3009" t="str">
        <f>IF(T141="No","",IF(N147&gt;P151,"","X"))</f>
        <v/>
      </c>
      <c r="F153" s="1977"/>
      <c r="G153" s="1978" t="s">
        <v>468</v>
      </c>
      <c r="H153" s="1904" t="s">
        <v>1320</v>
      </c>
      <c r="I153" s="1904"/>
      <c r="J153" s="1939"/>
      <c r="K153" s="1904"/>
      <c r="L153" s="1904"/>
      <c r="M153" s="1904"/>
      <c r="N153" s="1904"/>
      <c r="O153" s="1904"/>
      <c r="P153" s="1904"/>
      <c r="Q153" s="1904"/>
      <c r="R153" s="1904"/>
      <c r="S153" s="1904"/>
      <c r="T153" s="1904"/>
      <c r="U153" s="1879"/>
    </row>
    <row r="154" spans="1:21" ht="12" customHeight="1">
      <c r="A154" s="1904"/>
      <c r="B154" s="1904"/>
      <c r="C154" s="1904"/>
      <c r="D154" s="1968"/>
      <c r="E154" s="1977"/>
      <c r="F154" s="1977"/>
      <c r="G154" s="1981"/>
      <c r="H154" s="1981" t="s">
        <v>1321</v>
      </c>
      <c r="I154" s="1981"/>
      <c r="J154" s="1939"/>
      <c r="K154" s="1904"/>
      <c r="L154" s="1904"/>
      <c r="M154" s="1904"/>
      <c r="N154" s="1904"/>
      <c r="O154" s="1904"/>
      <c r="P154" s="1904"/>
      <c r="Q154" s="1904"/>
      <c r="R154" s="1904"/>
      <c r="S154" s="1904"/>
      <c r="T154" s="1904"/>
      <c r="U154" s="1879"/>
    </row>
    <row r="155" spans="1:21" ht="18.75" customHeight="1" thickBot="1">
      <c r="A155" s="1904"/>
      <c r="B155" s="1904"/>
      <c r="C155" s="1904"/>
      <c r="D155" s="1968"/>
      <c r="E155" s="1971"/>
      <c r="F155" s="1971"/>
      <c r="G155" s="1904"/>
      <c r="H155" s="1904"/>
      <c r="I155" s="1904"/>
      <c r="J155" s="1939"/>
      <c r="K155" s="1904"/>
      <c r="L155" s="1904"/>
      <c r="M155" s="1955" t="s">
        <v>253</v>
      </c>
      <c r="N155" s="3007" t="str">
        <f>IF(T141="No","",IF(E153="X","",N147-P151))</f>
        <v/>
      </c>
      <c r="O155" s="1904"/>
      <c r="P155" s="1979"/>
      <c r="Q155" s="1904"/>
      <c r="R155" s="1904"/>
      <c r="S155" s="1904"/>
      <c r="T155" s="1904"/>
      <c r="U155" s="1879"/>
    </row>
    <row r="156" spans="1:21" ht="14.25" customHeight="1" thickBot="1">
      <c r="A156" s="1904"/>
      <c r="B156" s="1904"/>
      <c r="C156" s="1904"/>
      <c r="D156" s="1968"/>
      <c r="E156" s="3009" t="str">
        <f>IF(T141="No","",IF(N147&gt;P151,"X",""))</f>
        <v/>
      </c>
      <c r="F156" s="1977"/>
      <c r="G156" s="1978" t="s">
        <v>292</v>
      </c>
      <c r="H156" s="1904" t="str">
        <f>"Subtract "&amp;TEXT(P151,"$0,000")&amp;" from the amount on line "&amp;M147&amp;"."</f>
        <v>Subtract $3,000 from the amount on line 2.</v>
      </c>
      <c r="I156" s="1904"/>
      <c r="J156" s="1939"/>
      <c r="K156" s="1904"/>
      <c r="L156" s="1904"/>
      <c r="M156" s="1904"/>
      <c r="N156" s="1904"/>
      <c r="O156" s="1904"/>
      <c r="P156" s="1904"/>
      <c r="Q156" s="1904"/>
      <c r="R156" s="1904"/>
      <c r="S156" s="1904"/>
      <c r="T156" s="1904"/>
      <c r="U156" s="1879"/>
    </row>
    <row r="157" spans="1:21" ht="12" customHeight="1">
      <c r="A157" s="1904"/>
      <c r="B157" s="1904"/>
      <c r="C157" s="1904"/>
      <c r="D157" s="1968"/>
      <c r="E157" s="1980"/>
      <c r="F157" s="1980"/>
      <c r="G157" s="1981"/>
      <c r="H157" s="1981" t="s">
        <v>1322</v>
      </c>
      <c r="I157" s="1981"/>
      <c r="J157" s="1939"/>
      <c r="K157" s="1904"/>
      <c r="L157" s="1904"/>
      <c r="M157" s="1904"/>
      <c r="N157" s="1904"/>
      <c r="O157" s="1904"/>
      <c r="P157" s="1904"/>
      <c r="Q157" s="1904"/>
      <c r="R157" s="1904"/>
      <c r="S157" s="1904"/>
      <c r="T157" s="1904"/>
      <c r="U157" s="1879"/>
    </row>
    <row r="158" spans="1:21" ht="6" customHeight="1">
      <c r="A158" s="1904"/>
      <c r="B158" s="1904"/>
      <c r="C158" s="1904"/>
      <c r="D158" s="1968"/>
      <c r="E158" s="1959"/>
      <c r="F158" s="1959"/>
      <c r="G158" s="1960"/>
      <c r="H158" s="1960"/>
      <c r="I158" s="1960"/>
      <c r="J158" s="1961"/>
      <c r="K158" s="1960"/>
      <c r="L158" s="1960"/>
      <c r="M158" s="1960"/>
      <c r="N158" s="1960"/>
      <c r="O158" s="1904"/>
      <c r="P158" s="1904"/>
      <c r="Q158" s="1904"/>
      <c r="R158" s="1904"/>
      <c r="S158" s="1904"/>
      <c r="T158" s="1904"/>
      <c r="U158" s="1879"/>
    </row>
    <row r="159" spans="1:21" ht="9" customHeight="1">
      <c r="A159" s="1951"/>
      <c r="B159" s="1957"/>
      <c r="C159" s="1957"/>
      <c r="D159" s="1958"/>
      <c r="E159" s="1963"/>
      <c r="F159" s="1963"/>
      <c r="G159" s="1964"/>
      <c r="H159" s="1964"/>
      <c r="I159" s="1964"/>
      <c r="J159" s="1965"/>
      <c r="K159" s="1878"/>
      <c r="L159" s="1878"/>
      <c r="M159" s="1951"/>
      <c r="N159" s="1958"/>
      <c r="O159" s="1951"/>
      <c r="P159" s="1958"/>
      <c r="Q159" s="1958"/>
      <c r="R159" s="1958"/>
      <c r="S159" s="1958"/>
      <c r="T159" s="1958"/>
      <c r="U159" s="1879"/>
    </row>
    <row r="160" spans="1:21" ht="15.75" customHeight="1">
      <c r="A160" s="1951"/>
      <c r="B160" s="1896"/>
      <c r="C160" s="1953"/>
      <c r="D160" s="1966" t="s">
        <v>686</v>
      </c>
      <c r="E160" s="1951" t="str">
        <f>"Multiply the amount on line "&amp;3&amp;" by "&amp;TEXT(N160,"0%")&amp;" ("&amp;TEXT(N160,"0.00")&amp;") and enter the result."</f>
        <v>Multiply the amount on line 3 by 15% (0.15) and enter the result.</v>
      </c>
      <c r="F160" s="1951"/>
      <c r="G160" s="1951"/>
      <c r="H160" s="1878"/>
      <c r="I160" s="1878"/>
      <c r="J160" s="1954"/>
      <c r="K160" s="1878"/>
      <c r="L160" s="1878"/>
      <c r="M160" s="1951"/>
      <c r="N160" s="2002">
        <v>0.15</v>
      </c>
      <c r="O160" s="1955" t="s">
        <v>254</v>
      </c>
      <c r="P160" s="3007" t="str">
        <f>IF(T141="No","",IF(E153="X",0,ROUND(N155*N160,0)))</f>
        <v/>
      </c>
      <c r="Q160" s="1956"/>
      <c r="R160" s="1956"/>
      <c r="S160" s="1956"/>
      <c r="T160" s="1956"/>
      <c r="U160" s="1879"/>
    </row>
    <row r="161" spans="1:21" ht="7.5" customHeight="1">
      <c r="A161" s="1951"/>
      <c r="B161" s="1957"/>
      <c r="C161" s="1957"/>
      <c r="D161" s="1958"/>
      <c r="E161" s="1959"/>
      <c r="F161" s="1959"/>
      <c r="G161" s="1960"/>
      <c r="H161" s="1960"/>
      <c r="I161" s="1960"/>
      <c r="J161" s="1961"/>
      <c r="K161" s="1960"/>
      <c r="L161" s="1960"/>
      <c r="M161" s="1960"/>
      <c r="N161" s="1960"/>
      <c r="O161" s="1951"/>
      <c r="P161" s="1951"/>
      <c r="Q161" s="1951"/>
      <c r="R161" s="1951"/>
      <c r="S161" s="1951"/>
      <c r="T161" s="1951"/>
      <c r="U161" s="1879"/>
    </row>
    <row r="162" spans="1:21" ht="9" customHeight="1">
      <c r="A162" s="1951"/>
      <c r="B162" s="1957"/>
      <c r="C162" s="1957"/>
      <c r="D162" s="1958"/>
      <c r="E162" s="1963"/>
      <c r="F162" s="1963"/>
      <c r="G162" s="1964"/>
      <c r="H162" s="1964"/>
      <c r="I162" s="1964"/>
      <c r="J162" s="1965"/>
      <c r="K162" s="1878"/>
      <c r="L162" s="1878"/>
      <c r="M162" s="1951"/>
      <c r="N162" s="1958"/>
      <c r="O162" s="1951"/>
      <c r="P162" s="1958"/>
      <c r="Q162" s="1958"/>
      <c r="R162" s="1958"/>
      <c r="S162" s="1958"/>
      <c r="T162" s="1958"/>
      <c r="U162" s="1879"/>
    </row>
    <row r="163" spans="1:21" ht="12" customHeight="1">
      <c r="A163" s="1878"/>
      <c r="B163" s="1878"/>
      <c r="C163" s="1878"/>
      <c r="D163" s="1966" t="s">
        <v>54</v>
      </c>
      <c r="E163" s="1878" t="str">
        <f>"Is the amount on line 1 of the Child Tax Credit Worksheet "&amp;TEXT(P163,"$0,000")&amp;" or more?"</f>
        <v>Is the amount on line 1 of the Child Tax Credit Worksheet $3,000 or more?</v>
      </c>
      <c r="F163" s="1878"/>
      <c r="G163" s="1878"/>
      <c r="H163" s="1878"/>
      <c r="I163" s="1878"/>
      <c r="J163" s="1928"/>
      <c r="K163" s="1878"/>
      <c r="L163" s="1878"/>
      <c r="M163" s="1878"/>
      <c r="N163" s="1878"/>
      <c r="O163" s="1878"/>
      <c r="P163" s="2002">
        <v>3000</v>
      </c>
      <c r="Q163" s="1878"/>
      <c r="R163" s="1878"/>
      <c r="S163" s="1878"/>
      <c r="T163" s="1878"/>
      <c r="U163" s="1879"/>
    </row>
    <row r="164" spans="1:21" ht="9" customHeight="1" thickBot="1">
      <c r="A164" s="1904"/>
      <c r="B164" s="1904"/>
      <c r="C164" s="1904"/>
      <c r="D164" s="1968"/>
      <c r="E164" s="1976"/>
      <c r="F164" s="1976"/>
      <c r="G164" s="1972"/>
      <c r="H164" s="1904"/>
      <c r="I164" s="1904"/>
      <c r="J164" s="1939"/>
      <c r="K164" s="1904"/>
      <c r="L164" s="1904"/>
      <c r="M164" s="1904"/>
      <c r="N164" s="1904"/>
      <c r="O164" s="1904"/>
      <c r="P164" s="1904"/>
      <c r="Q164" s="1904"/>
      <c r="R164" s="1904"/>
      <c r="S164" s="1904"/>
      <c r="T164" s="1904"/>
      <c r="U164" s="1879"/>
    </row>
    <row r="165" spans="1:21" ht="12.75" customHeight="1" thickBot="1">
      <c r="A165" s="1904"/>
      <c r="B165" s="1904"/>
      <c r="C165" s="1904"/>
      <c r="D165" s="1968"/>
      <c r="E165" s="3009" t="str">
        <f>IF(T141="No","",IF(P30&gt;=P163,"","X"))</f>
        <v/>
      </c>
      <c r="F165" s="2086" t="s">
        <v>468</v>
      </c>
      <c r="G165" s="1981"/>
      <c r="H165" s="2048"/>
      <c r="I165" s="2048"/>
      <c r="J165" s="1939"/>
      <c r="K165" s="1904"/>
      <c r="L165" s="1904"/>
      <c r="M165" s="1904"/>
      <c r="N165" s="1904"/>
      <c r="O165" s="1904"/>
      <c r="P165" s="2007"/>
      <c r="Q165" s="1904"/>
      <c r="R165" s="1904"/>
      <c r="S165" s="1904"/>
      <c r="T165" s="1904"/>
      <c r="U165" s="1879"/>
    </row>
    <row r="166" spans="1:21" ht="12.75" customHeight="1">
      <c r="A166" s="1904"/>
      <c r="B166" s="1904"/>
      <c r="C166" s="1904"/>
      <c r="D166" s="5228" t="b">
        <f>IF(AND(E165="X",P160=0),TRUE,FALSE)</f>
        <v>0</v>
      </c>
      <c r="E166" s="5233"/>
      <c r="F166" s="2084" t="s">
        <v>585</v>
      </c>
      <c r="G166" s="1904" t="s">
        <v>2271</v>
      </c>
      <c r="H166" s="2048"/>
      <c r="I166" s="2048"/>
      <c r="J166" s="1939"/>
      <c r="K166" s="1904"/>
      <c r="L166" s="1904"/>
      <c r="M166" s="1904"/>
      <c r="N166" s="1904"/>
      <c r="O166" s="1904"/>
      <c r="P166" s="2007"/>
      <c r="Q166" s="1904"/>
      <c r="R166" s="1904"/>
      <c r="S166" s="1904"/>
      <c r="T166" s="1904"/>
      <c r="U166" s="1879"/>
    </row>
    <row r="167" spans="1:21" ht="12.75" customHeight="1">
      <c r="A167" s="1904"/>
      <c r="B167" s="1904"/>
      <c r="C167" s="1904"/>
      <c r="D167" s="1968"/>
      <c r="E167" s="1977"/>
      <c r="F167" s="1977"/>
      <c r="G167" s="1904" t="s">
        <v>2273</v>
      </c>
      <c r="H167" s="1904"/>
      <c r="I167" s="1904"/>
      <c r="J167" s="1939"/>
      <c r="K167" s="1904"/>
      <c r="L167" s="1904"/>
      <c r="M167" s="1904"/>
      <c r="N167" s="1904"/>
      <c r="O167" s="1904"/>
      <c r="P167" s="2007"/>
      <c r="Q167" s="1904"/>
      <c r="R167" s="1904"/>
      <c r="S167" s="1904"/>
      <c r="T167" s="1904"/>
      <c r="U167" s="1879"/>
    </row>
    <row r="168" spans="1:21" ht="12.75" customHeight="1">
      <c r="A168" s="1904"/>
      <c r="B168" s="1904"/>
      <c r="C168" s="1904"/>
      <c r="D168" s="1968"/>
      <c r="E168" s="1977"/>
      <c r="F168" s="1977"/>
      <c r="G168" s="1904" t="s">
        <v>2272</v>
      </c>
      <c r="H168" s="1904"/>
      <c r="I168" s="1904"/>
      <c r="J168" s="1939"/>
      <c r="K168" s="1904"/>
      <c r="L168" s="1904"/>
      <c r="M168" s="1904"/>
      <c r="N168" s="1904"/>
      <c r="O168" s="1904"/>
      <c r="P168" s="1904"/>
      <c r="Q168" s="1904"/>
      <c r="R168" s="1904"/>
      <c r="S168" s="1904"/>
      <c r="T168" s="1904"/>
      <c r="U168" s="1879"/>
    </row>
    <row r="169" spans="1:21" ht="12.75" customHeight="1">
      <c r="A169" s="1904"/>
      <c r="B169" s="1904"/>
      <c r="C169" s="1904"/>
      <c r="D169" s="1904"/>
      <c r="E169" s="1904"/>
      <c r="F169" s="1904"/>
      <c r="G169" s="1904" t="s">
        <v>2274</v>
      </c>
      <c r="H169" s="1904"/>
      <c r="I169" s="1904"/>
      <c r="J169" s="1939"/>
      <c r="K169" s="1904"/>
      <c r="L169" s="1904"/>
      <c r="M169" s="1904"/>
      <c r="N169" s="1904"/>
      <c r="O169" s="1904"/>
      <c r="P169" s="1904"/>
      <c r="Q169" s="1904"/>
      <c r="R169" s="1904"/>
      <c r="S169" s="1904"/>
      <c r="T169" s="1904"/>
      <c r="U169" s="1879"/>
    </row>
    <row r="170" spans="1:21" ht="12.75" customHeight="1">
      <c r="A170" s="1904"/>
      <c r="B170" s="1904"/>
      <c r="C170" s="1904"/>
      <c r="D170" s="1904"/>
      <c r="E170" s="1904"/>
      <c r="F170" s="2084" t="s">
        <v>585</v>
      </c>
      <c r="G170" s="1904" t="s">
        <v>1352</v>
      </c>
      <c r="H170" s="1904"/>
      <c r="I170" s="1904"/>
      <c r="J170" s="1939"/>
      <c r="K170" s="1904"/>
      <c r="L170" s="1904"/>
      <c r="M170" s="1904"/>
      <c r="N170" s="1904"/>
      <c r="O170" s="1904"/>
      <c r="P170" s="1904"/>
      <c r="Q170" s="1904"/>
      <c r="R170" s="1904"/>
      <c r="S170" s="1904"/>
      <c r="T170" s="1904"/>
      <c r="U170" s="1879"/>
    </row>
    <row r="171" spans="1:21" ht="12.75" customHeight="1">
      <c r="A171" s="1904"/>
      <c r="B171" s="1904"/>
      <c r="C171" s="1904"/>
      <c r="D171" s="1904"/>
      <c r="E171" s="1904"/>
      <c r="F171" s="1904"/>
      <c r="G171" s="1904" t="s">
        <v>1353</v>
      </c>
      <c r="H171" s="1904"/>
      <c r="I171" s="1904"/>
      <c r="J171" s="1939"/>
      <c r="K171" s="1904"/>
      <c r="L171" s="1904"/>
      <c r="M171" s="1904"/>
      <c r="N171" s="1904"/>
      <c r="O171" s="1904"/>
      <c r="P171" s="1904"/>
      <c r="Q171" s="1904"/>
      <c r="R171" s="1904"/>
      <c r="S171" s="1904"/>
      <c r="T171" s="1904"/>
      <c r="U171" s="1879"/>
    </row>
    <row r="172" spans="1:21" ht="7.5" customHeight="1" thickBot="1">
      <c r="A172" s="1904"/>
      <c r="B172" s="1904"/>
      <c r="C172" s="1904"/>
      <c r="D172" s="1968"/>
      <c r="E172" s="1971"/>
      <c r="F172" s="1971"/>
      <c r="G172" s="1984"/>
      <c r="H172" s="1904"/>
      <c r="I172" s="1904"/>
      <c r="J172" s="1939"/>
      <c r="K172" s="1904"/>
      <c r="L172" s="1904"/>
      <c r="M172" s="1904"/>
      <c r="N172" s="1904"/>
      <c r="O172" s="1904"/>
      <c r="P172" s="1904"/>
      <c r="Q172" s="1904"/>
      <c r="R172" s="1904"/>
      <c r="S172" s="1904"/>
      <c r="T172" s="1904"/>
      <c r="U172" s="1879"/>
    </row>
    <row r="173" spans="1:21" ht="12" customHeight="1" thickBot="1">
      <c r="A173" s="1904"/>
      <c r="B173" s="1904"/>
      <c r="C173" s="1904"/>
      <c r="D173" s="1968"/>
      <c r="E173" s="3009" t="str">
        <f>IF(T141="No","",IF(P30&gt;=P163,"X",""))</f>
        <v/>
      </c>
      <c r="F173" s="2085" t="s">
        <v>274</v>
      </c>
      <c r="G173" s="1981" t="s">
        <v>2275</v>
      </c>
      <c r="H173" s="1904"/>
      <c r="I173" s="1904"/>
      <c r="J173" s="1939"/>
      <c r="K173" s="1904"/>
      <c r="L173" s="1904"/>
      <c r="M173" s="1904"/>
      <c r="N173" s="1904"/>
      <c r="O173" s="1904"/>
      <c r="P173" s="2007"/>
      <c r="Q173" s="1904"/>
      <c r="R173" s="1904"/>
      <c r="S173" s="1904"/>
      <c r="T173" s="1904"/>
      <c r="U173" s="1879"/>
    </row>
    <row r="174" spans="1:21" ht="12" customHeight="1">
      <c r="A174" s="1904"/>
      <c r="B174" s="1904"/>
      <c r="C174" s="5228" t="b">
        <f>IF(AND(E173="X",P160&gt;=P144),TRUE,FALSE)</f>
        <v>0</v>
      </c>
      <c r="D174" s="4273"/>
      <c r="E174" s="4273"/>
      <c r="F174" s="4273"/>
      <c r="G174" s="1981" t="s">
        <v>2276</v>
      </c>
      <c r="H174" s="1904"/>
      <c r="I174" s="1904"/>
      <c r="J174" s="1939"/>
      <c r="K174" s="1904"/>
      <c r="L174" s="1904"/>
      <c r="M174" s="1904"/>
      <c r="N174" s="1904"/>
      <c r="O174" s="1904"/>
      <c r="P174" s="1904"/>
      <c r="Q174" s="1904"/>
      <c r="R174" s="1904"/>
      <c r="S174" s="1904"/>
      <c r="T174" s="1904"/>
      <c r="U174" s="1879"/>
    </row>
    <row r="175" spans="1:21" ht="12" customHeight="1">
      <c r="A175" s="1904"/>
      <c r="B175" s="1904"/>
      <c r="C175" s="1904"/>
      <c r="D175" s="1968"/>
      <c r="E175" s="1980"/>
      <c r="F175" s="1980"/>
      <c r="G175" s="1981" t="s">
        <v>1359</v>
      </c>
      <c r="H175" s="1904"/>
      <c r="I175" s="1904"/>
      <c r="J175" s="1939"/>
      <c r="K175" s="1904"/>
      <c r="L175" s="1904"/>
      <c r="M175" s="1904"/>
      <c r="N175" s="1904"/>
      <c r="O175" s="1904"/>
      <c r="P175" s="1904"/>
      <c r="Q175" s="1904"/>
      <c r="R175" s="1904"/>
      <c r="S175" s="1904"/>
      <c r="T175" s="1904"/>
      <c r="U175" s="1879"/>
    </row>
    <row r="176" spans="1:21" ht="15.75" customHeight="1">
      <c r="A176" s="1904"/>
      <c r="B176" s="1904"/>
      <c r="C176" s="1904"/>
      <c r="D176" s="1968"/>
      <c r="E176" s="1980"/>
      <c r="F176" s="1980"/>
      <c r="G176" s="1981"/>
      <c r="H176" s="1904"/>
      <c r="I176" s="1904"/>
      <c r="J176" s="1904"/>
      <c r="K176" s="1904"/>
      <c r="L176" s="1904"/>
      <c r="M176" s="1904"/>
      <c r="N176" s="1904"/>
      <c r="O176" s="1904"/>
      <c r="P176" s="1904"/>
      <c r="Q176" s="1904"/>
      <c r="R176" s="1904"/>
      <c r="S176" s="1904"/>
      <c r="T176" s="1904"/>
      <c r="U176" s="1879"/>
    </row>
    <row r="177" spans="1:23" ht="9" customHeight="1">
      <c r="A177" s="1951"/>
      <c r="B177" s="1957"/>
      <c r="C177" s="1957"/>
      <c r="D177" s="1958"/>
      <c r="E177" s="1963"/>
      <c r="F177" s="1963"/>
      <c r="G177" s="1964"/>
      <c r="H177" s="1964"/>
      <c r="I177" s="1964"/>
      <c r="J177" s="1964"/>
      <c r="K177" s="1964"/>
      <c r="L177" s="1964"/>
      <c r="M177" s="1964"/>
      <c r="N177" s="1964"/>
      <c r="O177" s="1951"/>
      <c r="P177" s="1958"/>
      <c r="Q177" s="1958"/>
      <c r="R177" s="1958"/>
      <c r="S177" s="1958"/>
      <c r="T177" s="1958"/>
      <c r="U177" s="1879"/>
    </row>
    <row r="178" spans="1:23" ht="13.5" customHeight="1">
      <c r="A178" s="1951"/>
      <c r="B178" s="3281"/>
      <c r="C178" s="1953"/>
      <c r="D178" s="1953"/>
      <c r="E178" s="1953"/>
      <c r="F178" s="1966" t="s">
        <v>125</v>
      </c>
      <c r="G178" s="1953" t="s">
        <v>1825</v>
      </c>
      <c r="H178" s="1953"/>
      <c r="I178" s="1951"/>
      <c r="J178" s="1878"/>
      <c r="K178" s="1878"/>
      <c r="L178" s="1954"/>
      <c r="M178" s="1878"/>
      <c r="N178" s="1878"/>
      <c r="O178" s="1951"/>
      <c r="P178" s="1951"/>
      <c r="Q178" s="1951"/>
      <c r="R178" s="1958"/>
      <c r="S178" s="1956"/>
      <c r="T178" s="1956"/>
      <c r="U178" s="1956"/>
      <c r="W178" s="2094"/>
    </row>
    <row r="179" spans="1:23" ht="13.5" customHeight="1">
      <c r="A179" s="1951"/>
      <c r="B179" s="3281"/>
      <c r="C179" s="1953"/>
      <c r="D179" s="1953"/>
      <c r="E179" s="1954" t="s">
        <v>1323</v>
      </c>
      <c r="F179" s="1966"/>
      <c r="G179" s="1953" t="s">
        <v>1826</v>
      </c>
      <c r="H179" s="1953"/>
      <c r="I179" s="1951"/>
      <c r="J179" s="1878"/>
      <c r="K179" s="1878"/>
      <c r="L179" s="1954"/>
      <c r="M179" s="1878"/>
      <c r="N179" s="1878"/>
      <c r="O179" s="1951"/>
      <c r="P179" s="1951"/>
      <c r="Q179" s="1951"/>
      <c r="R179" s="1958"/>
      <c r="S179" s="1956"/>
      <c r="T179" s="1956"/>
      <c r="U179" s="1956"/>
      <c r="W179" s="2094"/>
    </row>
    <row r="180" spans="1:23" ht="13.5" customHeight="1">
      <c r="A180" s="1951"/>
      <c r="B180" s="3281"/>
      <c r="C180" s="1953"/>
      <c r="D180" s="1953"/>
      <c r="E180" s="2004" t="s">
        <v>1324</v>
      </c>
      <c r="F180" s="1966"/>
      <c r="G180" s="1953" t="s">
        <v>1827</v>
      </c>
      <c r="H180" s="1953"/>
      <c r="I180" s="1951"/>
      <c r="J180" s="1878"/>
      <c r="K180" s="1878"/>
      <c r="L180" s="1954"/>
      <c r="M180" s="1878"/>
      <c r="N180" s="1878"/>
      <c r="O180" s="1951"/>
      <c r="P180" s="1951"/>
      <c r="Q180" s="1951"/>
      <c r="R180" s="1958"/>
      <c r="S180" s="1956"/>
      <c r="T180" s="1956"/>
      <c r="U180" s="1956"/>
      <c r="W180" s="2094" t="s">
        <v>152</v>
      </c>
    </row>
    <row r="181" spans="1:23" ht="12.75" customHeight="1" thickBot="1">
      <c r="A181" s="1951"/>
      <c r="B181" s="3281"/>
      <c r="C181" s="1954"/>
      <c r="D181" s="1954"/>
      <c r="E181" s="1954" t="s">
        <v>1326</v>
      </c>
      <c r="F181" s="1966"/>
      <c r="G181" s="1953" t="s">
        <v>1828</v>
      </c>
      <c r="H181" s="1953"/>
      <c r="I181" s="1951"/>
      <c r="J181" s="1878"/>
      <c r="K181" s="1878"/>
      <c r="L181" s="1954"/>
      <c r="M181" s="1878"/>
      <c r="N181" s="1878"/>
      <c r="O181" s="1968"/>
      <c r="P181" s="1969"/>
      <c r="Q181" s="1951"/>
      <c r="R181" s="1958"/>
      <c r="S181" s="1956"/>
      <c r="T181" s="1956"/>
      <c r="U181" s="1956"/>
      <c r="W181" s="2094" t="s">
        <v>706</v>
      </c>
    </row>
    <row r="182" spans="1:23" ht="17.25" customHeight="1" thickBot="1">
      <c r="A182" s="1984"/>
      <c r="B182" s="3282"/>
      <c r="C182" s="2004"/>
      <c r="D182" s="2004"/>
      <c r="E182" s="2004" t="s">
        <v>1328</v>
      </c>
      <c r="F182" s="1968"/>
      <c r="G182" s="1971" t="s">
        <v>585</v>
      </c>
      <c r="H182" s="1972" t="s">
        <v>1325</v>
      </c>
      <c r="I182" s="1972"/>
      <c r="J182" s="1904"/>
      <c r="K182" s="1904"/>
      <c r="L182" s="2004"/>
      <c r="M182" s="1955" t="s">
        <v>175</v>
      </c>
      <c r="N182" s="3007" t="str">
        <f xml:space="preserve">   IF(W182&lt;&gt;"",W182,
    IF(OR(T141="No",E165="X",C174),"",
   SUM(W2_SS_Tax_Withheld,MedCare_Tax_Withheld)))</f>
        <v/>
      </c>
      <c r="O182" s="1968"/>
      <c r="P182" s="1969"/>
      <c r="Q182" s="1984"/>
      <c r="R182" s="1977"/>
      <c r="S182" s="2049"/>
      <c r="T182" s="2049"/>
      <c r="U182" s="2049"/>
      <c r="W182" s="2096"/>
    </row>
    <row r="183" spans="1:23" ht="12.75" customHeight="1">
      <c r="A183" s="1951"/>
      <c r="B183" s="3281"/>
      <c r="C183" s="1954"/>
      <c r="D183" s="1954"/>
      <c r="E183" s="2058" t="str">
        <f>"completing lines"</f>
        <v>completing lines</v>
      </c>
      <c r="F183" s="1966"/>
      <c r="G183" s="1890" t="s">
        <v>585</v>
      </c>
      <c r="H183" s="1875" t="s">
        <v>1327</v>
      </c>
      <c r="I183" s="1875"/>
      <c r="J183" s="1878"/>
      <c r="K183" s="1878"/>
      <c r="L183" s="1954"/>
      <c r="M183" s="1878"/>
      <c r="N183" s="1878"/>
      <c r="O183" s="1968"/>
      <c r="P183" s="1969"/>
      <c r="Q183" s="1951"/>
      <c r="R183" s="1958"/>
      <c r="S183" s="1956"/>
      <c r="T183" s="1956"/>
      <c r="U183" s="1956"/>
    </row>
    <row r="184" spans="1:23" ht="19.5" customHeight="1">
      <c r="A184" s="2011"/>
      <c r="B184" s="3283"/>
      <c r="C184" s="2004"/>
      <c r="D184" s="2058"/>
      <c r="E184" s="2058" t="s">
        <v>1829</v>
      </c>
      <c r="F184" s="2051"/>
      <c r="G184" s="1972" t="s">
        <v>1636</v>
      </c>
      <c r="H184" s="2052"/>
      <c r="I184" s="2052"/>
      <c r="J184" s="2053"/>
      <c r="K184" s="2053"/>
      <c r="L184" s="2054"/>
      <c r="M184" s="2053"/>
      <c r="N184" s="2053"/>
      <c r="O184" s="2051"/>
      <c r="P184" s="2055"/>
      <c r="Q184" s="2011"/>
      <c r="R184" s="2056"/>
      <c r="S184" s="2057"/>
      <c r="T184" s="2057"/>
      <c r="U184" s="2057"/>
    </row>
    <row r="185" spans="1:23" ht="13.5" customHeight="1">
      <c r="A185" s="1951"/>
      <c r="B185" s="3284"/>
      <c r="C185" s="2058"/>
      <c r="D185" s="2058"/>
      <c r="E185" s="2058"/>
      <c r="F185" s="1958"/>
      <c r="G185" s="1963"/>
      <c r="H185" s="1963"/>
      <c r="I185" s="1964"/>
      <c r="J185" s="1964"/>
      <c r="K185" s="1964"/>
      <c r="L185" s="1965"/>
      <c r="M185" s="1878"/>
      <c r="N185" s="1878"/>
      <c r="O185" s="1951"/>
      <c r="P185" s="1958"/>
      <c r="Q185" s="1951"/>
      <c r="R185" s="1958"/>
      <c r="S185" s="1958"/>
      <c r="T185" s="1958"/>
      <c r="U185" s="1958"/>
    </row>
    <row r="186" spans="1:23" ht="12.75" customHeight="1" thickBot="1">
      <c r="A186" s="1951"/>
      <c r="B186" s="3281"/>
      <c r="C186" s="1954"/>
      <c r="D186" s="1954"/>
      <c r="E186" s="1954"/>
      <c r="F186" s="1966" t="s">
        <v>126</v>
      </c>
      <c r="G186" s="1970" t="s">
        <v>1276</v>
      </c>
      <c r="H186" s="1970"/>
      <c r="I186" s="1951"/>
      <c r="J186" s="1878"/>
      <c r="K186" s="1878"/>
      <c r="L186" s="1954"/>
      <c r="M186" s="1878"/>
      <c r="N186" s="1878"/>
      <c r="O186" s="1951"/>
      <c r="P186" s="1958"/>
      <c r="Q186" s="1951"/>
      <c r="R186" s="1958"/>
      <c r="S186" s="1956"/>
      <c r="T186" s="1956"/>
      <c r="U186" s="1956"/>
      <c r="W186" s="2094"/>
    </row>
    <row r="187" spans="1:23" s="2023" customFormat="1" ht="16.5" customHeight="1" thickBot="1">
      <c r="A187" s="1951"/>
      <c r="B187" s="1896"/>
      <c r="C187" s="1953"/>
      <c r="D187" s="1953"/>
      <c r="E187" s="1953"/>
      <c r="F187" s="1966"/>
      <c r="G187" s="1971" t="s">
        <v>585</v>
      </c>
      <c r="H187" s="1951" t="s">
        <v>2277</v>
      </c>
      <c r="I187" s="1951"/>
      <c r="J187" s="1878"/>
      <c r="K187" s="1878"/>
      <c r="L187" s="1954"/>
      <c r="M187" s="2775" t="s">
        <v>176</v>
      </c>
      <c r="N187" s="3007" t="str">
        <f xml:space="preserve">   IF(W187&lt;&gt;"",W187,
    IF(OR(T141="No",E165="X",C174),"",
      SUM('1040'!V60,'1040'!AB95)))</f>
        <v/>
      </c>
      <c r="O187" s="1951"/>
      <c r="P187" s="1958"/>
      <c r="Q187" s="1951"/>
      <c r="R187" s="1958"/>
      <c r="S187" s="1956"/>
      <c r="T187" s="1956"/>
      <c r="U187" s="1956"/>
      <c r="V187" s="1879"/>
      <c r="W187" s="2096"/>
    </row>
    <row r="188" spans="1:23" ht="16.5" customHeight="1">
      <c r="A188" s="1951"/>
      <c r="B188" s="1896"/>
      <c r="C188" s="1953"/>
      <c r="D188" s="1953"/>
      <c r="E188" s="1953"/>
      <c r="F188" s="1966"/>
      <c r="G188" s="1971" t="s">
        <v>585</v>
      </c>
      <c r="H188" s="1972" t="s">
        <v>1354</v>
      </c>
      <c r="I188" s="1972"/>
      <c r="J188" s="1878"/>
      <c r="K188" s="1878"/>
      <c r="L188" s="1954"/>
      <c r="M188" s="1878"/>
      <c r="N188" s="1878"/>
      <c r="O188" s="1951"/>
      <c r="P188" s="1958"/>
      <c r="Q188" s="1878"/>
      <c r="R188" s="1958"/>
      <c r="S188" s="1956"/>
      <c r="T188" s="1956"/>
      <c r="U188" s="1956"/>
    </row>
    <row r="189" spans="1:23" ht="12.75" customHeight="1">
      <c r="A189" s="1951"/>
      <c r="B189" s="1896"/>
      <c r="C189" s="1953"/>
      <c r="D189" s="1953"/>
      <c r="E189" s="1953"/>
      <c r="F189" s="1966"/>
      <c r="G189" s="1890"/>
      <c r="H189" s="1875" t="s">
        <v>1355</v>
      </c>
      <c r="I189" s="1875"/>
      <c r="J189" s="1878"/>
      <c r="K189" s="1878"/>
      <c r="L189" s="1954"/>
      <c r="M189" s="1878"/>
      <c r="N189" s="1878"/>
      <c r="O189" s="1951"/>
      <c r="P189" s="1958"/>
      <c r="Q189" s="1951"/>
      <c r="R189" s="1958"/>
      <c r="S189" s="1956"/>
      <c r="T189" s="1956"/>
      <c r="U189" s="1956"/>
    </row>
    <row r="190" spans="1:23" ht="17.25" customHeight="1">
      <c r="A190" s="2011"/>
      <c r="B190" s="2050"/>
      <c r="C190" s="1967"/>
      <c r="D190" s="1967"/>
      <c r="E190" s="1967"/>
      <c r="F190" s="2051"/>
      <c r="G190" s="2052"/>
      <c r="H190" s="2052"/>
      <c r="I190" s="2052"/>
      <c r="J190" s="2053"/>
      <c r="K190" s="2053"/>
      <c r="L190" s="2054"/>
      <c r="M190" s="2053"/>
      <c r="N190" s="2053"/>
      <c r="O190" s="2051"/>
      <c r="P190" s="2055"/>
      <c r="Q190" s="2011"/>
      <c r="R190" s="2056"/>
      <c r="S190" s="2057"/>
      <c r="T190" s="2057"/>
      <c r="U190" s="2057"/>
    </row>
    <row r="191" spans="1:23" ht="10.5" customHeight="1">
      <c r="A191" s="2011"/>
      <c r="B191" s="2050"/>
      <c r="C191" s="1967"/>
      <c r="D191" s="2051"/>
      <c r="E191" s="2052"/>
      <c r="F191" s="2052"/>
      <c r="G191" s="2052"/>
      <c r="H191" s="2053"/>
      <c r="I191" s="2053"/>
      <c r="J191" s="2054"/>
      <c r="K191" s="2053"/>
      <c r="L191" s="2053"/>
      <c r="M191" s="2051"/>
      <c r="N191" s="2055"/>
      <c r="O191" s="2011"/>
      <c r="P191" s="2056"/>
      <c r="Q191" s="2057"/>
      <c r="R191" s="2057"/>
      <c r="S191" s="2057"/>
      <c r="T191" s="2057"/>
      <c r="U191" s="1879"/>
    </row>
    <row r="192" spans="1:23" ht="5.25" customHeight="1" thickBot="1">
      <c r="A192" s="1951"/>
      <c r="B192" s="1957"/>
      <c r="C192" s="1957"/>
      <c r="D192" s="1958"/>
      <c r="E192" s="1963"/>
      <c r="F192" s="1963"/>
      <c r="G192" s="1964"/>
      <c r="H192" s="1964"/>
      <c r="I192" s="1964"/>
      <c r="J192" s="1965"/>
      <c r="K192" s="1878"/>
      <c r="L192" s="1878"/>
      <c r="M192" s="1951"/>
      <c r="N192" s="1958"/>
      <c r="O192" s="1951"/>
      <c r="P192" s="1958"/>
      <c r="Q192" s="1958"/>
      <c r="R192" s="1958"/>
      <c r="S192" s="1958"/>
      <c r="T192" s="1958"/>
      <c r="U192" s="1879"/>
    </row>
    <row r="193" spans="1:23" ht="16.5" customHeight="1" thickBot="1">
      <c r="A193" s="1951"/>
      <c r="B193" s="1896"/>
      <c r="C193" s="1953"/>
      <c r="D193" s="1966" t="s">
        <v>352</v>
      </c>
      <c r="E193" s="1951" t="s">
        <v>1329</v>
      </c>
      <c r="F193" s="1951"/>
      <c r="G193" s="1951"/>
      <c r="H193" s="1878"/>
      <c r="I193" s="1878"/>
      <c r="J193" s="1954"/>
      <c r="K193" s="1878"/>
      <c r="L193" s="1878"/>
      <c r="M193" s="1955" t="s">
        <v>177</v>
      </c>
      <c r="N193" s="3007" t="str">
        <f xml:space="preserve"> IF(W193&lt;&gt;"",W193,
   IF(OR(T141="No",E165="X",C174),"",
    SUM(N182,N187)))</f>
        <v/>
      </c>
      <c r="O193" s="1951"/>
      <c r="P193" s="1958"/>
      <c r="Q193" s="1956"/>
      <c r="R193" s="1956"/>
      <c r="S193" s="1956"/>
      <c r="T193" s="1956"/>
      <c r="U193" s="1879"/>
      <c r="W193" s="2096"/>
    </row>
    <row r="194" spans="1:23" ht="6" customHeight="1">
      <c r="A194" s="1951"/>
      <c r="B194" s="1957"/>
      <c r="C194" s="1957"/>
      <c r="D194" s="1958"/>
      <c r="E194" s="1959"/>
      <c r="F194" s="1959"/>
      <c r="G194" s="1960"/>
      <c r="H194" s="1960"/>
      <c r="I194" s="1960"/>
      <c r="J194" s="1961"/>
      <c r="K194" s="1878"/>
      <c r="L194" s="1878"/>
      <c r="M194" s="1951"/>
      <c r="N194" s="1951"/>
      <c r="O194" s="1951"/>
      <c r="P194" s="1951"/>
      <c r="Q194" s="1951"/>
      <c r="R194" s="1951"/>
      <c r="S194" s="1951"/>
      <c r="T194" s="1951"/>
      <c r="U194" s="1879"/>
    </row>
    <row r="195" spans="1:23" ht="27" customHeight="1" thickBot="1">
      <c r="A195" s="1929"/>
      <c r="B195" s="1929"/>
      <c r="C195" s="1988" t="s">
        <v>1330</v>
      </c>
      <c r="D195" s="1931"/>
      <c r="E195" s="1929"/>
      <c r="F195" s="1929"/>
      <c r="G195" s="1929"/>
      <c r="H195" s="1929"/>
      <c r="I195" s="1929"/>
      <c r="J195" s="1989"/>
      <c r="K195" s="1929"/>
      <c r="L195" s="1929"/>
      <c r="M195" s="1929"/>
      <c r="N195" s="1929"/>
      <c r="O195" s="1990"/>
      <c r="P195" s="1988" t="str">
        <f>"Publication 972 ("&amp;TaxYear&amp;")"</f>
        <v>Publication 972 (2014)</v>
      </c>
      <c r="Q195" s="1929"/>
      <c r="R195" s="1929"/>
      <c r="S195" s="1929"/>
      <c r="T195" s="1929"/>
      <c r="U195" s="1879"/>
    </row>
    <row r="196" spans="1:23" ht="30.75" customHeight="1" thickBot="1">
      <c r="A196" s="2033"/>
      <c r="B196" s="2034" t="s">
        <v>1637</v>
      </c>
      <c r="C196" s="2035"/>
      <c r="D196" s="2036"/>
      <c r="E196" s="2037"/>
      <c r="F196" s="2037"/>
      <c r="G196" s="2037"/>
      <c r="H196" s="2037"/>
      <c r="I196" s="2037"/>
      <c r="J196" s="2038"/>
      <c r="K196" s="2037"/>
      <c r="L196" s="2037"/>
      <c r="M196" s="2037"/>
      <c r="N196" s="2039"/>
      <c r="O196" s="2037"/>
      <c r="P196" s="2040"/>
      <c r="Q196" s="2059"/>
      <c r="R196" s="2059"/>
      <c r="S196" s="2059"/>
      <c r="T196" s="2059"/>
      <c r="U196" s="1879"/>
    </row>
    <row r="197" spans="1:23" ht="7.5" customHeight="1" thickTop="1">
      <c r="A197" s="1904"/>
      <c r="B197" s="1904"/>
      <c r="C197" s="1904"/>
      <c r="D197" s="1968"/>
      <c r="E197" s="1980"/>
      <c r="F197" s="1980"/>
      <c r="G197" s="1984"/>
      <c r="H197" s="1904"/>
      <c r="I197" s="1904"/>
      <c r="J197" s="1939"/>
      <c r="K197" s="1904"/>
      <c r="L197" s="1904"/>
      <c r="M197" s="1904"/>
      <c r="N197" s="1904"/>
      <c r="O197" s="1904"/>
      <c r="P197" s="1904"/>
      <c r="Q197" s="1904"/>
      <c r="R197" s="1904"/>
      <c r="S197" s="1904"/>
      <c r="T197" s="1904"/>
      <c r="U197" s="1879"/>
    </row>
    <row r="198" spans="1:23" ht="9" customHeight="1" thickBot="1">
      <c r="A198" s="1951"/>
      <c r="B198" s="1957"/>
      <c r="C198" s="1957"/>
      <c r="D198" s="1958"/>
      <c r="E198" s="2006"/>
      <c r="F198" s="2006"/>
      <c r="G198" s="1951"/>
      <c r="H198" s="1951"/>
      <c r="I198" s="1951"/>
      <c r="J198" s="1896"/>
      <c r="K198" s="1878"/>
      <c r="L198" s="1878"/>
      <c r="M198" s="1951"/>
      <c r="N198" s="1958"/>
      <c r="O198" s="1951"/>
      <c r="P198" s="1958"/>
      <c r="Q198" s="1958"/>
      <c r="R198" s="1958"/>
      <c r="S198" s="1958"/>
      <c r="T198" s="1958"/>
      <c r="U198" s="1879"/>
    </row>
    <row r="199" spans="1:23" ht="17.25" customHeight="1" thickBot="1">
      <c r="A199" s="1951"/>
      <c r="B199" s="1896"/>
      <c r="C199" s="1953"/>
      <c r="D199" s="1966" t="s">
        <v>353</v>
      </c>
      <c r="E199" s="1953" t="s">
        <v>2279</v>
      </c>
      <c r="F199" s="1953"/>
      <c r="G199" s="1951"/>
      <c r="H199" s="1878"/>
      <c r="I199" s="1878"/>
      <c r="J199" s="1954"/>
      <c r="K199" s="1878"/>
      <c r="L199" s="1878"/>
      <c r="M199" s="1955" t="s">
        <v>178</v>
      </c>
      <c r="N199" s="3007" t="str">
        <f xml:space="preserve"> IF(W199&lt;&gt;"",W199,
   IF(OR(T141="No",E165="X",C174),"",
   SUM(EarnedIncomeCredit,ExcessSSTax)))</f>
        <v/>
      </c>
      <c r="O199" s="1951"/>
      <c r="P199" s="1958"/>
      <c r="Q199" s="1956"/>
      <c r="R199" s="1956"/>
      <c r="S199" s="1956"/>
      <c r="T199" s="1956"/>
      <c r="U199" s="1879"/>
      <c r="W199" s="2096"/>
    </row>
    <row r="200" spans="1:23" ht="12" customHeight="1">
      <c r="A200" s="1951"/>
      <c r="B200" s="1896"/>
      <c r="C200" s="1953"/>
      <c r="D200" s="1966"/>
      <c r="E200" s="1951" t="s">
        <v>2278</v>
      </c>
      <c r="F200" s="1951"/>
      <c r="G200" s="1951"/>
      <c r="H200" s="1878"/>
      <c r="I200" s="1878"/>
      <c r="J200" s="1954"/>
      <c r="K200" s="1878"/>
      <c r="L200" s="1878"/>
      <c r="M200" s="1951"/>
      <c r="N200" s="1951"/>
      <c r="O200" s="1951"/>
      <c r="P200" s="1958"/>
      <c r="Q200" s="1956"/>
      <c r="R200" s="1956"/>
      <c r="S200" s="1956"/>
      <c r="T200" s="1956"/>
      <c r="U200" s="1879"/>
    </row>
    <row r="201" spans="1:23" ht="9" customHeight="1">
      <c r="A201" s="1951"/>
      <c r="B201" s="1957"/>
      <c r="C201" s="1957"/>
      <c r="D201" s="1958"/>
      <c r="E201" s="2006"/>
      <c r="F201" s="2006"/>
      <c r="G201" s="1951"/>
      <c r="H201" s="1951"/>
      <c r="I201" s="1951"/>
      <c r="J201" s="1896"/>
      <c r="K201" s="1878"/>
      <c r="L201" s="1878"/>
      <c r="M201" s="1951"/>
      <c r="N201" s="1958"/>
      <c r="O201" s="1960"/>
      <c r="P201" s="1987"/>
      <c r="Q201" s="1958"/>
      <c r="R201" s="1958"/>
      <c r="S201" s="1958"/>
      <c r="T201" s="1958"/>
      <c r="U201" s="1879"/>
    </row>
    <row r="202" spans="1:23" ht="19.5" customHeight="1">
      <c r="A202" s="1951"/>
      <c r="B202" s="1896"/>
      <c r="C202" s="1953"/>
      <c r="D202" s="1966" t="s">
        <v>507</v>
      </c>
      <c r="E202" s="1951" t="s">
        <v>1331</v>
      </c>
      <c r="F202" s="1951"/>
      <c r="G202" s="1951"/>
      <c r="H202" s="1878"/>
      <c r="I202" s="1878"/>
      <c r="J202" s="1954"/>
      <c r="K202" s="1878"/>
      <c r="L202" s="1878"/>
      <c r="M202" s="1951"/>
      <c r="N202" s="3285"/>
      <c r="O202" s="1955" t="s">
        <v>179</v>
      </c>
      <c r="P202" s="3007">
        <f>IF(OR(NOT(D166),NOT(C174)),0,
  IF(OR(T141="No",E174),"",
  IF(SUM(N193,-N199)&lt;=0,0,
       SUM(N193,-N199))))</f>
        <v>0</v>
      </c>
      <c r="Q202" s="3286"/>
      <c r="R202" s="1956"/>
      <c r="S202" s="1956"/>
      <c r="T202" s="1956"/>
      <c r="U202" s="1879"/>
    </row>
    <row r="203" spans="1:23" ht="14.25" customHeight="1">
      <c r="A203" s="1951"/>
      <c r="B203" s="1957"/>
      <c r="C203" s="1957"/>
      <c r="D203" s="1958"/>
      <c r="E203" s="2060"/>
      <c r="F203" s="2060"/>
      <c r="G203" s="1951"/>
      <c r="H203" s="1951"/>
      <c r="I203" s="1951"/>
      <c r="J203" s="1896"/>
      <c r="K203" s="1951"/>
      <c r="L203" s="1951"/>
      <c r="M203" s="1951"/>
      <c r="N203" s="1951"/>
      <c r="O203" s="1951"/>
      <c r="P203" s="1951"/>
      <c r="Q203" s="1951"/>
      <c r="R203" s="1951"/>
      <c r="S203" s="1951"/>
      <c r="T203" s="1951"/>
      <c r="U203" s="1879"/>
    </row>
    <row r="204" spans="1:23" s="2063" customFormat="1" ht="10.5" customHeight="1">
      <c r="A204" s="1951"/>
      <c r="B204" s="1957"/>
      <c r="C204" s="1957"/>
      <c r="D204" s="1958"/>
      <c r="E204" s="2061"/>
      <c r="F204" s="2061"/>
      <c r="G204" s="1964"/>
      <c r="H204" s="1964"/>
      <c r="I204" s="1964"/>
      <c r="J204" s="1965"/>
      <c r="K204" s="1964"/>
      <c r="L204" s="1964"/>
      <c r="M204" s="1964"/>
      <c r="N204" s="1964"/>
      <c r="O204" s="1951"/>
      <c r="P204" s="1951"/>
      <c r="Q204" s="1951"/>
      <c r="R204" s="1951"/>
      <c r="S204" s="1951"/>
      <c r="T204" s="1951"/>
      <c r="U204" s="2062"/>
      <c r="V204" s="2062"/>
      <c r="W204" s="2062"/>
    </row>
    <row r="205" spans="1:23" ht="21" customHeight="1">
      <c r="A205" s="1951"/>
      <c r="B205" s="1896"/>
      <c r="C205" s="1953"/>
      <c r="D205" s="1968" t="s">
        <v>508</v>
      </c>
      <c r="E205" s="2087" t="s">
        <v>1332</v>
      </c>
      <c r="F205" s="2087"/>
      <c r="G205" s="2087"/>
      <c r="H205" s="1904"/>
      <c r="I205" s="1904"/>
      <c r="J205" s="1951"/>
      <c r="K205" s="1951"/>
      <c r="L205" s="1951"/>
      <c r="M205" s="1951"/>
      <c r="N205" s="1951"/>
      <c r="O205" s="1955" t="s">
        <v>1310</v>
      </c>
      <c r="P205" s="3007" t="str">
        <f>IF(OR(E166,T141="No"),"",MAX(P160,P202))</f>
        <v/>
      </c>
      <c r="Q205" s="1956"/>
      <c r="R205" s="1956"/>
      <c r="S205" s="1956"/>
      <c r="T205" s="1956"/>
      <c r="U205" s="1879"/>
    </row>
    <row r="206" spans="1:23" ht="7.5" customHeight="1">
      <c r="A206" s="1951"/>
      <c r="B206" s="1957"/>
      <c r="C206" s="1957"/>
      <c r="D206" s="1958"/>
      <c r="E206" s="2005"/>
      <c r="F206" s="2005"/>
      <c r="G206" s="1960"/>
      <c r="H206" s="1960"/>
      <c r="I206" s="1960"/>
      <c r="J206" s="1961"/>
      <c r="K206" s="2064"/>
      <c r="L206" s="2064"/>
      <c r="M206" s="1960"/>
      <c r="N206" s="1987"/>
      <c r="O206" s="1951"/>
      <c r="P206" s="1958"/>
      <c r="Q206" s="1958"/>
      <c r="R206" s="1958"/>
      <c r="S206" s="1958"/>
      <c r="T206" s="1958"/>
      <c r="U206" s="1879"/>
    </row>
    <row r="207" spans="1:23" ht="15.75" customHeight="1">
      <c r="A207" s="1951"/>
      <c r="B207" s="1957"/>
      <c r="C207" s="1957"/>
      <c r="D207" s="1966" t="s">
        <v>509</v>
      </c>
      <c r="E207" s="1982" t="str">
        <f>"   Is the amount on line "&amp;O205&amp;" of this worksheet more than the amount on line "&amp;O144&amp;"?"</f>
        <v xml:space="preserve">   Is the amount on line 11 of this worksheet more than the amount on line 1?</v>
      </c>
      <c r="F207" s="1982"/>
      <c r="G207" s="1951"/>
      <c r="H207" s="1951"/>
      <c r="I207" s="1951"/>
      <c r="J207" s="1896"/>
      <c r="K207" s="1951"/>
      <c r="L207" s="1951"/>
      <c r="M207" s="1951"/>
      <c r="N207" s="1958"/>
      <c r="O207" s="1951"/>
      <c r="P207" s="1958"/>
      <c r="Q207" s="1958"/>
      <c r="R207" s="1958"/>
      <c r="S207" s="1958"/>
      <c r="T207" s="1958"/>
      <c r="U207" s="1879"/>
    </row>
    <row r="208" spans="1:23" ht="8.25" customHeight="1" thickBot="1">
      <c r="A208" s="1878"/>
      <c r="B208" s="1878"/>
      <c r="C208" s="1878"/>
      <c r="D208" s="1927"/>
      <c r="E208" s="1878"/>
      <c r="F208" s="1878"/>
      <c r="G208" s="1878"/>
      <c r="H208" s="1878"/>
      <c r="I208" s="1878"/>
      <c r="J208" s="1928"/>
      <c r="K208" s="1878"/>
      <c r="L208" s="1878"/>
      <c r="M208" s="1878"/>
      <c r="N208" s="1878"/>
      <c r="O208" s="1878"/>
      <c r="P208" s="1878"/>
      <c r="Q208" s="1878"/>
      <c r="R208" s="1878"/>
      <c r="S208" s="1878"/>
      <c r="T208" s="1878"/>
      <c r="U208" s="1879"/>
    </row>
    <row r="209" spans="1:21" ht="15" customHeight="1" thickBot="1">
      <c r="A209" s="1878"/>
      <c r="B209" s="1878"/>
      <c r="C209" s="1878"/>
      <c r="D209" s="1927"/>
      <c r="E209" s="3009" t="str">
        <f>IF(AND(E165="X",D166),"",IF(T141="No","",IF(P205&gt;P144,"","X")))</f>
        <v/>
      </c>
      <c r="F209" s="2088" t="s">
        <v>307</v>
      </c>
      <c r="G209" s="1878" t="str">
        <f>"Subtract line "&amp;O205&amp;" from line "&amp;O144&amp;". Enter the result."</f>
        <v>Subtract line 11 from line 1. Enter the result.</v>
      </c>
      <c r="H209" s="1878"/>
      <c r="I209" s="1878"/>
      <c r="J209" s="1928"/>
      <c r="K209" s="1878"/>
      <c r="L209" s="1878"/>
      <c r="M209" s="1878"/>
      <c r="N209" s="1878"/>
      <c r="O209" s="1878"/>
      <c r="P209" s="1878"/>
      <c r="Q209" s="1878"/>
      <c r="R209" s="1878"/>
      <c r="S209" s="1878"/>
      <c r="T209" s="1878"/>
      <c r="U209" s="1879"/>
    </row>
    <row r="210" spans="1:21" ht="14.25" customHeight="1" thickBot="1">
      <c r="A210" s="1878"/>
      <c r="B210" s="1878"/>
      <c r="C210" s="1878"/>
      <c r="D210" s="2007"/>
      <c r="E210" s="1878"/>
      <c r="F210" s="1878"/>
      <c r="G210" s="1878"/>
      <c r="H210" s="1878"/>
      <c r="I210" s="1878"/>
      <c r="J210" s="1928"/>
      <c r="K210" s="1878"/>
      <c r="L210" s="1878"/>
      <c r="M210" s="1878"/>
      <c r="N210" s="1878"/>
      <c r="O210" s="1955" t="s">
        <v>369</v>
      </c>
      <c r="P210" s="3007" t="str">
        <f>IF(OR(E166,T141="No"),"",IF(E211="X",0,SUM(P144,-P205)))</f>
        <v/>
      </c>
      <c r="Q210" s="1878"/>
      <c r="R210" s="1878"/>
      <c r="S210" s="1878"/>
      <c r="T210" s="1878"/>
      <c r="U210" s="1879"/>
    </row>
    <row r="211" spans="1:21" ht="17.25" customHeight="1" thickBot="1">
      <c r="A211" s="1878"/>
      <c r="B211" s="1878"/>
      <c r="C211" s="1878"/>
      <c r="D211" s="1927"/>
      <c r="E211" s="3009" t="str">
        <f>IF(AND(E165="X",D166),"",IF(T141="No","",IF(P205&gt;P144,"X","")))</f>
        <v/>
      </c>
      <c r="F211" s="2088" t="s">
        <v>274</v>
      </c>
      <c r="G211" s="1878" t="s">
        <v>712</v>
      </c>
      <c r="H211" s="1878"/>
      <c r="I211" s="1878"/>
      <c r="J211" s="1928"/>
      <c r="K211" s="1878"/>
      <c r="L211" s="1878"/>
      <c r="M211" s="1878"/>
      <c r="N211" s="1878"/>
      <c r="O211" s="1878"/>
      <c r="P211" s="1878"/>
      <c r="Q211" s="1878"/>
      <c r="R211" s="1878"/>
      <c r="S211" s="1878"/>
      <c r="T211" s="1878"/>
      <c r="U211" s="1879"/>
    </row>
    <row r="212" spans="1:21" ht="8.25" customHeight="1">
      <c r="A212" s="1878" t="s">
        <v>1333</v>
      </c>
      <c r="B212" s="1878"/>
      <c r="C212" s="1878"/>
      <c r="D212" s="1927"/>
      <c r="E212" s="1959"/>
      <c r="F212" s="1959"/>
      <c r="G212" s="1960"/>
      <c r="H212" s="1960"/>
      <c r="I212" s="1960"/>
      <c r="J212" s="1961"/>
      <c r="K212" s="1960"/>
      <c r="L212" s="1960"/>
      <c r="M212" s="1960"/>
      <c r="N212" s="1960"/>
      <c r="O212" s="1878"/>
      <c r="P212" s="1878"/>
      <c r="Q212" s="1878"/>
      <c r="R212" s="1878"/>
      <c r="S212" s="1878"/>
      <c r="T212" s="1878"/>
      <c r="U212" s="1879"/>
    </row>
    <row r="213" spans="1:21" ht="6.75" customHeight="1">
      <c r="A213" s="1951"/>
      <c r="B213" s="1957"/>
      <c r="C213" s="1957"/>
      <c r="D213" s="1958"/>
      <c r="E213" s="2006"/>
      <c r="F213" s="2006"/>
      <c r="G213" s="1951"/>
      <c r="H213" s="1951"/>
      <c r="I213" s="1951"/>
      <c r="J213" s="1896"/>
      <c r="K213" s="1878"/>
      <c r="L213" s="1878"/>
      <c r="M213" s="1951"/>
      <c r="N213" s="1958"/>
      <c r="O213" s="1951"/>
      <c r="P213" s="1958"/>
      <c r="Q213" s="1958"/>
      <c r="R213" s="1958"/>
      <c r="S213" s="1958"/>
      <c r="T213" s="1958"/>
      <c r="U213" s="1879"/>
    </row>
    <row r="214" spans="1:21">
      <c r="A214" s="1951"/>
      <c r="B214" s="1957"/>
      <c r="C214" s="1957"/>
      <c r="D214" s="1958"/>
      <c r="E214" s="1982" t="s">
        <v>1356</v>
      </c>
      <c r="F214" s="1997"/>
      <c r="G214" s="1951"/>
      <c r="H214" s="1951"/>
      <c r="I214" s="1951"/>
      <c r="J214" s="1896"/>
      <c r="K214" s="1878"/>
      <c r="L214" s="1878"/>
      <c r="M214" s="1951"/>
      <c r="N214" s="1958"/>
      <c r="O214" s="1951"/>
      <c r="P214" s="1958"/>
      <c r="Q214" s="1958"/>
      <c r="R214" s="1958"/>
      <c r="S214" s="1958"/>
      <c r="T214" s="1958"/>
      <c r="U214" s="1879"/>
    </row>
    <row r="215" spans="1:21">
      <c r="A215" s="1951"/>
      <c r="B215" s="1957"/>
      <c r="C215" s="1957"/>
      <c r="D215" s="1958"/>
      <c r="E215" s="1982" t="str">
        <f>"Use the amount from line "&amp;12&amp;" above when you are asked to enter the amount"</f>
        <v>Use the amount from line 12 above when you are asked to enter the amount</v>
      </c>
      <c r="F215" s="1982"/>
      <c r="G215" s="1951"/>
      <c r="H215" s="1951"/>
      <c r="I215" s="1951"/>
      <c r="J215" s="1896"/>
      <c r="K215" s="1878"/>
      <c r="L215" s="1878"/>
      <c r="M215" s="1951"/>
      <c r="N215" s="1958"/>
      <c r="O215" s="1951"/>
      <c r="P215" s="1958"/>
      <c r="Q215" s="1958"/>
      <c r="R215" s="1958"/>
      <c r="S215" s="1958"/>
      <c r="T215" s="1958"/>
      <c r="U215" s="1879"/>
    </row>
    <row r="216" spans="1:21">
      <c r="A216" s="1951"/>
      <c r="B216" s="1957"/>
      <c r="C216" s="1957"/>
      <c r="D216" s="1958"/>
      <c r="E216" s="1982" t="s">
        <v>1334</v>
      </c>
      <c r="F216" s="1982"/>
      <c r="G216" s="1951"/>
      <c r="H216" s="1951"/>
      <c r="I216" s="1951"/>
      <c r="J216" s="1896"/>
      <c r="K216" s="1878"/>
      <c r="L216" s="1878"/>
      <c r="M216" s="1951"/>
      <c r="N216" s="1958"/>
      <c r="O216" s="1951"/>
      <c r="P216" s="1958"/>
      <c r="Q216" s="1958"/>
      <c r="R216" s="1958"/>
      <c r="S216" s="1958"/>
      <c r="T216" s="1958"/>
      <c r="U216" s="1879"/>
    </row>
    <row r="217" spans="1:21" ht="6.75" customHeight="1">
      <c r="A217" s="1951"/>
      <c r="B217" s="1957"/>
      <c r="C217" s="1957"/>
      <c r="D217" s="1958"/>
      <c r="E217" s="1982"/>
      <c r="F217" s="1982"/>
      <c r="G217" s="1951"/>
      <c r="H217" s="1951"/>
      <c r="I217" s="1951"/>
      <c r="J217" s="1896"/>
      <c r="K217" s="1878"/>
      <c r="L217" s="1878"/>
      <c r="M217" s="1951"/>
      <c r="N217" s="1958"/>
      <c r="O217" s="1951"/>
      <c r="P217" s="1958"/>
      <c r="Q217" s="1958"/>
      <c r="R217" s="1958"/>
      <c r="S217" s="1958"/>
      <c r="T217" s="1958"/>
      <c r="U217" s="1879"/>
    </row>
    <row r="218" spans="1:21">
      <c r="A218" s="1951"/>
      <c r="B218" s="1957"/>
      <c r="C218" s="1957"/>
      <c r="D218" s="1958"/>
      <c r="E218" s="1971" t="s">
        <v>585</v>
      </c>
      <c r="F218" s="1971"/>
      <c r="G218" s="1951" t="s">
        <v>1309</v>
      </c>
      <c r="H218" s="1951"/>
      <c r="I218" s="1951"/>
      <c r="J218" s="1896"/>
      <c r="K218" s="1878"/>
      <c r="L218" s="1878"/>
      <c r="M218" s="1951"/>
      <c r="N218" s="1958"/>
      <c r="O218" s="1951"/>
      <c r="P218" s="1958"/>
      <c r="Q218" s="1958"/>
      <c r="R218" s="1958"/>
      <c r="S218" s="1958"/>
      <c r="T218" s="1958"/>
      <c r="U218" s="1879"/>
    </row>
    <row r="219" spans="1:21">
      <c r="A219" s="1951"/>
      <c r="B219" s="1957"/>
      <c r="C219" s="1957"/>
      <c r="D219" s="1958"/>
      <c r="E219" s="1971" t="s">
        <v>585</v>
      </c>
      <c r="F219" s="1971"/>
      <c r="G219" s="1951" t="s">
        <v>1631</v>
      </c>
      <c r="H219" s="1951"/>
      <c r="I219" s="1951"/>
      <c r="J219" s="1896"/>
      <c r="K219" s="1878"/>
      <c r="L219" s="1878"/>
      <c r="M219" s="1951"/>
      <c r="N219" s="1958"/>
      <c r="O219" s="1951"/>
      <c r="P219" s="1958"/>
      <c r="Q219" s="1958"/>
      <c r="R219" s="1958"/>
      <c r="S219" s="1958"/>
      <c r="T219" s="1958"/>
      <c r="U219" s="1879"/>
    </row>
    <row r="220" spans="1:21">
      <c r="A220" s="1951"/>
      <c r="B220" s="1957"/>
      <c r="C220" s="1957"/>
      <c r="D220" s="1958"/>
      <c r="E220" s="1971" t="s">
        <v>585</v>
      </c>
      <c r="F220" s="1971"/>
      <c r="G220" s="1951" t="s">
        <v>1824</v>
      </c>
      <c r="H220" s="1951"/>
      <c r="I220" s="1951"/>
      <c r="J220" s="1896"/>
      <c r="K220" s="1878"/>
      <c r="L220" s="1878"/>
      <c r="M220" s="1951"/>
      <c r="N220" s="1958"/>
      <c r="O220" s="1951"/>
      <c r="P220" s="1958"/>
      <c r="Q220" s="1958"/>
      <c r="R220" s="1958"/>
      <c r="S220" s="1958"/>
      <c r="T220" s="1958"/>
      <c r="U220" s="1879"/>
    </row>
    <row r="221" spans="1:21">
      <c r="A221" s="1951"/>
      <c r="B221" s="1957"/>
      <c r="C221" s="1957"/>
      <c r="D221" s="1958"/>
      <c r="E221" s="1971" t="s">
        <v>585</v>
      </c>
      <c r="F221" s="1971"/>
      <c r="G221" s="1951" t="s">
        <v>237</v>
      </c>
      <c r="H221" s="1951"/>
      <c r="I221" s="1951"/>
      <c r="J221" s="1896"/>
      <c r="K221" s="1878"/>
      <c r="L221" s="1878"/>
      <c r="M221" s="1951"/>
      <c r="N221" s="1958"/>
      <c r="O221" s="1951"/>
      <c r="P221" s="1958"/>
      <c r="Q221" s="1958"/>
      <c r="R221" s="1958"/>
      <c r="S221" s="1958"/>
      <c r="T221" s="1958"/>
      <c r="U221" s="1879"/>
    </row>
    <row r="222" spans="1:21" ht="6.75" customHeight="1">
      <c r="A222" s="1951"/>
      <c r="B222" s="1957"/>
      <c r="C222" s="1957"/>
      <c r="D222" s="1958"/>
      <c r="E222" s="1982"/>
      <c r="F222" s="1982"/>
      <c r="G222" s="1951"/>
      <c r="H222" s="1951"/>
      <c r="I222" s="1951"/>
      <c r="J222" s="1896"/>
      <c r="K222" s="1878"/>
      <c r="L222" s="1878"/>
      <c r="M222" s="1951"/>
      <c r="N222" s="1958"/>
      <c r="O222" s="1951"/>
      <c r="P222" s="1958"/>
      <c r="Q222" s="1958"/>
      <c r="R222" s="1958"/>
      <c r="S222" s="1958"/>
      <c r="T222" s="1958"/>
      <c r="U222" s="1879"/>
    </row>
    <row r="223" spans="1:21">
      <c r="A223" s="1951"/>
      <c r="B223" s="1957"/>
      <c r="C223" s="1957"/>
      <c r="D223" s="1958"/>
      <c r="E223" s="2018" t="s">
        <v>1357</v>
      </c>
      <c r="F223" s="2018"/>
      <c r="G223" s="1951"/>
      <c r="H223" s="1951"/>
      <c r="I223" s="1951"/>
      <c r="J223" s="1896"/>
      <c r="K223" s="1878"/>
      <c r="L223" s="1878"/>
      <c r="M223" s="1951"/>
      <c r="N223" s="1958"/>
      <c r="O223" s="1951"/>
      <c r="P223" s="1958"/>
      <c r="Q223" s="1958"/>
      <c r="R223" s="1958"/>
      <c r="S223" s="1958"/>
      <c r="T223" s="1958"/>
      <c r="U223" s="1879"/>
    </row>
    <row r="224" spans="1:21" ht="7.5" customHeight="1">
      <c r="A224" s="1878" t="s">
        <v>1333</v>
      </c>
      <c r="B224" s="1878"/>
      <c r="C224" s="1878"/>
      <c r="D224" s="1927"/>
      <c r="E224" s="1959"/>
      <c r="F224" s="1959"/>
      <c r="G224" s="1960"/>
      <c r="H224" s="1960"/>
      <c r="I224" s="1960"/>
      <c r="J224" s="1961"/>
      <c r="K224" s="1960"/>
      <c r="L224" s="1960"/>
      <c r="M224" s="1960"/>
      <c r="N224" s="1960"/>
      <c r="O224" s="1878"/>
      <c r="P224" s="1878"/>
      <c r="Q224" s="1878"/>
      <c r="R224" s="1878"/>
      <c r="S224" s="1878"/>
      <c r="T224" s="1878"/>
      <c r="U224" s="1879"/>
    </row>
    <row r="225" spans="1:21" ht="6.75" customHeight="1">
      <c r="A225" s="1951"/>
      <c r="B225" s="1957"/>
      <c r="C225" s="1957"/>
      <c r="D225" s="1958"/>
      <c r="E225" s="1982"/>
      <c r="F225" s="1982"/>
      <c r="G225" s="1951"/>
      <c r="H225" s="1951"/>
      <c r="I225" s="1951"/>
      <c r="J225" s="1896"/>
      <c r="K225" s="1878"/>
      <c r="L225" s="1878"/>
      <c r="M225" s="1951"/>
      <c r="N225" s="1958"/>
      <c r="O225" s="1951"/>
      <c r="P225" s="1958"/>
      <c r="Q225" s="1958"/>
      <c r="R225" s="1958"/>
      <c r="S225" s="1958"/>
      <c r="T225" s="1958"/>
      <c r="U225" s="1879"/>
    </row>
    <row r="226" spans="1:21">
      <c r="A226" s="1951"/>
      <c r="B226" s="1957"/>
      <c r="C226" s="1957"/>
      <c r="D226" s="1966" t="s">
        <v>740</v>
      </c>
      <c r="E226" s="1982" t="s">
        <v>1335</v>
      </c>
      <c r="F226" s="1982"/>
      <c r="G226" s="1951"/>
      <c r="H226" s="1951"/>
      <c r="I226" s="1951"/>
      <c r="J226" s="1896"/>
      <c r="K226" s="1878"/>
      <c r="L226" s="1878"/>
      <c r="M226" s="1951"/>
      <c r="N226" s="1958"/>
      <c r="O226" s="1951"/>
      <c r="P226" s="1958"/>
      <c r="Q226" s="1958"/>
      <c r="R226" s="1958"/>
      <c r="S226" s="1958"/>
      <c r="T226" s="1958"/>
      <c r="U226" s="1879"/>
    </row>
    <row r="227" spans="1:21" ht="5.25" customHeight="1">
      <c r="A227" s="1951"/>
      <c r="B227" s="1957"/>
      <c r="C227" s="1957"/>
      <c r="D227" s="1966"/>
      <c r="E227" s="1982"/>
      <c r="F227" s="1982"/>
      <c r="G227" s="1951"/>
      <c r="H227" s="1951"/>
      <c r="I227" s="1951"/>
      <c r="J227" s="1896"/>
      <c r="K227" s="1878"/>
      <c r="L227" s="1878"/>
      <c r="M227" s="1951"/>
      <c r="N227" s="1958"/>
      <c r="O227" s="1951"/>
      <c r="P227" s="1958"/>
      <c r="Q227" s="1958"/>
      <c r="R227" s="1958"/>
      <c r="S227" s="1958"/>
      <c r="T227" s="1958"/>
      <c r="U227" s="1879"/>
    </row>
    <row r="228" spans="1:21" ht="15.75">
      <c r="A228" s="1951"/>
      <c r="B228" s="1957"/>
      <c r="C228" s="1957"/>
      <c r="D228" s="1966"/>
      <c r="E228" s="1971" t="s">
        <v>585</v>
      </c>
      <c r="F228" s="1971"/>
      <c r="G228" s="1984" t="s">
        <v>1638</v>
      </c>
      <c r="H228" s="1951"/>
      <c r="I228" s="1951"/>
      <c r="J228" s="2065"/>
      <c r="K228" s="1973" t="str">
        <f>IF(AND(R9&lt;&gt;"",J228=""),"¬","")</f>
        <v/>
      </c>
      <c r="L228" s="1878"/>
      <c r="M228" s="1906" t="str">
        <f>IF(AND(R9&lt;&gt;"",J228=""),"Enter amount here.","")</f>
        <v/>
      </c>
      <c r="N228" s="1906"/>
      <c r="O228" s="1951"/>
      <c r="P228" s="1958"/>
      <c r="Q228" s="1958"/>
      <c r="R228" s="1958"/>
      <c r="S228" s="1958"/>
      <c r="T228" s="1958"/>
      <c r="U228" s="1879"/>
    </row>
    <row r="229" spans="1:21" ht="15.75">
      <c r="A229" s="1951"/>
      <c r="B229" s="1957"/>
      <c r="C229" s="1957"/>
      <c r="D229" s="1966"/>
      <c r="E229" s="1971" t="s">
        <v>585</v>
      </c>
      <c r="F229" s="1971"/>
      <c r="G229" s="1984" t="s">
        <v>1830</v>
      </c>
      <c r="H229" s="1951"/>
      <c r="I229" s="1951"/>
      <c r="J229" s="2065"/>
      <c r="K229" s="1973" t="str">
        <f>IF(AND(R10&lt;&gt;"",J229=""),"¬","")</f>
        <v/>
      </c>
      <c r="L229" s="1878"/>
      <c r="M229" s="1906" t="str">
        <f>IF(AND(R10&lt;&gt;"",J229=""),"Enter amount here.","")</f>
        <v/>
      </c>
      <c r="N229" s="1906"/>
      <c r="O229" s="1951"/>
      <c r="P229" s="1958"/>
      <c r="Q229" s="1958"/>
      <c r="R229" s="1958"/>
      <c r="S229" s="1958"/>
      <c r="T229" s="1958"/>
      <c r="U229" s="1879"/>
    </row>
    <row r="230" spans="1:21" ht="15.75">
      <c r="A230" s="1951"/>
      <c r="B230" s="1957"/>
      <c r="C230" s="1957"/>
      <c r="D230" s="1966"/>
      <c r="E230" s="1971" t="s">
        <v>585</v>
      </c>
      <c r="F230" s="1971"/>
      <c r="G230" s="1951" t="s">
        <v>1831</v>
      </c>
      <c r="H230" s="1951"/>
      <c r="I230" s="1951"/>
      <c r="J230" s="2065"/>
      <c r="K230" s="1973" t="str">
        <f>IF(AND(R11&lt;&gt;"",J230=""),"¬","")</f>
        <v/>
      </c>
      <c r="L230" s="1878"/>
      <c r="M230" s="1906" t="str">
        <f>IF(AND(R11&lt;&gt;"",J230=""),"Enter amount here.","")</f>
        <v/>
      </c>
      <c r="N230" s="1906"/>
      <c r="O230" s="1955" t="s">
        <v>1315</v>
      </c>
      <c r="P230" s="3007" t="str">
        <f>IF(OR(E166,T141="No"),"",SUM(J228,J229,J230,J231))</f>
        <v/>
      </c>
      <c r="Q230" s="1958"/>
      <c r="R230" s="1958"/>
      <c r="S230" s="1958"/>
      <c r="T230" s="1958"/>
      <c r="U230" s="1879"/>
    </row>
    <row r="231" spans="1:21" ht="15" customHeight="1">
      <c r="A231" s="1951"/>
      <c r="B231" s="1957"/>
      <c r="C231" s="1957"/>
      <c r="D231" s="1966"/>
      <c r="E231" s="2066" t="s">
        <v>585</v>
      </c>
      <c r="F231" s="2066"/>
      <c r="G231" s="2008" t="s">
        <v>1832</v>
      </c>
      <c r="H231" s="1951"/>
      <c r="I231" s="1951"/>
      <c r="J231" s="2065"/>
      <c r="K231" s="1973" t="str">
        <f>IF(AND(R12&lt;&gt;"",J231=""),"¬","")</f>
        <v/>
      </c>
      <c r="L231" s="1878"/>
      <c r="M231" s="1906" t="str">
        <f>IF(AND(R12&lt;&gt;"",J231=""),"Enter amount here.","")</f>
        <v/>
      </c>
      <c r="N231" s="1906"/>
      <c r="O231" s="1951"/>
      <c r="P231" s="1958"/>
      <c r="Q231" s="1958"/>
      <c r="R231" s="1958"/>
      <c r="S231" s="1958"/>
      <c r="T231" s="1958"/>
      <c r="U231" s="1879"/>
    </row>
    <row r="232" spans="1:21" ht="6" customHeight="1">
      <c r="A232" s="1951"/>
      <c r="B232" s="1957"/>
      <c r="C232" s="1957"/>
      <c r="D232" s="1958"/>
      <c r="E232" s="1959"/>
      <c r="F232" s="1959"/>
      <c r="G232" s="1960"/>
      <c r="H232" s="1960"/>
      <c r="I232" s="1960"/>
      <c r="J232" s="1961"/>
      <c r="K232" s="1960"/>
      <c r="L232" s="1960"/>
      <c r="M232" s="1960"/>
      <c r="N232" s="1960"/>
      <c r="O232" s="1951"/>
      <c r="P232" s="1958"/>
      <c r="Q232" s="1958"/>
      <c r="R232" s="1958"/>
      <c r="S232" s="1958"/>
      <c r="T232" s="1958"/>
      <c r="U232" s="1879"/>
    </row>
    <row r="233" spans="1:21" ht="9" customHeight="1">
      <c r="A233" s="1951"/>
      <c r="B233" s="1957"/>
      <c r="C233" s="1957"/>
      <c r="D233" s="1958"/>
      <c r="E233" s="2006"/>
      <c r="F233" s="2006"/>
      <c r="G233" s="1951"/>
      <c r="H233" s="1951"/>
      <c r="I233" s="1951"/>
      <c r="J233" s="1896"/>
      <c r="K233" s="1878"/>
      <c r="L233" s="1878"/>
      <c r="M233" s="1951"/>
      <c r="N233" s="1958"/>
      <c r="O233" s="1951"/>
      <c r="P233" s="1958"/>
      <c r="Q233" s="1958"/>
      <c r="R233" s="1958"/>
      <c r="S233" s="1958"/>
      <c r="T233" s="1958"/>
      <c r="U233" s="1879"/>
    </row>
    <row r="234" spans="1:21" ht="21" customHeight="1">
      <c r="A234" s="1951"/>
      <c r="B234" s="1896"/>
      <c r="C234" s="1953"/>
      <c r="D234" s="1966" t="s">
        <v>741</v>
      </c>
      <c r="E234" s="1951" t="s">
        <v>1639</v>
      </c>
      <c r="F234" s="1951"/>
      <c r="G234" s="1951"/>
      <c r="H234" s="1878"/>
      <c r="I234" s="1878"/>
      <c r="J234" s="1954"/>
      <c r="K234" s="1878"/>
      <c r="L234" s="1878"/>
      <c r="M234" s="1951"/>
      <c r="N234" s="1951"/>
      <c r="O234" s="1955" t="s">
        <v>1336</v>
      </c>
      <c r="P234" s="3007" t="str">
        <f>IF(OR(E166,T141="No"),"",N99)</f>
        <v/>
      </c>
      <c r="Q234" s="1956"/>
      <c r="R234" s="1956"/>
      <c r="S234" s="1956"/>
      <c r="T234" s="1956"/>
      <c r="U234" s="1879"/>
    </row>
    <row r="235" spans="1:21" ht="15" customHeight="1">
      <c r="A235" s="1951"/>
      <c r="B235" s="1957"/>
      <c r="C235" s="1957"/>
      <c r="D235" s="1958"/>
      <c r="E235" s="1959"/>
      <c r="F235" s="1959"/>
      <c r="G235" s="1960"/>
      <c r="H235" s="1960"/>
      <c r="I235" s="1960"/>
      <c r="J235" s="1961"/>
      <c r="K235" s="1960"/>
      <c r="L235" s="1960"/>
      <c r="M235" s="1960"/>
      <c r="N235" s="1960"/>
      <c r="O235" s="1951"/>
      <c r="P235" s="1951"/>
      <c r="Q235" s="1951"/>
      <c r="R235" s="1951"/>
      <c r="S235" s="1951"/>
      <c r="T235" s="1951"/>
      <c r="U235" s="1879"/>
    </row>
    <row r="236" spans="1:21" ht="7.5" customHeight="1" thickBot="1">
      <c r="A236" s="1951"/>
      <c r="B236" s="1957"/>
      <c r="C236" s="1957"/>
      <c r="D236" s="1958"/>
      <c r="E236" s="2010"/>
      <c r="F236" s="2010"/>
      <c r="G236" s="1951"/>
      <c r="H236" s="1951"/>
      <c r="I236" s="1951"/>
      <c r="J236" s="1896"/>
      <c r="K236" s="1951"/>
      <c r="L236" s="1951"/>
      <c r="M236" s="1951"/>
      <c r="N236" s="1951"/>
      <c r="O236" s="1951"/>
      <c r="P236" s="1951"/>
      <c r="Q236" s="1951"/>
      <c r="R236" s="1951"/>
      <c r="S236" s="1951"/>
      <c r="T236" s="1951"/>
      <c r="U236" s="1879"/>
    </row>
    <row r="237" spans="1:21" ht="17.25" customHeight="1" thickTop="1" thickBot="1">
      <c r="A237" s="1951"/>
      <c r="B237" s="1957"/>
      <c r="C237" s="1957"/>
      <c r="D237" s="1966" t="s">
        <v>742</v>
      </c>
      <c r="E237" s="1951" t="str">
        <f>"  Add lines "&amp;13&amp;" and "&amp;14&amp;". Enter the total."</f>
        <v xml:space="preserve">  Add lines 13 and 14. Enter the total.</v>
      </c>
      <c r="F237" s="1951"/>
      <c r="G237" s="1951"/>
      <c r="H237" s="1951"/>
      <c r="I237" s="1951"/>
      <c r="J237" s="1896"/>
      <c r="K237" s="1951"/>
      <c r="L237" s="1951"/>
      <c r="M237" s="1951"/>
      <c r="N237" s="1951"/>
      <c r="O237" s="2015" t="s">
        <v>1337</v>
      </c>
      <c r="P237" s="3017" t="str">
        <f>IF(OR(E166,T141="No"),"",SUM(P230,P234))</f>
        <v/>
      </c>
      <c r="Q237" s="1951"/>
      <c r="R237" s="1951"/>
      <c r="S237" s="1951"/>
      <c r="T237" s="1951"/>
      <c r="U237" s="1879"/>
    </row>
    <row r="238" spans="1:21" ht="15" customHeight="1" thickTop="1">
      <c r="A238" s="1951"/>
      <c r="B238" s="1957"/>
      <c r="C238" s="1957"/>
      <c r="D238" s="1958"/>
      <c r="E238" s="2010"/>
      <c r="F238" s="2010"/>
      <c r="G238" s="1951"/>
      <c r="H238" s="1951"/>
      <c r="I238" s="1951"/>
      <c r="J238" s="1896"/>
      <c r="K238" s="1951"/>
      <c r="L238" s="1951"/>
      <c r="M238" s="1951"/>
      <c r="N238" s="1951"/>
      <c r="O238" s="2067" t="s">
        <v>792</v>
      </c>
      <c r="P238" s="1951"/>
      <c r="Q238" s="1951"/>
      <c r="R238" s="1951"/>
      <c r="S238" s="1951"/>
      <c r="T238" s="1951"/>
      <c r="U238" s="1879"/>
    </row>
    <row r="239" spans="1:21">
      <c r="A239" s="1951"/>
      <c r="B239" s="1957"/>
      <c r="C239" s="1957"/>
      <c r="D239" s="1958"/>
      <c r="E239" s="2006"/>
      <c r="F239" s="2006"/>
      <c r="G239" s="1951"/>
      <c r="H239" s="1951"/>
      <c r="I239" s="1951"/>
      <c r="J239" s="1896"/>
      <c r="K239" s="1878"/>
      <c r="L239" s="1878"/>
      <c r="M239" s="1951"/>
      <c r="N239" s="1958"/>
      <c r="O239" s="2067" t="str">
        <f>"line "&amp;O109&amp;" of the Child"</f>
        <v>line 11 of the Child</v>
      </c>
      <c r="P239" s="1958"/>
      <c r="Q239" s="1958"/>
      <c r="R239" s="1958"/>
      <c r="S239" s="1958"/>
      <c r="T239" s="1958"/>
      <c r="U239" s="1879"/>
    </row>
    <row r="240" spans="1:21">
      <c r="A240" s="1951"/>
      <c r="B240" s="1957"/>
      <c r="C240" s="1957"/>
      <c r="D240" s="1958"/>
      <c r="E240" s="2006"/>
      <c r="F240" s="2006"/>
      <c r="G240" s="1951"/>
      <c r="H240" s="1951"/>
      <c r="I240" s="1951"/>
      <c r="J240" s="1896"/>
      <c r="K240" s="1878"/>
      <c r="L240" s="1878"/>
      <c r="M240" s="1951"/>
      <c r="N240" s="1958"/>
      <c r="O240" s="2067" t="s">
        <v>1338</v>
      </c>
      <c r="P240" s="1958"/>
      <c r="Q240" s="1958"/>
      <c r="R240" s="1958"/>
      <c r="S240" s="1958"/>
      <c r="T240" s="1958"/>
      <c r="U240" s="1879"/>
    </row>
    <row r="241" spans="1:23" ht="6.75" customHeight="1">
      <c r="A241" s="1951"/>
      <c r="B241" s="1957"/>
      <c r="C241" s="1957"/>
      <c r="D241" s="1958"/>
      <c r="E241" s="2006"/>
      <c r="F241" s="2006"/>
      <c r="G241" s="1951"/>
      <c r="H241" s="1951"/>
      <c r="I241" s="1951"/>
      <c r="J241" s="1896"/>
      <c r="K241" s="1878"/>
      <c r="L241" s="1878"/>
      <c r="M241" s="1951"/>
      <c r="N241" s="1958"/>
      <c r="O241" s="2067"/>
      <c r="P241" s="1958"/>
      <c r="Q241" s="1958"/>
      <c r="R241" s="1958"/>
      <c r="S241" s="1958"/>
      <c r="T241" s="1958"/>
      <c r="U241" s="1879"/>
    </row>
    <row r="242" spans="1:23" s="2074" customFormat="1" ht="6.75" customHeight="1">
      <c r="A242" s="2067"/>
      <c r="B242" s="2068"/>
      <c r="C242" s="2068"/>
      <c r="D242" s="2069"/>
      <c r="E242" s="2070"/>
      <c r="F242" s="2070"/>
      <c r="G242" s="2071"/>
      <c r="H242" s="2071"/>
      <c r="I242" s="2071"/>
      <c r="J242" s="2072"/>
      <c r="K242" s="2071"/>
      <c r="L242" s="2071"/>
      <c r="M242" s="2071"/>
      <c r="N242" s="2071"/>
      <c r="O242" s="2071"/>
      <c r="P242" s="2071"/>
      <c r="Q242" s="2067"/>
      <c r="R242" s="2067"/>
      <c r="S242" s="2067"/>
      <c r="T242" s="2067"/>
      <c r="U242" s="2073"/>
      <c r="V242" s="2073"/>
      <c r="W242" s="2073"/>
    </row>
    <row r="243" spans="1:23" ht="9" customHeight="1">
      <c r="A243" s="1878"/>
      <c r="B243" s="1878"/>
      <c r="C243" s="1878"/>
      <c r="D243" s="1927"/>
      <c r="E243" s="1878"/>
      <c r="F243" s="1878"/>
      <c r="G243" s="1878"/>
      <c r="H243" s="1878"/>
      <c r="I243" s="1878"/>
      <c r="J243" s="1928"/>
      <c r="K243" s="1878"/>
      <c r="L243" s="1878"/>
      <c r="M243" s="1878"/>
      <c r="N243" s="1878"/>
      <c r="O243" s="1878"/>
      <c r="P243" s="1878"/>
      <c r="Q243" s="1878"/>
      <c r="R243" s="1878"/>
      <c r="S243" s="1878"/>
      <c r="T243" s="1878"/>
      <c r="U243" s="1879"/>
    </row>
    <row r="244" spans="1:23" s="2079" customFormat="1" ht="41.25" customHeight="1" thickBot="1">
      <c r="A244" s="2075"/>
      <c r="B244" s="3006" t="str">
        <f>"Publication 972 ("&amp;TaxYear&amp;")"</f>
        <v>Publication 972 (2014)</v>
      </c>
      <c r="C244" s="2076"/>
      <c r="D244" s="1931"/>
      <c r="E244" s="1929"/>
      <c r="F244" s="1929"/>
      <c r="G244" s="1929"/>
      <c r="H244" s="1929"/>
      <c r="I244" s="1929"/>
      <c r="J244" s="1989"/>
      <c r="K244" s="1929"/>
      <c r="L244" s="1929"/>
      <c r="M244" s="1929"/>
      <c r="N244" s="1929"/>
      <c r="O244" s="1990"/>
      <c r="P244" s="1988"/>
      <c r="Q244" s="2077" t="s">
        <v>1339</v>
      </c>
      <c r="R244" s="1929"/>
      <c r="S244" s="1929"/>
      <c r="T244" s="1929"/>
      <c r="U244" s="2078"/>
      <c r="V244" s="2078"/>
      <c r="W244" s="2078"/>
    </row>
  </sheetData>
  <sheetProtection password="F07E" sheet="1" objects="1" scenarios="1"/>
  <mergeCells count="5">
    <mergeCell ref="C174:F174"/>
    <mergeCell ref="B30:C30"/>
    <mergeCell ref="K30:N30"/>
    <mergeCell ref="B85:C85"/>
    <mergeCell ref="D166:E166"/>
  </mergeCells>
  <conditionalFormatting sqref="E146:Q146">
    <cfRule type="expression" dxfId="59" priority="66" stopIfTrue="1">
      <formula>IF($T$146="No",1,0)</formula>
    </cfRule>
  </conditionalFormatting>
  <conditionalFormatting sqref="J235">
    <cfRule type="expression" dxfId="58" priority="69" stopIfTrue="1">
      <formula>IF(#REF!&lt;&gt;"",1,0)</formula>
    </cfRule>
  </conditionalFormatting>
  <conditionalFormatting sqref="D13">
    <cfRule type="cellIs" dxfId="57" priority="71" stopIfTrue="1" operator="equal">
      <formula>"Complete."</formula>
    </cfRule>
  </conditionalFormatting>
  <conditionalFormatting sqref="G170">
    <cfRule type="expression" dxfId="56" priority="64" stopIfTrue="1">
      <formula>IF(AND($E$165="X",NOT($D$166)),1,0)</formula>
    </cfRule>
  </conditionalFormatting>
  <conditionalFormatting sqref="G171">
    <cfRule type="expression" dxfId="55" priority="63" stopIfTrue="1">
      <formula>IF(AND($E$165="X",NOT($D$166)),1,0)</formula>
    </cfRule>
  </conditionalFormatting>
  <conditionalFormatting sqref="G166">
    <cfRule type="expression" dxfId="54" priority="62" stopIfTrue="1">
      <formula>IF(AND($E$165="X",$D$166),1,0)</formula>
    </cfRule>
  </conditionalFormatting>
  <conditionalFormatting sqref="G167:G169">
    <cfRule type="expression" dxfId="53" priority="61" stopIfTrue="1">
      <formula>IF(AND($E$165="X",$D$166),1,0)</formula>
    </cfRule>
  </conditionalFormatting>
  <conditionalFormatting sqref="J228:J229">
    <cfRule type="expression" dxfId="52" priority="54" stopIfTrue="1">
      <formula>IF(R9&lt;&gt;"",1,0)</formula>
    </cfRule>
  </conditionalFormatting>
  <conditionalFormatting sqref="J230">
    <cfRule type="expression" dxfId="51" priority="51" stopIfTrue="1">
      <formula>IF(R11&lt;&gt;"",1,0)</formula>
    </cfRule>
  </conditionalFormatting>
  <conditionalFormatting sqref="J231">
    <cfRule type="expression" dxfId="50" priority="50" stopIfTrue="1">
      <formula>IF(R12&lt;&gt;"",1,0)</formula>
    </cfRule>
  </conditionalFormatting>
  <conditionalFormatting sqref="G173:G174">
    <cfRule type="expression" dxfId="49" priority="670" stopIfTrue="1">
      <formula>IF(AND($E$173="X",$C$174),1,0)</formula>
    </cfRule>
  </conditionalFormatting>
  <conditionalFormatting sqref="G175">
    <cfRule type="expression" dxfId="48" priority="672" stopIfTrue="1">
      <formula>IF(AND($T$141="Yes",$E$173&lt;&gt;"",NOT($C$174)),1,0)</formula>
    </cfRule>
  </conditionalFormatting>
  <conditionalFormatting sqref="R4">
    <cfRule type="expression" dxfId="47" priority="49">
      <formula>IF(NoColor,1,0)</formula>
    </cfRule>
  </conditionalFormatting>
  <conditionalFormatting sqref="J30">
    <cfRule type="expression" dxfId="46" priority="47">
      <formula>IF(NoColor,1,0)</formula>
    </cfRule>
  </conditionalFormatting>
  <conditionalFormatting sqref="P30">
    <cfRule type="expression" dxfId="45" priority="46">
      <formula>IF(NoColor,1,0)</formula>
    </cfRule>
  </conditionalFormatting>
  <conditionalFormatting sqref="N34">
    <cfRule type="expression" dxfId="44" priority="45">
      <formula>IF(NoColor,1,0)</formula>
    </cfRule>
  </conditionalFormatting>
  <conditionalFormatting sqref="N40">
    <cfRule type="expression" dxfId="43" priority="44">
      <formula>IF(NoColor,1,0)</formula>
    </cfRule>
  </conditionalFormatting>
  <conditionalFormatting sqref="N46">
    <cfRule type="expression" dxfId="42" priority="43">
      <formula>IF(NoColor,1,0)</formula>
    </cfRule>
  </conditionalFormatting>
  <conditionalFormatting sqref="N52">
    <cfRule type="expression" dxfId="41" priority="42">
      <formula>IF(NoColor,1,0)</formula>
    </cfRule>
  </conditionalFormatting>
  <conditionalFormatting sqref="N60">
    <cfRule type="expression" dxfId="40" priority="41">
      <formula>IF(NoColor,1,0)</formula>
    </cfRule>
  </conditionalFormatting>
  <conditionalFormatting sqref="P67">
    <cfRule type="expression" dxfId="39" priority="40">
      <formula>IF(NoColor,1,0)</formula>
    </cfRule>
  </conditionalFormatting>
  <conditionalFormatting sqref="E59">
    <cfRule type="expression" dxfId="38" priority="39">
      <formula>IF(NoColor,1,0)</formula>
    </cfRule>
  </conditionalFormatting>
  <conditionalFormatting sqref="E61">
    <cfRule type="expression" dxfId="37" priority="38">
      <formula>IF(NoColor,1,0)</formula>
    </cfRule>
  </conditionalFormatting>
  <conditionalFormatting sqref="E72">
    <cfRule type="expression" dxfId="36" priority="37">
      <formula>IF(NoColor,1,0)</formula>
    </cfRule>
  </conditionalFormatting>
  <conditionalFormatting sqref="E79">
    <cfRule type="expression" dxfId="35" priority="36">
      <formula>IF(NoColor,1,0)</formula>
    </cfRule>
  </conditionalFormatting>
  <conditionalFormatting sqref="E108">
    <cfRule type="expression" dxfId="34" priority="35">
      <formula>IF(NoColor,1,0)</formula>
    </cfRule>
  </conditionalFormatting>
  <conditionalFormatting sqref="E110">
    <cfRule type="expression" dxfId="33" priority="34">
      <formula>IF(NoColor,1,0)</formula>
    </cfRule>
  </conditionalFormatting>
  <conditionalFormatting sqref="E118">
    <cfRule type="expression" dxfId="32" priority="33">
      <formula>IF(NoColor,1,0)</formula>
    </cfRule>
  </conditionalFormatting>
  <conditionalFormatting sqref="E120">
    <cfRule type="expression" dxfId="31" priority="32">
      <formula>IF(NoColor,1,0)</formula>
    </cfRule>
  </conditionalFormatting>
  <conditionalFormatting sqref="E153">
    <cfRule type="expression" dxfId="30" priority="31">
      <formula>IF(NoColor,1,0)</formula>
    </cfRule>
  </conditionalFormatting>
  <conditionalFormatting sqref="E156">
    <cfRule type="expression" dxfId="29" priority="30">
      <formula>IF(NoColor,1,0)</formula>
    </cfRule>
  </conditionalFormatting>
  <conditionalFormatting sqref="E165">
    <cfRule type="expression" dxfId="28" priority="29">
      <formula>IF(NoColor,1,0)</formula>
    </cfRule>
  </conditionalFormatting>
  <conditionalFormatting sqref="E173">
    <cfRule type="expression" dxfId="27" priority="28">
      <formula>IF(NoColor,1,0)</formula>
    </cfRule>
  </conditionalFormatting>
  <conditionalFormatting sqref="E209">
    <cfRule type="expression" dxfId="26" priority="27">
      <formula>IF(NoColor,1,0)</formula>
    </cfRule>
  </conditionalFormatting>
  <conditionalFormatting sqref="E211">
    <cfRule type="expression" dxfId="25" priority="26">
      <formula>IF(NoColor,1,0)</formula>
    </cfRule>
  </conditionalFormatting>
  <conditionalFormatting sqref="P78">
    <cfRule type="expression" dxfId="24" priority="25">
      <formula>IF(NoColor,1,0)</formula>
    </cfRule>
  </conditionalFormatting>
  <conditionalFormatting sqref="P85">
    <cfRule type="expression" dxfId="23" priority="24">
      <formula>IF(NoColor,1,0)</formula>
    </cfRule>
  </conditionalFormatting>
  <conditionalFormatting sqref="P109">
    <cfRule type="expression" dxfId="22" priority="23">
      <formula>IF(NoColor,1,0)</formula>
    </cfRule>
  </conditionalFormatting>
  <conditionalFormatting sqref="P114">
    <cfRule type="expression" dxfId="21" priority="22">
      <formula>IF(NoColor,1,0)</formula>
    </cfRule>
  </conditionalFormatting>
  <conditionalFormatting sqref="P119">
    <cfRule type="expression" dxfId="20" priority="21">
      <formula>IF(NoColor,1,0)</formula>
    </cfRule>
  </conditionalFormatting>
  <conditionalFormatting sqref="P144">
    <cfRule type="expression" dxfId="19" priority="20">
      <formula>IF(NoColor,1,0)</formula>
    </cfRule>
  </conditionalFormatting>
  <conditionalFormatting sqref="P160">
    <cfRule type="expression" dxfId="18" priority="19">
      <formula>IF(NoColor,1,0)</formula>
    </cfRule>
  </conditionalFormatting>
  <conditionalFormatting sqref="P202">
    <cfRule type="expression" dxfId="17" priority="18">
      <formula>IF(NoColor,1,0)</formula>
    </cfRule>
  </conditionalFormatting>
  <conditionalFormatting sqref="P205">
    <cfRule type="expression" dxfId="16" priority="17">
      <formula>IF(NoColor,1,0)</formula>
    </cfRule>
  </conditionalFormatting>
  <conditionalFormatting sqref="P210">
    <cfRule type="expression" dxfId="15" priority="16">
      <formula>IF(NoColor,1,0)</formula>
    </cfRule>
  </conditionalFormatting>
  <conditionalFormatting sqref="P230">
    <cfRule type="expression" dxfId="14" priority="15">
      <formula>IF(NoColor,1,0)</formula>
    </cfRule>
  </conditionalFormatting>
  <conditionalFormatting sqref="P234">
    <cfRule type="expression" dxfId="13" priority="14">
      <formula>IF(NoColor,1,0)</formula>
    </cfRule>
  </conditionalFormatting>
  <conditionalFormatting sqref="P237">
    <cfRule type="expression" dxfId="12" priority="13">
      <formula>IF(NoColor,1,0)</formula>
    </cfRule>
  </conditionalFormatting>
  <conditionalFormatting sqref="T141">
    <cfRule type="expression" dxfId="11" priority="12">
      <formula>IF(NoColor,1,0)</formula>
    </cfRule>
  </conditionalFormatting>
  <conditionalFormatting sqref="N147">
    <cfRule type="expression" dxfId="10" priority="11">
      <formula>IF(NoColor,1,0)</formula>
    </cfRule>
  </conditionalFormatting>
  <conditionalFormatting sqref="N155">
    <cfRule type="expression" dxfId="9" priority="10">
      <formula>IF(NoColor,1,0)</formula>
    </cfRule>
  </conditionalFormatting>
  <conditionalFormatting sqref="N182">
    <cfRule type="expression" dxfId="8" priority="9">
      <formula>IF(NoColor,1,0)</formula>
    </cfRule>
  </conditionalFormatting>
  <conditionalFormatting sqref="N187">
    <cfRule type="expression" dxfId="7" priority="8">
      <formula>IF(NoColor,1,0)</formula>
    </cfRule>
  </conditionalFormatting>
  <conditionalFormatting sqref="N193">
    <cfRule type="expression" dxfId="6" priority="7">
      <formula>IF(NoColor,1,0)</formula>
    </cfRule>
  </conditionalFormatting>
  <conditionalFormatting sqref="N199">
    <cfRule type="expression" dxfId="5" priority="6">
      <formula>IF(NoColor,1,0)</formula>
    </cfRule>
  </conditionalFormatting>
  <conditionalFormatting sqref="N90:N93">
    <cfRule type="expression" dxfId="4" priority="5">
      <formula>IF(NoColor,1,0)</formula>
    </cfRule>
  </conditionalFormatting>
  <conditionalFormatting sqref="N94:N97">
    <cfRule type="expression" dxfId="3" priority="4">
      <formula>IF(NoColor,1,0)</formula>
    </cfRule>
  </conditionalFormatting>
  <conditionalFormatting sqref="N99">
    <cfRule type="expression" dxfId="2" priority="3">
      <formula>IF(NoColor,1,0)</formula>
    </cfRule>
  </conditionalFormatting>
  <conditionalFormatting sqref="Q9:R12">
    <cfRule type="expression" dxfId="1" priority="2">
      <formula>IF(NoColor,1,0)</formula>
    </cfRule>
  </conditionalFormatting>
  <conditionalFormatting sqref="Q4">
    <cfRule type="expression" dxfId="0" priority="1">
      <formula>IF(NoColor,1,0)</formula>
    </cfRule>
  </conditionalFormatting>
  <printOptions gridLines="1" gridLinesSet="0"/>
  <pageMargins left="0.54" right="0.27" top="0.42" bottom="0.34" header="0.41" footer="0.27"/>
  <pageSetup scale="86" fitToHeight="0" orientation="portrait" horizontalDpi="120" verticalDpi="144" r:id="rId1"/>
  <headerFooter alignWithMargins="0"/>
  <rowBreaks count="4" manualBreakCount="4">
    <brk id="19" min="1" max="18" man="1"/>
    <brk id="82" min="1" max="16" man="1"/>
    <brk id="136" min="1" max="16" man="1"/>
    <brk id="195" min="1" max="16"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G2064"/>
  <sheetViews>
    <sheetView zoomScaleNormal="100" workbookViewId="0">
      <pane ySplit="1" topLeftCell="A2" activePane="bottomLeft" state="frozen"/>
      <selection activeCell="D26" sqref="D26"/>
      <selection pane="bottomLeft"/>
    </sheetView>
  </sheetViews>
  <sheetFormatPr defaultColWidth="11.7109375" defaultRowHeight="16.5"/>
  <cols>
    <col min="1" max="2" width="12.28515625" style="1702" customWidth="1"/>
    <col min="3" max="6" width="12.28515625" style="1703" customWidth="1"/>
    <col min="7" max="16384" width="11.7109375" style="1699"/>
  </cols>
  <sheetData>
    <row r="1" spans="1:7" s="1799" customFormat="1" ht="65.25" customHeight="1">
      <c r="A1" s="1798" t="s">
        <v>793</v>
      </c>
      <c r="B1" s="1798" t="s">
        <v>141</v>
      </c>
      <c r="C1" s="1798" t="s">
        <v>127</v>
      </c>
      <c r="D1" s="1798" t="s">
        <v>794</v>
      </c>
      <c r="E1" s="1798" t="s">
        <v>821</v>
      </c>
      <c r="F1" s="1798" t="s">
        <v>795</v>
      </c>
    </row>
    <row r="2" spans="1:7" ht="15.75">
      <c r="A2" s="3250">
        <v>0</v>
      </c>
      <c r="B2" s="3250">
        <v>5</v>
      </c>
      <c r="C2" s="3251">
        <v>0</v>
      </c>
      <c r="D2" s="3251">
        <v>0</v>
      </c>
      <c r="E2" s="3251">
        <v>0</v>
      </c>
      <c r="F2" s="3251">
        <v>0</v>
      </c>
    </row>
    <row r="3" spans="1:7" ht="15.75">
      <c r="A3" s="3250">
        <v>5</v>
      </c>
      <c r="B3" s="3250">
        <v>15</v>
      </c>
      <c r="C3" s="3251">
        <v>1</v>
      </c>
      <c r="D3" s="3251">
        <v>1</v>
      </c>
      <c r="E3" s="3251">
        <v>1</v>
      </c>
      <c r="F3" s="3251">
        <v>1</v>
      </c>
      <c r="G3" s="1698"/>
    </row>
    <row r="4" spans="1:7" ht="15.75">
      <c r="A4" s="3250">
        <v>15</v>
      </c>
      <c r="B4" s="3250">
        <v>25</v>
      </c>
      <c r="C4" s="3251">
        <v>2</v>
      </c>
      <c r="D4" s="3251">
        <v>2</v>
      </c>
      <c r="E4" s="3251">
        <v>2</v>
      </c>
      <c r="F4" s="3251">
        <v>2</v>
      </c>
      <c r="G4" s="1698"/>
    </row>
    <row r="5" spans="1:7" ht="15.75">
      <c r="A5" s="3250">
        <v>25</v>
      </c>
      <c r="B5" s="3250">
        <v>50</v>
      </c>
      <c r="C5" s="3251">
        <v>4</v>
      </c>
      <c r="D5" s="3251">
        <v>4</v>
      </c>
      <c r="E5" s="3251">
        <v>4</v>
      </c>
      <c r="F5" s="3251">
        <v>4</v>
      </c>
      <c r="G5" s="1698"/>
    </row>
    <row r="6" spans="1:7" ht="15.75">
      <c r="A6" s="3250">
        <v>50</v>
      </c>
      <c r="B6" s="3250">
        <v>75</v>
      </c>
      <c r="C6" s="3251">
        <v>6</v>
      </c>
      <c r="D6" s="3251">
        <v>6</v>
      </c>
      <c r="E6" s="3251">
        <v>6</v>
      </c>
      <c r="F6" s="3251">
        <v>6</v>
      </c>
      <c r="G6" s="1698"/>
    </row>
    <row r="7" spans="1:7" ht="15.75">
      <c r="A7" s="3250">
        <v>75</v>
      </c>
      <c r="B7" s="3250">
        <v>100</v>
      </c>
      <c r="C7" s="3251">
        <v>9</v>
      </c>
      <c r="D7" s="3251">
        <v>9</v>
      </c>
      <c r="E7" s="3251">
        <v>9</v>
      </c>
      <c r="F7" s="3251">
        <v>9</v>
      </c>
      <c r="G7" s="1698"/>
    </row>
    <row r="8" spans="1:7" ht="15.75">
      <c r="A8" s="3250">
        <v>100</v>
      </c>
      <c r="B8" s="3250">
        <v>125</v>
      </c>
      <c r="C8" s="3251">
        <v>11</v>
      </c>
      <c r="D8" s="3251">
        <v>11</v>
      </c>
      <c r="E8" s="3251">
        <v>11</v>
      </c>
      <c r="F8" s="3251">
        <v>11</v>
      </c>
      <c r="G8" s="1698"/>
    </row>
    <row r="9" spans="1:7" ht="15.75">
      <c r="A9" s="3250">
        <v>125</v>
      </c>
      <c r="B9" s="3250">
        <v>150</v>
      </c>
      <c r="C9" s="3251">
        <v>14</v>
      </c>
      <c r="D9" s="3251">
        <v>14</v>
      </c>
      <c r="E9" s="3251">
        <v>14</v>
      </c>
      <c r="F9" s="3251">
        <v>14</v>
      </c>
      <c r="G9" s="1698"/>
    </row>
    <row r="10" spans="1:7" ht="15.75">
      <c r="A10" s="3250">
        <v>150</v>
      </c>
      <c r="B10" s="3250">
        <v>175</v>
      </c>
      <c r="C10" s="3251">
        <v>16</v>
      </c>
      <c r="D10" s="3251">
        <v>16</v>
      </c>
      <c r="E10" s="3251">
        <v>16</v>
      </c>
      <c r="F10" s="3251">
        <v>16</v>
      </c>
      <c r="G10" s="1698"/>
    </row>
    <row r="11" spans="1:7" ht="15.75">
      <c r="A11" s="3250">
        <v>175</v>
      </c>
      <c r="B11" s="3250">
        <v>200</v>
      </c>
      <c r="C11" s="3251">
        <v>19</v>
      </c>
      <c r="D11" s="3251">
        <v>19</v>
      </c>
      <c r="E11" s="3251">
        <v>19</v>
      </c>
      <c r="F11" s="3251">
        <v>19</v>
      </c>
      <c r="G11" s="1698"/>
    </row>
    <row r="12" spans="1:7" ht="15.75">
      <c r="A12" s="3250">
        <v>200</v>
      </c>
      <c r="B12" s="3250">
        <v>225</v>
      </c>
      <c r="C12" s="3251">
        <v>21</v>
      </c>
      <c r="D12" s="3251">
        <v>21</v>
      </c>
      <c r="E12" s="3251">
        <v>21</v>
      </c>
      <c r="F12" s="3251">
        <v>21</v>
      </c>
      <c r="G12" s="1698"/>
    </row>
    <row r="13" spans="1:7" ht="15.75">
      <c r="A13" s="3250">
        <v>225</v>
      </c>
      <c r="B13" s="3250">
        <v>250</v>
      </c>
      <c r="C13" s="3251">
        <v>24</v>
      </c>
      <c r="D13" s="3251">
        <v>24</v>
      </c>
      <c r="E13" s="3251">
        <v>24</v>
      </c>
      <c r="F13" s="3251">
        <v>24</v>
      </c>
      <c r="G13" s="1698"/>
    </row>
    <row r="14" spans="1:7" ht="15.75">
      <c r="A14" s="3250">
        <v>250</v>
      </c>
      <c r="B14" s="3250">
        <v>275</v>
      </c>
      <c r="C14" s="3251">
        <v>26</v>
      </c>
      <c r="D14" s="3251">
        <v>26</v>
      </c>
      <c r="E14" s="3251">
        <v>26</v>
      </c>
      <c r="F14" s="3251">
        <v>26</v>
      </c>
      <c r="G14" s="1698"/>
    </row>
    <row r="15" spans="1:7" ht="15.75">
      <c r="A15" s="3250">
        <v>275</v>
      </c>
      <c r="B15" s="3250">
        <v>300</v>
      </c>
      <c r="C15" s="3251">
        <v>29</v>
      </c>
      <c r="D15" s="3251">
        <v>29</v>
      </c>
      <c r="E15" s="3251">
        <v>29</v>
      </c>
      <c r="F15" s="3251">
        <v>29</v>
      </c>
      <c r="G15" s="1698"/>
    </row>
    <row r="16" spans="1:7" ht="15.75">
      <c r="A16" s="3250">
        <v>300</v>
      </c>
      <c r="B16" s="3250">
        <v>325</v>
      </c>
      <c r="C16" s="3251">
        <v>31</v>
      </c>
      <c r="D16" s="3251">
        <v>31</v>
      </c>
      <c r="E16" s="3251">
        <v>31</v>
      </c>
      <c r="F16" s="3251">
        <v>31</v>
      </c>
      <c r="G16" s="1698"/>
    </row>
    <row r="17" spans="1:7" ht="15.75">
      <c r="A17" s="3250">
        <v>325</v>
      </c>
      <c r="B17" s="3250">
        <v>350</v>
      </c>
      <c r="C17" s="3251">
        <v>34</v>
      </c>
      <c r="D17" s="3251">
        <v>34</v>
      </c>
      <c r="E17" s="3251">
        <v>34</v>
      </c>
      <c r="F17" s="3251">
        <v>34</v>
      </c>
      <c r="G17" s="1698"/>
    </row>
    <row r="18" spans="1:7" ht="15.75">
      <c r="A18" s="3250">
        <v>350</v>
      </c>
      <c r="B18" s="3250">
        <v>375</v>
      </c>
      <c r="C18" s="3251">
        <v>36</v>
      </c>
      <c r="D18" s="3251">
        <v>36</v>
      </c>
      <c r="E18" s="3251">
        <v>36</v>
      </c>
      <c r="F18" s="3251">
        <v>36</v>
      </c>
      <c r="G18" s="1698"/>
    </row>
    <row r="19" spans="1:7" ht="15.75">
      <c r="A19" s="3250">
        <v>375</v>
      </c>
      <c r="B19" s="3250">
        <v>400</v>
      </c>
      <c r="C19" s="3251">
        <v>39</v>
      </c>
      <c r="D19" s="3251">
        <v>39</v>
      </c>
      <c r="E19" s="3251">
        <v>39</v>
      </c>
      <c r="F19" s="3251">
        <v>39</v>
      </c>
      <c r="G19" s="1698"/>
    </row>
    <row r="20" spans="1:7" ht="15.75">
      <c r="A20" s="3250">
        <v>400</v>
      </c>
      <c r="B20" s="3250">
        <v>425</v>
      </c>
      <c r="C20" s="3251">
        <v>41</v>
      </c>
      <c r="D20" s="3251">
        <v>41</v>
      </c>
      <c r="E20" s="3251">
        <v>41</v>
      </c>
      <c r="F20" s="3251">
        <v>41</v>
      </c>
      <c r="G20" s="1698"/>
    </row>
    <row r="21" spans="1:7" ht="15.75">
      <c r="A21" s="3250">
        <v>425</v>
      </c>
      <c r="B21" s="3250">
        <v>450</v>
      </c>
      <c r="C21" s="3251">
        <v>44</v>
      </c>
      <c r="D21" s="3251">
        <v>44</v>
      </c>
      <c r="E21" s="3251">
        <v>44</v>
      </c>
      <c r="F21" s="3251">
        <v>44</v>
      </c>
      <c r="G21" s="1698"/>
    </row>
    <row r="22" spans="1:7" ht="15.75">
      <c r="A22" s="3250">
        <v>450</v>
      </c>
      <c r="B22" s="3250">
        <v>475</v>
      </c>
      <c r="C22" s="3251">
        <v>46</v>
      </c>
      <c r="D22" s="3251">
        <v>46</v>
      </c>
      <c r="E22" s="3251">
        <v>46</v>
      </c>
      <c r="F22" s="3251">
        <v>46</v>
      </c>
      <c r="G22" s="1698"/>
    </row>
    <row r="23" spans="1:7" ht="15.75">
      <c r="A23" s="3250">
        <v>475</v>
      </c>
      <c r="B23" s="3250">
        <v>500</v>
      </c>
      <c r="C23" s="3251">
        <v>49</v>
      </c>
      <c r="D23" s="3251">
        <v>49</v>
      </c>
      <c r="E23" s="3251">
        <v>49</v>
      </c>
      <c r="F23" s="3251">
        <v>49</v>
      </c>
      <c r="G23" s="1698"/>
    </row>
    <row r="24" spans="1:7" ht="15.75">
      <c r="A24" s="3250">
        <v>500</v>
      </c>
      <c r="B24" s="3250">
        <v>525</v>
      </c>
      <c r="C24" s="3251">
        <v>51</v>
      </c>
      <c r="D24" s="3251">
        <v>51</v>
      </c>
      <c r="E24" s="3251">
        <v>51</v>
      </c>
      <c r="F24" s="3251">
        <v>51</v>
      </c>
      <c r="G24" s="1698"/>
    </row>
    <row r="25" spans="1:7" ht="15.75">
      <c r="A25" s="3250">
        <v>525</v>
      </c>
      <c r="B25" s="3250">
        <v>550</v>
      </c>
      <c r="C25" s="3251">
        <v>54</v>
      </c>
      <c r="D25" s="3251">
        <v>54</v>
      </c>
      <c r="E25" s="3251">
        <v>54</v>
      </c>
      <c r="F25" s="3251">
        <v>54</v>
      </c>
      <c r="G25" s="1698"/>
    </row>
    <row r="26" spans="1:7" ht="15.75">
      <c r="A26" s="3250">
        <v>550</v>
      </c>
      <c r="B26" s="3250">
        <v>575</v>
      </c>
      <c r="C26" s="3251">
        <v>56</v>
      </c>
      <c r="D26" s="3251">
        <v>56</v>
      </c>
      <c r="E26" s="3251">
        <v>56</v>
      </c>
      <c r="F26" s="3251">
        <v>56</v>
      </c>
      <c r="G26" s="1698"/>
    </row>
    <row r="27" spans="1:7" ht="15.75">
      <c r="A27" s="3250">
        <v>575</v>
      </c>
      <c r="B27" s="3250">
        <v>600</v>
      </c>
      <c r="C27" s="3251">
        <v>59</v>
      </c>
      <c r="D27" s="3251">
        <v>59</v>
      </c>
      <c r="E27" s="3251">
        <v>59</v>
      </c>
      <c r="F27" s="3251">
        <v>59</v>
      </c>
      <c r="G27" s="1698"/>
    </row>
    <row r="28" spans="1:7" ht="15.75">
      <c r="A28" s="3250">
        <v>600</v>
      </c>
      <c r="B28" s="3250">
        <v>625</v>
      </c>
      <c r="C28" s="3251">
        <v>61</v>
      </c>
      <c r="D28" s="3251">
        <v>61</v>
      </c>
      <c r="E28" s="3251">
        <v>61</v>
      </c>
      <c r="F28" s="3251">
        <v>61</v>
      </c>
      <c r="G28" s="1698"/>
    </row>
    <row r="29" spans="1:7" ht="15.75">
      <c r="A29" s="3250">
        <v>625</v>
      </c>
      <c r="B29" s="3250">
        <v>650</v>
      </c>
      <c r="C29" s="3251">
        <v>64</v>
      </c>
      <c r="D29" s="3251">
        <v>64</v>
      </c>
      <c r="E29" s="3251">
        <v>64</v>
      </c>
      <c r="F29" s="3251">
        <v>64</v>
      </c>
      <c r="G29" s="1698"/>
    </row>
    <row r="30" spans="1:7" ht="15.75">
      <c r="A30" s="3250">
        <v>650</v>
      </c>
      <c r="B30" s="3250">
        <v>675</v>
      </c>
      <c r="C30" s="3251">
        <v>66</v>
      </c>
      <c r="D30" s="3251">
        <v>66</v>
      </c>
      <c r="E30" s="3251">
        <v>66</v>
      </c>
      <c r="F30" s="3251">
        <v>66</v>
      </c>
      <c r="G30" s="1698"/>
    </row>
    <row r="31" spans="1:7" ht="15.75">
      <c r="A31" s="3250">
        <v>675</v>
      </c>
      <c r="B31" s="3250">
        <v>700</v>
      </c>
      <c r="C31" s="3251">
        <v>69</v>
      </c>
      <c r="D31" s="3251">
        <v>69</v>
      </c>
      <c r="E31" s="3251">
        <v>69</v>
      </c>
      <c r="F31" s="3251">
        <v>69</v>
      </c>
      <c r="G31" s="1698"/>
    </row>
    <row r="32" spans="1:7" ht="15.75">
      <c r="A32" s="3250">
        <v>700</v>
      </c>
      <c r="B32" s="3250">
        <v>725</v>
      </c>
      <c r="C32" s="3251">
        <v>71</v>
      </c>
      <c r="D32" s="3251">
        <v>71</v>
      </c>
      <c r="E32" s="3251">
        <v>71</v>
      </c>
      <c r="F32" s="3251">
        <v>71</v>
      </c>
      <c r="G32" s="1698"/>
    </row>
    <row r="33" spans="1:7" ht="15.75">
      <c r="A33" s="3250">
        <v>725</v>
      </c>
      <c r="B33" s="3250">
        <v>750</v>
      </c>
      <c r="C33" s="3251">
        <v>74</v>
      </c>
      <c r="D33" s="3251">
        <v>74</v>
      </c>
      <c r="E33" s="3251">
        <v>74</v>
      </c>
      <c r="F33" s="3251">
        <v>74</v>
      </c>
      <c r="G33" s="1698"/>
    </row>
    <row r="34" spans="1:7" ht="15.75">
      <c r="A34" s="3250">
        <v>750</v>
      </c>
      <c r="B34" s="3250">
        <v>775</v>
      </c>
      <c r="C34" s="3251">
        <v>76</v>
      </c>
      <c r="D34" s="3251">
        <v>76</v>
      </c>
      <c r="E34" s="3251">
        <v>76</v>
      </c>
      <c r="F34" s="3251">
        <v>76</v>
      </c>
      <c r="G34" s="1698"/>
    </row>
    <row r="35" spans="1:7" ht="15.75">
      <c r="A35" s="3250">
        <v>775</v>
      </c>
      <c r="B35" s="3250">
        <v>800</v>
      </c>
      <c r="C35" s="3251">
        <v>79</v>
      </c>
      <c r="D35" s="3251">
        <v>79</v>
      </c>
      <c r="E35" s="3251">
        <v>79</v>
      </c>
      <c r="F35" s="3251">
        <v>79</v>
      </c>
      <c r="G35" s="1698"/>
    </row>
    <row r="36" spans="1:7" ht="15.75">
      <c r="A36" s="3250">
        <v>800</v>
      </c>
      <c r="B36" s="3250">
        <v>825</v>
      </c>
      <c r="C36" s="3251">
        <v>81</v>
      </c>
      <c r="D36" s="3251">
        <v>81</v>
      </c>
      <c r="E36" s="3251">
        <v>81</v>
      </c>
      <c r="F36" s="3251">
        <v>81</v>
      </c>
      <c r="G36" s="1698"/>
    </row>
    <row r="37" spans="1:7" ht="15.75">
      <c r="A37" s="3250">
        <v>825</v>
      </c>
      <c r="B37" s="3250">
        <v>850</v>
      </c>
      <c r="C37" s="3251">
        <v>84</v>
      </c>
      <c r="D37" s="3251">
        <v>84</v>
      </c>
      <c r="E37" s="3251">
        <v>84</v>
      </c>
      <c r="F37" s="3251">
        <v>84</v>
      </c>
      <c r="G37" s="1698"/>
    </row>
    <row r="38" spans="1:7" ht="15.75">
      <c r="A38" s="3250">
        <v>850</v>
      </c>
      <c r="B38" s="3250">
        <v>875</v>
      </c>
      <c r="C38" s="3251">
        <v>86</v>
      </c>
      <c r="D38" s="3251">
        <v>86</v>
      </c>
      <c r="E38" s="3251">
        <v>86</v>
      </c>
      <c r="F38" s="3251">
        <v>86</v>
      </c>
      <c r="G38" s="1698"/>
    </row>
    <row r="39" spans="1:7" ht="15.75">
      <c r="A39" s="3250">
        <v>875</v>
      </c>
      <c r="B39" s="3250">
        <v>900</v>
      </c>
      <c r="C39" s="3251">
        <v>89</v>
      </c>
      <c r="D39" s="3251">
        <v>89</v>
      </c>
      <c r="E39" s="3251">
        <v>89</v>
      </c>
      <c r="F39" s="3251">
        <v>89</v>
      </c>
      <c r="G39" s="1698"/>
    </row>
    <row r="40" spans="1:7" ht="15.75">
      <c r="A40" s="3250">
        <v>900</v>
      </c>
      <c r="B40" s="3250">
        <v>925</v>
      </c>
      <c r="C40" s="3251">
        <v>91</v>
      </c>
      <c r="D40" s="3251">
        <v>91</v>
      </c>
      <c r="E40" s="3251">
        <v>91</v>
      </c>
      <c r="F40" s="3251">
        <v>91</v>
      </c>
      <c r="G40" s="1698"/>
    </row>
    <row r="41" spans="1:7" ht="15.75">
      <c r="A41" s="3250">
        <v>925</v>
      </c>
      <c r="B41" s="3250">
        <v>950</v>
      </c>
      <c r="C41" s="3251">
        <v>94</v>
      </c>
      <c r="D41" s="3251">
        <v>94</v>
      </c>
      <c r="E41" s="3251">
        <v>94</v>
      </c>
      <c r="F41" s="3251">
        <v>94</v>
      </c>
      <c r="G41" s="1698"/>
    </row>
    <row r="42" spans="1:7" ht="15.75">
      <c r="A42" s="3250">
        <v>950</v>
      </c>
      <c r="B42" s="3250">
        <v>975</v>
      </c>
      <c r="C42" s="3251">
        <v>96</v>
      </c>
      <c r="D42" s="3251">
        <v>96</v>
      </c>
      <c r="E42" s="3251">
        <v>96</v>
      </c>
      <c r="F42" s="3251">
        <v>96</v>
      </c>
      <c r="G42" s="1698"/>
    </row>
    <row r="43" spans="1:7" ht="15.75">
      <c r="A43" s="3250">
        <v>975</v>
      </c>
      <c r="B43" s="3252">
        <v>1000</v>
      </c>
      <c r="C43" s="3250">
        <v>99</v>
      </c>
      <c r="D43" s="3250">
        <v>99</v>
      </c>
      <c r="E43" s="3250">
        <v>99</v>
      </c>
      <c r="F43" s="3250">
        <v>99</v>
      </c>
      <c r="G43" s="1698"/>
    </row>
    <row r="44" spans="1:7" ht="15.75">
      <c r="A44" s="3252">
        <v>1000</v>
      </c>
      <c r="B44" s="3252">
        <v>1025</v>
      </c>
      <c r="C44" s="3250">
        <v>101</v>
      </c>
      <c r="D44" s="3250">
        <v>101</v>
      </c>
      <c r="E44" s="3250">
        <v>101</v>
      </c>
      <c r="F44" s="3250">
        <v>101</v>
      </c>
      <c r="G44" s="1698"/>
    </row>
    <row r="45" spans="1:7" ht="15.75">
      <c r="A45" s="3252">
        <v>1025</v>
      </c>
      <c r="B45" s="3252">
        <v>1050</v>
      </c>
      <c r="C45" s="3250">
        <v>104</v>
      </c>
      <c r="D45" s="3250">
        <v>104</v>
      </c>
      <c r="E45" s="3250">
        <v>104</v>
      </c>
      <c r="F45" s="3250">
        <v>104</v>
      </c>
      <c r="G45" s="1698"/>
    </row>
    <row r="46" spans="1:7" ht="15.75">
      <c r="A46" s="3252">
        <v>1050</v>
      </c>
      <c r="B46" s="3252">
        <v>1075</v>
      </c>
      <c r="C46" s="3250">
        <v>106</v>
      </c>
      <c r="D46" s="3250">
        <v>106</v>
      </c>
      <c r="E46" s="3250">
        <v>106</v>
      </c>
      <c r="F46" s="3250">
        <v>106</v>
      </c>
      <c r="G46" s="1698"/>
    </row>
    <row r="47" spans="1:7" ht="15.75">
      <c r="A47" s="3252">
        <v>1075</v>
      </c>
      <c r="B47" s="3252">
        <v>1100</v>
      </c>
      <c r="C47" s="3250">
        <v>109</v>
      </c>
      <c r="D47" s="3250">
        <v>109</v>
      </c>
      <c r="E47" s="3250">
        <v>109</v>
      </c>
      <c r="F47" s="3250">
        <v>109</v>
      </c>
      <c r="G47" s="1698"/>
    </row>
    <row r="48" spans="1:7" ht="15.75">
      <c r="A48" s="3252">
        <v>1100</v>
      </c>
      <c r="B48" s="3252">
        <v>1125</v>
      </c>
      <c r="C48" s="3250">
        <v>111</v>
      </c>
      <c r="D48" s="3250">
        <v>111</v>
      </c>
      <c r="E48" s="3250">
        <v>111</v>
      </c>
      <c r="F48" s="3250">
        <v>111</v>
      </c>
      <c r="G48" s="1698"/>
    </row>
    <row r="49" spans="1:7" ht="15.75">
      <c r="A49" s="3252">
        <v>1125</v>
      </c>
      <c r="B49" s="3252">
        <v>1150</v>
      </c>
      <c r="C49" s="3250">
        <v>114</v>
      </c>
      <c r="D49" s="3250">
        <v>114</v>
      </c>
      <c r="E49" s="3250">
        <v>114</v>
      </c>
      <c r="F49" s="3250">
        <v>114</v>
      </c>
      <c r="G49" s="1698"/>
    </row>
    <row r="50" spans="1:7" ht="15.75">
      <c r="A50" s="3252">
        <v>1150</v>
      </c>
      <c r="B50" s="3252">
        <v>1175</v>
      </c>
      <c r="C50" s="3250">
        <v>116</v>
      </c>
      <c r="D50" s="3250">
        <v>116</v>
      </c>
      <c r="E50" s="3250">
        <v>116</v>
      </c>
      <c r="F50" s="3250">
        <v>116</v>
      </c>
      <c r="G50" s="1698"/>
    </row>
    <row r="51" spans="1:7" ht="15.75">
      <c r="A51" s="3252">
        <v>1175</v>
      </c>
      <c r="B51" s="3252">
        <v>1200</v>
      </c>
      <c r="C51" s="3250">
        <v>119</v>
      </c>
      <c r="D51" s="3250">
        <v>119</v>
      </c>
      <c r="E51" s="3250">
        <v>119</v>
      </c>
      <c r="F51" s="3250">
        <v>119</v>
      </c>
      <c r="G51" s="1698"/>
    </row>
    <row r="52" spans="1:7" ht="15.75">
      <c r="A52" s="3252">
        <v>1200</v>
      </c>
      <c r="B52" s="3252">
        <v>1225</v>
      </c>
      <c r="C52" s="3250">
        <v>121</v>
      </c>
      <c r="D52" s="3250">
        <v>121</v>
      </c>
      <c r="E52" s="3250">
        <v>121</v>
      </c>
      <c r="F52" s="3250">
        <v>121</v>
      </c>
      <c r="G52" s="1698"/>
    </row>
    <row r="53" spans="1:7" ht="15.75">
      <c r="A53" s="3252">
        <v>1225</v>
      </c>
      <c r="B53" s="3252">
        <v>1250</v>
      </c>
      <c r="C53" s="3250">
        <v>124</v>
      </c>
      <c r="D53" s="3250">
        <v>124</v>
      </c>
      <c r="E53" s="3250">
        <v>124</v>
      </c>
      <c r="F53" s="3250">
        <v>124</v>
      </c>
      <c r="G53" s="1698"/>
    </row>
    <row r="54" spans="1:7" ht="15.75">
      <c r="A54" s="3252">
        <v>1250</v>
      </c>
      <c r="B54" s="3252">
        <v>1275</v>
      </c>
      <c r="C54" s="3250">
        <v>126</v>
      </c>
      <c r="D54" s="3250">
        <v>126</v>
      </c>
      <c r="E54" s="3250">
        <v>126</v>
      </c>
      <c r="F54" s="3250">
        <v>126</v>
      </c>
      <c r="G54" s="1698"/>
    </row>
    <row r="55" spans="1:7" ht="15.75">
      <c r="A55" s="3252">
        <v>1275</v>
      </c>
      <c r="B55" s="3252">
        <v>1300</v>
      </c>
      <c r="C55" s="3250">
        <v>129</v>
      </c>
      <c r="D55" s="3250">
        <v>129</v>
      </c>
      <c r="E55" s="3250">
        <v>129</v>
      </c>
      <c r="F55" s="3250">
        <v>129</v>
      </c>
      <c r="G55" s="1698"/>
    </row>
    <row r="56" spans="1:7" ht="15.75">
      <c r="A56" s="3252">
        <v>1300</v>
      </c>
      <c r="B56" s="3252">
        <v>1325</v>
      </c>
      <c r="C56" s="3250">
        <v>131</v>
      </c>
      <c r="D56" s="3250">
        <v>131</v>
      </c>
      <c r="E56" s="3250">
        <v>131</v>
      </c>
      <c r="F56" s="3250">
        <v>131</v>
      </c>
      <c r="G56" s="1698"/>
    </row>
    <row r="57" spans="1:7" ht="15.75">
      <c r="A57" s="3252">
        <v>1325</v>
      </c>
      <c r="B57" s="3252">
        <v>1350</v>
      </c>
      <c r="C57" s="3250">
        <v>134</v>
      </c>
      <c r="D57" s="3250">
        <v>134</v>
      </c>
      <c r="E57" s="3250">
        <v>134</v>
      </c>
      <c r="F57" s="3250">
        <v>134</v>
      </c>
      <c r="G57" s="1698"/>
    </row>
    <row r="58" spans="1:7" ht="15.75">
      <c r="A58" s="3252">
        <v>1350</v>
      </c>
      <c r="B58" s="3252">
        <v>1375</v>
      </c>
      <c r="C58" s="3250">
        <v>136</v>
      </c>
      <c r="D58" s="3250">
        <v>136</v>
      </c>
      <c r="E58" s="3250">
        <v>136</v>
      </c>
      <c r="F58" s="3250">
        <v>136</v>
      </c>
      <c r="G58" s="1698"/>
    </row>
    <row r="59" spans="1:7" ht="15.75">
      <c r="A59" s="3252">
        <v>1375</v>
      </c>
      <c r="B59" s="3252">
        <v>1400</v>
      </c>
      <c r="C59" s="3250">
        <v>139</v>
      </c>
      <c r="D59" s="3250">
        <v>139</v>
      </c>
      <c r="E59" s="3250">
        <v>139</v>
      </c>
      <c r="F59" s="3250">
        <v>139</v>
      </c>
      <c r="G59" s="1698"/>
    </row>
    <row r="60" spans="1:7" ht="15.75">
      <c r="A60" s="3252">
        <v>1400</v>
      </c>
      <c r="B60" s="3252">
        <v>1425</v>
      </c>
      <c r="C60" s="3250">
        <v>141</v>
      </c>
      <c r="D60" s="3250">
        <v>141</v>
      </c>
      <c r="E60" s="3250">
        <v>141</v>
      </c>
      <c r="F60" s="3250">
        <v>141</v>
      </c>
      <c r="G60" s="1698"/>
    </row>
    <row r="61" spans="1:7" ht="15.75">
      <c r="A61" s="3252">
        <v>1425</v>
      </c>
      <c r="B61" s="3252">
        <v>1450</v>
      </c>
      <c r="C61" s="3250">
        <v>144</v>
      </c>
      <c r="D61" s="3250">
        <v>144</v>
      </c>
      <c r="E61" s="3250">
        <v>144</v>
      </c>
      <c r="F61" s="3250">
        <v>144</v>
      </c>
      <c r="G61" s="1698"/>
    </row>
    <row r="62" spans="1:7" ht="15.75">
      <c r="A62" s="3252">
        <v>1450</v>
      </c>
      <c r="B62" s="3252">
        <v>1475</v>
      </c>
      <c r="C62" s="3250">
        <v>146</v>
      </c>
      <c r="D62" s="3250">
        <v>146</v>
      </c>
      <c r="E62" s="3250">
        <v>146</v>
      </c>
      <c r="F62" s="3250">
        <v>146</v>
      </c>
      <c r="G62" s="1698"/>
    </row>
    <row r="63" spans="1:7" ht="15.75">
      <c r="A63" s="3252">
        <v>1475</v>
      </c>
      <c r="B63" s="3252">
        <v>1500</v>
      </c>
      <c r="C63" s="3250">
        <v>149</v>
      </c>
      <c r="D63" s="3250">
        <v>149</v>
      </c>
      <c r="E63" s="3250">
        <v>149</v>
      </c>
      <c r="F63" s="3250">
        <v>149</v>
      </c>
      <c r="G63" s="1698"/>
    </row>
    <row r="64" spans="1:7" ht="15.75">
      <c r="A64" s="3252">
        <v>1500</v>
      </c>
      <c r="B64" s="3252">
        <v>1525</v>
      </c>
      <c r="C64" s="3250">
        <v>151</v>
      </c>
      <c r="D64" s="3250">
        <v>151</v>
      </c>
      <c r="E64" s="3250">
        <v>151</v>
      </c>
      <c r="F64" s="3250">
        <v>151</v>
      </c>
      <c r="G64" s="1698"/>
    </row>
    <row r="65" spans="1:7" ht="15.75">
      <c r="A65" s="3252">
        <v>1525</v>
      </c>
      <c r="B65" s="3252">
        <v>1550</v>
      </c>
      <c r="C65" s="3250">
        <v>154</v>
      </c>
      <c r="D65" s="3250">
        <v>154</v>
      </c>
      <c r="E65" s="3250">
        <v>154</v>
      </c>
      <c r="F65" s="3250">
        <v>154</v>
      </c>
      <c r="G65" s="1698"/>
    </row>
    <row r="66" spans="1:7" ht="15.75">
      <c r="A66" s="3252">
        <v>1550</v>
      </c>
      <c r="B66" s="3252">
        <v>1575</v>
      </c>
      <c r="C66" s="3250">
        <v>156</v>
      </c>
      <c r="D66" s="3250">
        <v>156</v>
      </c>
      <c r="E66" s="3250">
        <v>156</v>
      </c>
      <c r="F66" s="3250">
        <v>156</v>
      </c>
      <c r="G66" s="1698"/>
    </row>
    <row r="67" spans="1:7" ht="15.75">
      <c r="A67" s="3252">
        <v>1575</v>
      </c>
      <c r="B67" s="3252">
        <v>1600</v>
      </c>
      <c r="C67" s="3250">
        <v>159</v>
      </c>
      <c r="D67" s="3250">
        <v>159</v>
      </c>
      <c r="E67" s="3250">
        <v>159</v>
      </c>
      <c r="F67" s="3250">
        <v>159</v>
      </c>
      <c r="G67" s="1698"/>
    </row>
    <row r="68" spans="1:7" ht="15.75">
      <c r="A68" s="3252">
        <v>1600</v>
      </c>
      <c r="B68" s="3252">
        <v>1625</v>
      </c>
      <c r="C68" s="3250">
        <v>161</v>
      </c>
      <c r="D68" s="3250">
        <v>161</v>
      </c>
      <c r="E68" s="3250">
        <v>161</v>
      </c>
      <c r="F68" s="3250">
        <v>161</v>
      </c>
      <c r="G68" s="1698"/>
    </row>
    <row r="69" spans="1:7" ht="15.75">
      <c r="A69" s="3252">
        <v>1625</v>
      </c>
      <c r="B69" s="3252">
        <v>1650</v>
      </c>
      <c r="C69" s="3250">
        <v>164</v>
      </c>
      <c r="D69" s="3250">
        <v>164</v>
      </c>
      <c r="E69" s="3250">
        <v>164</v>
      </c>
      <c r="F69" s="3250">
        <v>164</v>
      </c>
      <c r="G69" s="1698"/>
    </row>
    <row r="70" spans="1:7" ht="15.75">
      <c r="A70" s="3252">
        <v>1650</v>
      </c>
      <c r="B70" s="3252">
        <v>1675</v>
      </c>
      <c r="C70" s="3250">
        <v>166</v>
      </c>
      <c r="D70" s="3250">
        <v>166</v>
      </c>
      <c r="E70" s="3250">
        <v>166</v>
      </c>
      <c r="F70" s="3250">
        <v>166</v>
      </c>
      <c r="G70" s="1698"/>
    </row>
    <row r="71" spans="1:7" ht="15.75">
      <c r="A71" s="3252">
        <v>1675</v>
      </c>
      <c r="B71" s="3252">
        <v>1700</v>
      </c>
      <c r="C71" s="3250">
        <v>169</v>
      </c>
      <c r="D71" s="3250">
        <v>169</v>
      </c>
      <c r="E71" s="3250">
        <v>169</v>
      </c>
      <c r="F71" s="3250">
        <v>169</v>
      </c>
      <c r="G71" s="1698"/>
    </row>
    <row r="72" spans="1:7" ht="15.75">
      <c r="A72" s="3252">
        <v>1700</v>
      </c>
      <c r="B72" s="3252">
        <v>1725</v>
      </c>
      <c r="C72" s="3250">
        <v>171</v>
      </c>
      <c r="D72" s="3250">
        <v>171</v>
      </c>
      <c r="E72" s="3250">
        <v>171</v>
      </c>
      <c r="F72" s="3250">
        <v>171</v>
      </c>
      <c r="G72" s="1698"/>
    </row>
    <row r="73" spans="1:7" ht="15.75">
      <c r="A73" s="3252">
        <v>1725</v>
      </c>
      <c r="B73" s="3252">
        <v>1750</v>
      </c>
      <c r="C73" s="3250">
        <v>174</v>
      </c>
      <c r="D73" s="3250">
        <v>174</v>
      </c>
      <c r="E73" s="3250">
        <v>174</v>
      </c>
      <c r="F73" s="3250">
        <v>174</v>
      </c>
      <c r="G73" s="1698"/>
    </row>
    <row r="74" spans="1:7" ht="15.75">
      <c r="A74" s="3252">
        <v>1750</v>
      </c>
      <c r="B74" s="3252">
        <v>1775</v>
      </c>
      <c r="C74" s="3250">
        <v>176</v>
      </c>
      <c r="D74" s="3250">
        <v>176</v>
      </c>
      <c r="E74" s="3250">
        <v>176</v>
      </c>
      <c r="F74" s="3250">
        <v>176</v>
      </c>
      <c r="G74" s="1698"/>
    </row>
    <row r="75" spans="1:7" ht="15.75">
      <c r="A75" s="3252">
        <v>1775</v>
      </c>
      <c r="B75" s="3252">
        <v>1800</v>
      </c>
      <c r="C75" s="3250">
        <v>179</v>
      </c>
      <c r="D75" s="3250">
        <v>179</v>
      </c>
      <c r="E75" s="3250">
        <v>179</v>
      </c>
      <c r="F75" s="3250">
        <v>179</v>
      </c>
      <c r="G75" s="1698"/>
    </row>
    <row r="76" spans="1:7" ht="15.75">
      <c r="A76" s="3252">
        <v>1800</v>
      </c>
      <c r="B76" s="3252">
        <v>1825</v>
      </c>
      <c r="C76" s="3250">
        <v>181</v>
      </c>
      <c r="D76" s="3250">
        <v>181</v>
      </c>
      <c r="E76" s="3250">
        <v>181</v>
      </c>
      <c r="F76" s="3250">
        <v>181</v>
      </c>
      <c r="G76" s="1698"/>
    </row>
    <row r="77" spans="1:7" ht="15.75">
      <c r="A77" s="3252">
        <v>1825</v>
      </c>
      <c r="B77" s="3252">
        <v>1850</v>
      </c>
      <c r="C77" s="3250">
        <v>184</v>
      </c>
      <c r="D77" s="3250">
        <v>184</v>
      </c>
      <c r="E77" s="3250">
        <v>184</v>
      </c>
      <c r="F77" s="3250">
        <v>184</v>
      </c>
      <c r="G77" s="1698"/>
    </row>
    <row r="78" spans="1:7" ht="15.75">
      <c r="A78" s="3252">
        <v>1850</v>
      </c>
      <c r="B78" s="3252">
        <v>1875</v>
      </c>
      <c r="C78" s="3250">
        <v>186</v>
      </c>
      <c r="D78" s="3250">
        <v>186</v>
      </c>
      <c r="E78" s="3250">
        <v>186</v>
      </c>
      <c r="F78" s="3250">
        <v>186</v>
      </c>
      <c r="G78" s="1698"/>
    </row>
    <row r="79" spans="1:7" ht="15.75">
      <c r="A79" s="3252">
        <v>1875</v>
      </c>
      <c r="B79" s="3252">
        <v>1900</v>
      </c>
      <c r="C79" s="3250">
        <v>189</v>
      </c>
      <c r="D79" s="3250">
        <v>189</v>
      </c>
      <c r="E79" s="3250">
        <v>189</v>
      </c>
      <c r="F79" s="3250">
        <v>189</v>
      </c>
      <c r="G79" s="1698"/>
    </row>
    <row r="80" spans="1:7" ht="15.75">
      <c r="A80" s="3252">
        <v>1900</v>
      </c>
      <c r="B80" s="3252">
        <v>1925</v>
      </c>
      <c r="C80" s="3250">
        <v>191</v>
      </c>
      <c r="D80" s="3250">
        <v>191</v>
      </c>
      <c r="E80" s="3250">
        <v>191</v>
      </c>
      <c r="F80" s="3250">
        <v>191</v>
      </c>
      <c r="G80" s="1698"/>
    </row>
    <row r="81" spans="1:7" ht="15.75">
      <c r="A81" s="3252">
        <v>1925</v>
      </c>
      <c r="B81" s="3252">
        <v>1950</v>
      </c>
      <c r="C81" s="3250">
        <v>194</v>
      </c>
      <c r="D81" s="3250">
        <v>194</v>
      </c>
      <c r="E81" s="3250">
        <v>194</v>
      </c>
      <c r="F81" s="3250">
        <v>194</v>
      </c>
      <c r="G81" s="1698"/>
    </row>
    <row r="82" spans="1:7" ht="15.75">
      <c r="A82" s="3252">
        <v>1950</v>
      </c>
      <c r="B82" s="3252">
        <v>1975</v>
      </c>
      <c r="C82" s="3250">
        <v>196</v>
      </c>
      <c r="D82" s="3250">
        <v>196</v>
      </c>
      <c r="E82" s="3250">
        <v>196</v>
      </c>
      <c r="F82" s="3250">
        <v>196</v>
      </c>
      <c r="G82" s="1698"/>
    </row>
    <row r="83" spans="1:7" ht="15.75">
      <c r="A83" s="3252">
        <v>1975</v>
      </c>
      <c r="B83" s="3252">
        <v>2000</v>
      </c>
      <c r="C83" s="3250">
        <v>199</v>
      </c>
      <c r="D83" s="3250">
        <v>199</v>
      </c>
      <c r="E83" s="3250">
        <v>199</v>
      </c>
      <c r="F83" s="3250">
        <v>199</v>
      </c>
      <c r="G83" s="1698"/>
    </row>
    <row r="84" spans="1:7" ht="15.75">
      <c r="A84" s="3252">
        <v>2000</v>
      </c>
      <c r="B84" s="3252">
        <v>2025</v>
      </c>
      <c r="C84" s="3250">
        <v>201</v>
      </c>
      <c r="D84" s="3250">
        <v>201</v>
      </c>
      <c r="E84" s="3250">
        <v>201</v>
      </c>
      <c r="F84" s="3250">
        <v>201</v>
      </c>
      <c r="G84" s="1698"/>
    </row>
    <row r="85" spans="1:7" ht="15.75">
      <c r="A85" s="3252">
        <v>2025</v>
      </c>
      <c r="B85" s="3252">
        <v>2050</v>
      </c>
      <c r="C85" s="3250">
        <v>204</v>
      </c>
      <c r="D85" s="3250">
        <v>204</v>
      </c>
      <c r="E85" s="3250">
        <v>204</v>
      </c>
      <c r="F85" s="3250">
        <v>204</v>
      </c>
      <c r="G85" s="1698"/>
    </row>
    <row r="86" spans="1:7" ht="15.75">
      <c r="A86" s="3252">
        <v>2050</v>
      </c>
      <c r="B86" s="3252">
        <v>2075</v>
      </c>
      <c r="C86" s="3250">
        <v>206</v>
      </c>
      <c r="D86" s="3250">
        <v>206</v>
      </c>
      <c r="E86" s="3250">
        <v>206</v>
      </c>
      <c r="F86" s="3250">
        <v>206</v>
      </c>
      <c r="G86" s="1698"/>
    </row>
    <row r="87" spans="1:7" ht="15.75">
      <c r="A87" s="3252">
        <v>2075</v>
      </c>
      <c r="B87" s="3252">
        <v>2100</v>
      </c>
      <c r="C87" s="3250">
        <v>209</v>
      </c>
      <c r="D87" s="3250">
        <v>209</v>
      </c>
      <c r="E87" s="3250">
        <v>209</v>
      </c>
      <c r="F87" s="3250">
        <v>209</v>
      </c>
      <c r="G87" s="1698"/>
    </row>
    <row r="88" spans="1:7" ht="15.75">
      <c r="A88" s="3252">
        <v>2100</v>
      </c>
      <c r="B88" s="3252">
        <v>2125</v>
      </c>
      <c r="C88" s="3250">
        <v>211</v>
      </c>
      <c r="D88" s="3250">
        <v>211</v>
      </c>
      <c r="E88" s="3250">
        <v>211</v>
      </c>
      <c r="F88" s="3250">
        <v>211</v>
      </c>
      <c r="G88" s="1698"/>
    </row>
    <row r="89" spans="1:7" ht="15.75">
      <c r="A89" s="3252">
        <v>2125</v>
      </c>
      <c r="B89" s="3252">
        <v>2150</v>
      </c>
      <c r="C89" s="3250">
        <v>214</v>
      </c>
      <c r="D89" s="3250">
        <v>214</v>
      </c>
      <c r="E89" s="3250">
        <v>214</v>
      </c>
      <c r="F89" s="3250">
        <v>214</v>
      </c>
      <c r="G89" s="1698"/>
    </row>
    <row r="90" spans="1:7" ht="15.75">
      <c r="A90" s="3252">
        <v>2150</v>
      </c>
      <c r="B90" s="3252">
        <v>2175</v>
      </c>
      <c r="C90" s="3250">
        <v>216</v>
      </c>
      <c r="D90" s="3250">
        <v>216</v>
      </c>
      <c r="E90" s="3250">
        <v>216</v>
      </c>
      <c r="F90" s="3250">
        <v>216</v>
      </c>
      <c r="G90" s="1698"/>
    </row>
    <row r="91" spans="1:7" ht="15.75">
      <c r="A91" s="3252">
        <v>2175</v>
      </c>
      <c r="B91" s="3252">
        <v>2200</v>
      </c>
      <c r="C91" s="3250">
        <v>219</v>
      </c>
      <c r="D91" s="3250">
        <v>219</v>
      </c>
      <c r="E91" s="3250">
        <v>219</v>
      </c>
      <c r="F91" s="3250">
        <v>219</v>
      </c>
      <c r="G91" s="1698"/>
    </row>
    <row r="92" spans="1:7" ht="15.75">
      <c r="A92" s="3252">
        <v>2200</v>
      </c>
      <c r="B92" s="3252">
        <v>2225</v>
      </c>
      <c r="C92" s="3250">
        <v>221</v>
      </c>
      <c r="D92" s="3250">
        <v>221</v>
      </c>
      <c r="E92" s="3250">
        <v>221</v>
      </c>
      <c r="F92" s="3250">
        <v>221</v>
      </c>
      <c r="G92" s="1698"/>
    </row>
    <row r="93" spans="1:7" ht="15.75">
      <c r="A93" s="3252">
        <v>2225</v>
      </c>
      <c r="B93" s="3252">
        <v>2250</v>
      </c>
      <c r="C93" s="3250">
        <v>224</v>
      </c>
      <c r="D93" s="3250">
        <v>224</v>
      </c>
      <c r="E93" s="3250">
        <v>224</v>
      </c>
      <c r="F93" s="3250">
        <v>224</v>
      </c>
      <c r="G93" s="1698"/>
    </row>
    <row r="94" spans="1:7" ht="15.75">
      <c r="A94" s="3252">
        <v>2250</v>
      </c>
      <c r="B94" s="3252">
        <v>2275</v>
      </c>
      <c r="C94" s="3250">
        <v>226</v>
      </c>
      <c r="D94" s="3250">
        <v>226</v>
      </c>
      <c r="E94" s="3250">
        <v>226</v>
      </c>
      <c r="F94" s="3250">
        <v>226</v>
      </c>
      <c r="G94" s="1698"/>
    </row>
    <row r="95" spans="1:7" ht="15.75">
      <c r="A95" s="3252">
        <v>2275</v>
      </c>
      <c r="B95" s="3252">
        <v>2300</v>
      </c>
      <c r="C95" s="3250">
        <v>229</v>
      </c>
      <c r="D95" s="3250">
        <v>229</v>
      </c>
      <c r="E95" s="3250">
        <v>229</v>
      </c>
      <c r="F95" s="3250">
        <v>229</v>
      </c>
      <c r="G95" s="1698"/>
    </row>
    <row r="96" spans="1:7" ht="15.75">
      <c r="A96" s="3252">
        <v>2300</v>
      </c>
      <c r="B96" s="3252">
        <v>2325</v>
      </c>
      <c r="C96" s="3250">
        <v>231</v>
      </c>
      <c r="D96" s="3250">
        <v>231</v>
      </c>
      <c r="E96" s="3250">
        <v>231</v>
      </c>
      <c r="F96" s="3250">
        <v>231</v>
      </c>
      <c r="G96" s="1698"/>
    </row>
    <row r="97" spans="1:7" ht="15.75">
      <c r="A97" s="3252">
        <v>2325</v>
      </c>
      <c r="B97" s="3252">
        <v>2350</v>
      </c>
      <c r="C97" s="3250">
        <v>234</v>
      </c>
      <c r="D97" s="3250">
        <v>234</v>
      </c>
      <c r="E97" s="3250">
        <v>234</v>
      </c>
      <c r="F97" s="3250">
        <v>234</v>
      </c>
      <c r="G97" s="1698"/>
    </row>
    <row r="98" spans="1:7" ht="15.75">
      <c r="A98" s="3252">
        <v>2350</v>
      </c>
      <c r="B98" s="3252">
        <v>2375</v>
      </c>
      <c r="C98" s="3250">
        <v>236</v>
      </c>
      <c r="D98" s="3250">
        <v>236</v>
      </c>
      <c r="E98" s="3250">
        <v>236</v>
      </c>
      <c r="F98" s="3250">
        <v>236</v>
      </c>
      <c r="G98" s="1698"/>
    </row>
    <row r="99" spans="1:7" ht="15.75">
      <c r="A99" s="3252">
        <v>2375</v>
      </c>
      <c r="B99" s="3252">
        <v>2400</v>
      </c>
      <c r="C99" s="3250">
        <v>239</v>
      </c>
      <c r="D99" s="3250">
        <v>239</v>
      </c>
      <c r="E99" s="3250">
        <v>239</v>
      </c>
      <c r="F99" s="3250">
        <v>239</v>
      </c>
      <c r="G99" s="1698"/>
    </row>
    <row r="100" spans="1:7" ht="15.75">
      <c r="A100" s="3252">
        <v>2400</v>
      </c>
      <c r="B100" s="3252">
        <v>2425</v>
      </c>
      <c r="C100" s="3250">
        <v>241</v>
      </c>
      <c r="D100" s="3250">
        <v>241</v>
      </c>
      <c r="E100" s="3250">
        <v>241</v>
      </c>
      <c r="F100" s="3250">
        <v>241</v>
      </c>
      <c r="G100" s="1698"/>
    </row>
    <row r="101" spans="1:7" ht="15.75">
      <c r="A101" s="3252">
        <v>2425</v>
      </c>
      <c r="B101" s="3252">
        <v>2450</v>
      </c>
      <c r="C101" s="3250">
        <v>244</v>
      </c>
      <c r="D101" s="3250">
        <v>244</v>
      </c>
      <c r="E101" s="3250">
        <v>244</v>
      </c>
      <c r="F101" s="3250">
        <v>244</v>
      </c>
      <c r="G101" s="1698"/>
    </row>
    <row r="102" spans="1:7" ht="15.75">
      <c r="A102" s="3252">
        <v>2450</v>
      </c>
      <c r="B102" s="3252">
        <v>2475</v>
      </c>
      <c r="C102" s="3250">
        <v>246</v>
      </c>
      <c r="D102" s="3250">
        <v>246</v>
      </c>
      <c r="E102" s="3250">
        <v>246</v>
      </c>
      <c r="F102" s="3250">
        <v>246</v>
      </c>
      <c r="G102" s="1698"/>
    </row>
    <row r="103" spans="1:7" ht="15.75">
      <c r="A103" s="3252">
        <v>2475</v>
      </c>
      <c r="B103" s="3252">
        <v>2500</v>
      </c>
      <c r="C103" s="3250">
        <v>249</v>
      </c>
      <c r="D103" s="3250">
        <v>249</v>
      </c>
      <c r="E103" s="3250">
        <v>249</v>
      </c>
      <c r="F103" s="3250">
        <v>249</v>
      </c>
      <c r="G103" s="1698"/>
    </row>
    <row r="104" spans="1:7" ht="15.75">
      <c r="A104" s="3252">
        <v>2500</v>
      </c>
      <c r="B104" s="3252">
        <v>2525</v>
      </c>
      <c r="C104" s="3250">
        <v>251</v>
      </c>
      <c r="D104" s="3250">
        <v>251</v>
      </c>
      <c r="E104" s="3250">
        <v>251</v>
      </c>
      <c r="F104" s="3250">
        <v>251</v>
      </c>
      <c r="G104" s="1698"/>
    </row>
    <row r="105" spans="1:7" ht="15.75">
      <c r="A105" s="3252">
        <v>2525</v>
      </c>
      <c r="B105" s="3252">
        <v>2550</v>
      </c>
      <c r="C105" s="3250">
        <v>254</v>
      </c>
      <c r="D105" s="3250">
        <v>254</v>
      </c>
      <c r="E105" s="3250">
        <v>254</v>
      </c>
      <c r="F105" s="3250">
        <v>254</v>
      </c>
      <c r="G105" s="1698"/>
    </row>
    <row r="106" spans="1:7" ht="15.75">
      <c r="A106" s="3252">
        <v>2550</v>
      </c>
      <c r="B106" s="3252">
        <v>2575</v>
      </c>
      <c r="C106" s="3250">
        <v>256</v>
      </c>
      <c r="D106" s="3250">
        <v>256</v>
      </c>
      <c r="E106" s="3250">
        <v>256</v>
      </c>
      <c r="F106" s="3250">
        <v>256</v>
      </c>
      <c r="G106" s="1698"/>
    </row>
    <row r="107" spans="1:7" ht="15.75">
      <c r="A107" s="3252">
        <v>2575</v>
      </c>
      <c r="B107" s="3252">
        <v>2600</v>
      </c>
      <c r="C107" s="3250">
        <v>259</v>
      </c>
      <c r="D107" s="3250">
        <v>259</v>
      </c>
      <c r="E107" s="3250">
        <v>259</v>
      </c>
      <c r="F107" s="3250">
        <v>259</v>
      </c>
      <c r="G107" s="1698"/>
    </row>
    <row r="108" spans="1:7" ht="15.75">
      <c r="A108" s="3252">
        <v>2600</v>
      </c>
      <c r="B108" s="3252">
        <v>2625</v>
      </c>
      <c r="C108" s="3250">
        <v>261</v>
      </c>
      <c r="D108" s="3250">
        <v>261</v>
      </c>
      <c r="E108" s="3250">
        <v>261</v>
      </c>
      <c r="F108" s="3250">
        <v>261</v>
      </c>
      <c r="G108" s="1698"/>
    </row>
    <row r="109" spans="1:7" ht="15.75">
      <c r="A109" s="3252">
        <v>2625</v>
      </c>
      <c r="B109" s="3252">
        <v>2650</v>
      </c>
      <c r="C109" s="3250">
        <v>264</v>
      </c>
      <c r="D109" s="3250">
        <v>264</v>
      </c>
      <c r="E109" s="3250">
        <v>264</v>
      </c>
      <c r="F109" s="3250">
        <v>264</v>
      </c>
      <c r="G109" s="1698"/>
    </row>
    <row r="110" spans="1:7" ht="15.75">
      <c r="A110" s="3252">
        <v>2650</v>
      </c>
      <c r="B110" s="3252">
        <v>2675</v>
      </c>
      <c r="C110" s="3250">
        <v>266</v>
      </c>
      <c r="D110" s="3250">
        <v>266</v>
      </c>
      <c r="E110" s="3250">
        <v>266</v>
      </c>
      <c r="F110" s="3250">
        <v>266</v>
      </c>
      <c r="G110" s="1698"/>
    </row>
    <row r="111" spans="1:7" ht="15.75">
      <c r="A111" s="3252">
        <v>2675</v>
      </c>
      <c r="B111" s="3252">
        <v>2700</v>
      </c>
      <c r="C111" s="3250">
        <v>269</v>
      </c>
      <c r="D111" s="3250">
        <v>269</v>
      </c>
      <c r="E111" s="3250">
        <v>269</v>
      </c>
      <c r="F111" s="3250">
        <v>269</v>
      </c>
      <c r="G111" s="1698"/>
    </row>
    <row r="112" spans="1:7" ht="15.75">
      <c r="A112" s="3252">
        <v>2700</v>
      </c>
      <c r="B112" s="3252">
        <v>2725</v>
      </c>
      <c r="C112" s="3250">
        <v>271</v>
      </c>
      <c r="D112" s="3250">
        <v>271</v>
      </c>
      <c r="E112" s="3250">
        <v>271</v>
      </c>
      <c r="F112" s="3250">
        <v>271</v>
      </c>
      <c r="G112" s="1698"/>
    </row>
    <row r="113" spans="1:7" ht="15.75">
      <c r="A113" s="3252">
        <v>2725</v>
      </c>
      <c r="B113" s="3252">
        <v>2750</v>
      </c>
      <c r="C113" s="3250">
        <v>274</v>
      </c>
      <c r="D113" s="3250">
        <v>274</v>
      </c>
      <c r="E113" s="3250">
        <v>274</v>
      </c>
      <c r="F113" s="3250">
        <v>274</v>
      </c>
      <c r="G113" s="1698"/>
    </row>
    <row r="114" spans="1:7" ht="15.75">
      <c r="A114" s="3252">
        <v>2750</v>
      </c>
      <c r="B114" s="3252">
        <v>2775</v>
      </c>
      <c r="C114" s="3250">
        <v>276</v>
      </c>
      <c r="D114" s="3250">
        <v>276</v>
      </c>
      <c r="E114" s="3250">
        <v>276</v>
      </c>
      <c r="F114" s="3250">
        <v>276</v>
      </c>
      <c r="G114" s="1698"/>
    </row>
    <row r="115" spans="1:7" ht="15.75">
      <c r="A115" s="3252">
        <v>2775</v>
      </c>
      <c r="B115" s="3252">
        <v>2800</v>
      </c>
      <c r="C115" s="3250">
        <v>279</v>
      </c>
      <c r="D115" s="3250">
        <v>279</v>
      </c>
      <c r="E115" s="3250">
        <v>279</v>
      </c>
      <c r="F115" s="3250">
        <v>279</v>
      </c>
      <c r="G115" s="1698"/>
    </row>
    <row r="116" spans="1:7" ht="15.75">
      <c r="A116" s="3252">
        <v>2800</v>
      </c>
      <c r="B116" s="3252">
        <v>2825</v>
      </c>
      <c r="C116" s="3250">
        <v>281</v>
      </c>
      <c r="D116" s="3250">
        <v>281</v>
      </c>
      <c r="E116" s="3250">
        <v>281</v>
      </c>
      <c r="F116" s="3250">
        <v>281</v>
      </c>
      <c r="G116" s="1698"/>
    </row>
    <row r="117" spans="1:7" ht="15.75">
      <c r="A117" s="3252">
        <v>2825</v>
      </c>
      <c r="B117" s="3252">
        <v>2850</v>
      </c>
      <c r="C117" s="3250">
        <v>284</v>
      </c>
      <c r="D117" s="3250">
        <v>284</v>
      </c>
      <c r="E117" s="3250">
        <v>284</v>
      </c>
      <c r="F117" s="3250">
        <v>284</v>
      </c>
      <c r="G117" s="1698"/>
    </row>
    <row r="118" spans="1:7" ht="15.75">
      <c r="A118" s="3252">
        <v>2850</v>
      </c>
      <c r="B118" s="3252">
        <v>2875</v>
      </c>
      <c r="C118" s="3250">
        <v>286</v>
      </c>
      <c r="D118" s="3250">
        <v>286</v>
      </c>
      <c r="E118" s="3250">
        <v>286</v>
      </c>
      <c r="F118" s="3250">
        <v>286</v>
      </c>
      <c r="G118" s="1698"/>
    </row>
    <row r="119" spans="1:7" ht="15.75">
      <c r="A119" s="3252">
        <v>2875</v>
      </c>
      <c r="B119" s="3252">
        <v>2900</v>
      </c>
      <c r="C119" s="3250">
        <v>289</v>
      </c>
      <c r="D119" s="3250">
        <v>289</v>
      </c>
      <c r="E119" s="3250">
        <v>289</v>
      </c>
      <c r="F119" s="3250">
        <v>289</v>
      </c>
      <c r="G119" s="1698"/>
    </row>
    <row r="120" spans="1:7" ht="15.75">
      <c r="A120" s="3252">
        <v>2900</v>
      </c>
      <c r="B120" s="3252">
        <v>2925</v>
      </c>
      <c r="C120" s="3250">
        <v>291</v>
      </c>
      <c r="D120" s="3250">
        <v>291</v>
      </c>
      <c r="E120" s="3250">
        <v>291</v>
      </c>
      <c r="F120" s="3250">
        <v>291</v>
      </c>
      <c r="G120" s="1698"/>
    </row>
    <row r="121" spans="1:7" ht="15.75">
      <c r="A121" s="3252">
        <v>2925</v>
      </c>
      <c r="B121" s="3252">
        <v>2950</v>
      </c>
      <c r="C121" s="3250">
        <v>294</v>
      </c>
      <c r="D121" s="3250">
        <v>294</v>
      </c>
      <c r="E121" s="3250">
        <v>294</v>
      </c>
      <c r="F121" s="3250">
        <v>294</v>
      </c>
      <c r="G121" s="1698"/>
    </row>
    <row r="122" spans="1:7" ht="15.75">
      <c r="A122" s="3252">
        <v>2950</v>
      </c>
      <c r="B122" s="3252">
        <v>2975</v>
      </c>
      <c r="C122" s="3250">
        <v>296</v>
      </c>
      <c r="D122" s="3250">
        <v>296</v>
      </c>
      <c r="E122" s="3250">
        <v>296</v>
      </c>
      <c r="F122" s="3250">
        <v>296</v>
      </c>
      <c r="G122" s="1698"/>
    </row>
    <row r="123" spans="1:7" ht="15.75">
      <c r="A123" s="3252">
        <v>2975</v>
      </c>
      <c r="B123" s="3252">
        <v>3000</v>
      </c>
      <c r="C123" s="3250">
        <v>299</v>
      </c>
      <c r="D123" s="3250">
        <v>299</v>
      </c>
      <c r="E123" s="3250">
        <v>299</v>
      </c>
      <c r="F123" s="3250">
        <v>299</v>
      </c>
      <c r="G123" s="1698"/>
    </row>
    <row r="124" spans="1:7" ht="15.75">
      <c r="A124" s="3252">
        <v>3000</v>
      </c>
      <c r="B124" s="3252">
        <v>3050</v>
      </c>
      <c r="C124" s="3250">
        <v>303</v>
      </c>
      <c r="D124" s="3250">
        <v>303</v>
      </c>
      <c r="E124" s="3250">
        <v>303</v>
      </c>
      <c r="F124" s="3250">
        <v>303</v>
      </c>
      <c r="G124" s="1698"/>
    </row>
    <row r="125" spans="1:7" ht="15.75">
      <c r="A125" s="3252">
        <v>3050</v>
      </c>
      <c r="B125" s="3252">
        <v>3100</v>
      </c>
      <c r="C125" s="3250">
        <v>308</v>
      </c>
      <c r="D125" s="3250">
        <v>308</v>
      </c>
      <c r="E125" s="3250">
        <v>308</v>
      </c>
      <c r="F125" s="3250">
        <v>308</v>
      </c>
      <c r="G125" s="1698"/>
    </row>
    <row r="126" spans="1:7" ht="15.75">
      <c r="A126" s="3252">
        <v>3100</v>
      </c>
      <c r="B126" s="3252">
        <v>3150</v>
      </c>
      <c r="C126" s="3250">
        <v>313</v>
      </c>
      <c r="D126" s="3250">
        <v>313</v>
      </c>
      <c r="E126" s="3250">
        <v>313</v>
      </c>
      <c r="F126" s="3250">
        <v>313</v>
      </c>
      <c r="G126" s="1698"/>
    </row>
    <row r="127" spans="1:7" ht="15.75">
      <c r="A127" s="3252">
        <v>3150</v>
      </c>
      <c r="B127" s="3252">
        <v>3200</v>
      </c>
      <c r="C127" s="3250">
        <v>318</v>
      </c>
      <c r="D127" s="3250">
        <v>318</v>
      </c>
      <c r="E127" s="3250">
        <v>318</v>
      </c>
      <c r="F127" s="3250">
        <v>318</v>
      </c>
      <c r="G127" s="1698"/>
    </row>
    <row r="128" spans="1:7" ht="15.75">
      <c r="A128" s="3252">
        <v>3200</v>
      </c>
      <c r="B128" s="3252">
        <v>3250</v>
      </c>
      <c r="C128" s="3250">
        <v>323</v>
      </c>
      <c r="D128" s="3250">
        <v>323</v>
      </c>
      <c r="E128" s="3250">
        <v>323</v>
      </c>
      <c r="F128" s="3250">
        <v>323</v>
      </c>
      <c r="G128" s="1698"/>
    </row>
    <row r="129" spans="1:7" ht="15.75">
      <c r="A129" s="3252">
        <v>3250</v>
      </c>
      <c r="B129" s="3252">
        <v>3300</v>
      </c>
      <c r="C129" s="3250">
        <v>328</v>
      </c>
      <c r="D129" s="3250">
        <v>328</v>
      </c>
      <c r="E129" s="3250">
        <v>328</v>
      </c>
      <c r="F129" s="3250">
        <v>328</v>
      </c>
      <c r="G129" s="1698"/>
    </row>
    <row r="130" spans="1:7" ht="15.75">
      <c r="A130" s="3252">
        <v>3300</v>
      </c>
      <c r="B130" s="3252">
        <v>3350</v>
      </c>
      <c r="C130" s="3250">
        <v>333</v>
      </c>
      <c r="D130" s="3250">
        <v>333</v>
      </c>
      <c r="E130" s="3250">
        <v>333</v>
      </c>
      <c r="F130" s="3250">
        <v>333</v>
      </c>
      <c r="G130" s="1698"/>
    </row>
    <row r="131" spans="1:7" ht="15.75">
      <c r="A131" s="3252">
        <v>3350</v>
      </c>
      <c r="B131" s="3252">
        <v>3400</v>
      </c>
      <c r="C131" s="3250">
        <v>338</v>
      </c>
      <c r="D131" s="3250">
        <v>338</v>
      </c>
      <c r="E131" s="3250">
        <v>338</v>
      </c>
      <c r="F131" s="3250">
        <v>338</v>
      </c>
      <c r="G131" s="1698"/>
    </row>
    <row r="132" spans="1:7" ht="15.75">
      <c r="A132" s="3252">
        <v>3400</v>
      </c>
      <c r="B132" s="3252">
        <v>3450</v>
      </c>
      <c r="C132" s="3250">
        <v>343</v>
      </c>
      <c r="D132" s="3250">
        <v>343</v>
      </c>
      <c r="E132" s="3250">
        <v>343</v>
      </c>
      <c r="F132" s="3250">
        <v>343</v>
      </c>
      <c r="G132" s="1698"/>
    </row>
    <row r="133" spans="1:7" ht="15.75">
      <c r="A133" s="3252">
        <v>3450</v>
      </c>
      <c r="B133" s="3252">
        <v>3500</v>
      </c>
      <c r="C133" s="3250">
        <v>348</v>
      </c>
      <c r="D133" s="3250">
        <v>348</v>
      </c>
      <c r="E133" s="3250">
        <v>348</v>
      </c>
      <c r="F133" s="3250">
        <v>348</v>
      </c>
      <c r="G133" s="1698"/>
    </row>
    <row r="134" spans="1:7" ht="15.75">
      <c r="A134" s="3252">
        <v>3500</v>
      </c>
      <c r="B134" s="3252">
        <v>3550</v>
      </c>
      <c r="C134" s="3250">
        <v>353</v>
      </c>
      <c r="D134" s="3250">
        <v>353</v>
      </c>
      <c r="E134" s="3250">
        <v>353</v>
      </c>
      <c r="F134" s="3250">
        <v>353</v>
      </c>
      <c r="G134" s="1698"/>
    </row>
    <row r="135" spans="1:7" ht="15.75">
      <c r="A135" s="3252">
        <v>3550</v>
      </c>
      <c r="B135" s="3252">
        <v>3600</v>
      </c>
      <c r="C135" s="3250">
        <v>358</v>
      </c>
      <c r="D135" s="3250">
        <v>358</v>
      </c>
      <c r="E135" s="3250">
        <v>358</v>
      </c>
      <c r="F135" s="3250">
        <v>358</v>
      </c>
      <c r="G135" s="1698"/>
    </row>
    <row r="136" spans="1:7" ht="15.75">
      <c r="A136" s="3252">
        <v>3600</v>
      </c>
      <c r="B136" s="3252">
        <v>3650</v>
      </c>
      <c r="C136" s="3250">
        <v>363</v>
      </c>
      <c r="D136" s="3250">
        <v>363</v>
      </c>
      <c r="E136" s="3250">
        <v>363</v>
      </c>
      <c r="F136" s="3250">
        <v>363</v>
      </c>
      <c r="G136" s="1698"/>
    </row>
    <row r="137" spans="1:7" ht="15.75">
      <c r="A137" s="3252">
        <v>3650</v>
      </c>
      <c r="B137" s="3252">
        <v>3700</v>
      </c>
      <c r="C137" s="3250">
        <v>368</v>
      </c>
      <c r="D137" s="3250">
        <v>368</v>
      </c>
      <c r="E137" s="3250">
        <v>368</v>
      </c>
      <c r="F137" s="3250">
        <v>368</v>
      </c>
      <c r="G137" s="1698"/>
    </row>
    <row r="138" spans="1:7" ht="15.75">
      <c r="A138" s="3252">
        <v>3700</v>
      </c>
      <c r="B138" s="3252">
        <v>3750</v>
      </c>
      <c r="C138" s="3250">
        <v>373</v>
      </c>
      <c r="D138" s="3250">
        <v>373</v>
      </c>
      <c r="E138" s="3250">
        <v>373</v>
      </c>
      <c r="F138" s="3250">
        <v>373</v>
      </c>
      <c r="G138" s="1698"/>
    </row>
    <row r="139" spans="1:7" ht="15.75">
      <c r="A139" s="3252">
        <v>3750</v>
      </c>
      <c r="B139" s="3252">
        <v>3800</v>
      </c>
      <c r="C139" s="3250">
        <v>378</v>
      </c>
      <c r="D139" s="3250">
        <v>378</v>
      </c>
      <c r="E139" s="3250">
        <v>378</v>
      </c>
      <c r="F139" s="3250">
        <v>378</v>
      </c>
      <c r="G139" s="1698"/>
    </row>
    <row r="140" spans="1:7" ht="15.75">
      <c r="A140" s="3252">
        <v>3800</v>
      </c>
      <c r="B140" s="3252">
        <v>3850</v>
      </c>
      <c r="C140" s="3250">
        <v>383</v>
      </c>
      <c r="D140" s="3250">
        <v>383</v>
      </c>
      <c r="E140" s="3250">
        <v>383</v>
      </c>
      <c r="F140" s="3250">
        <v>383</v>
      </c>
      <c r="G140" s="1698"/>
    </row>
    <row r="141" spans="1:7" ht="15.75">
      <c r="A141" s="3252">
        <v>3850</v>
      </c>
      <c r="B141" s="3252">
        <v>3900</v>
      </c>
      <c r="C141" s="3250">
        <v>388</v>
      </c>
      <c r="D141" s="3250">
        <v>388</v>
      </c>
      <c r="E141" s="3250">
        <v>388</v>
      </c>
      <c r="F141" s="3250">
        <v>388</v>
      </c>
      <c r="G141" s="1698"/>
    </row>
    <row r="142" spans="1:7" ht="15.75">
      <c r="A142" s="3252">
        <v>3900</v>
      </c>
      <c r="B142" s="3252">
        <v>3950</v>
      </c>
      <c r="C142" s="3250">
        <v>393</v>
      </c>
      <c r="D142" s="3250">
        <v>393</v>
      </c>
      <c r="E142" s="3250">
        <v>393</v>
      </c>
      <c r="F142" s="3250">
        <v>393</v>
      </c>
      <c r="G142" s="1698"/>
    </row>
    <row r="143" spans="1:7" ht="15.75">
      <c r="A143" s="3252">
        <v>3950</v>
      </c>
      <c r="B143" s="3252">
        <v>4000</v>
      </c>
      <c r="C143" s="3250">
        <v>398</v>
      </c>
      <c r="D143" s="3250">
        <v>398</v>
      </c>
      <c r="E143" s="3250">
        <v>398</v>
      </c>
      <c r="F143" s="3250">
        <v>398</v>
      </c>
      <c r="G143" s="1698"/>
    </row>
    <row r="144" spans="1:7" ht="15.75">
      <c r="A144" s="3252">
        <v>4000</v>
      </c>
      <c r="B144" s="3252">
        <v>4050</v>
      </c>
      <c r="C144" s="3250">
        <v>403</v>
      </c>
      <c r="D144" s="3250">
        <v>403</v>
      </c>
      <c r="E144" s="3250">
        <v>403</v>
      </c>
      <c r="F144" s="3250">
        <v>403</v>
      </c>
      <c r="G144" s="1698"/>
    </row>
    <row r="145" spans="1:7" ht="15.75">
      <c r="A145" s="3252">
        <v>4050</v>
      </c>
      <c r="B145" s="3252">
        <v>4100</v>
      </c>
      <c r="C145" s="3250">
        <v>408</v>
      </c>
      <c r="D145" s="3250">
        <v>408</v>
      </c>
      <c r="E145" s="3250">
        <v>408</v>
      </c>
      <c r="F145" s="3250">
        <v>408</v>
      </c>
      <c r="G145" s="1698"/>
    </row>
    <row r="146" spans="1:7" ht="15.75">
      <c r="A146" s="3252">
        <v>4100</v>
      </c>
      <c r="B146" s="3252">
        <v>4150</v>
      </c>
      <c r="C146" s="3250">
        <v>413</v>
      </c>
      <c r="D146" s="3250">
        <v>413</v>
      </c>
      <c r="E146" s="3250">
        <v>413</v>
      </c>
      <c r="F146" s="3250">
        <v>413</v>
      </c>
      <c r="G146" s="1698"/>
    </row>
    <row r="147" spans="1:7" ht="15.75">
      <c r="A147" s="3252">
        <v>4150</v>
      </c>
      <c r="B147" s="3252">
        <v>4200</v>
      </c>
      <c r="C147" s="3250">
        <v>418</v>
      </c>
      <c r="D147" s="3250">
        <v>418</v>
      </c>
      <c r="E147" s="3250">
        <v>418</v>
      </c>
      <c r="F147" s="3250">
        <v>418</v>
      </c>
      <c r="G147" s="1698"/>
    </row>
    <row r="148" spans="1:7" ht="15.75">
      <c r="A148" s="3252">
        <v>4200</v>
      </c>
      <c r="B148" s="3252">
        <v>4250</v>
      </c>
      <c r="C148" s="3250">
        <v>423</v>
      </c>
      <c r="D148" s="3250">
        <v>423</v>
      </c>
      <c r="E148" s="3250">
        <v>423</v>
      </c>
      <c r="F148" s="3250">
        <v>423</v>
      </c>
      <c r="G148" s="1698"/>
    </row>
    <row r="149" spans="1:7" ht="15.75">
      <c r="A149" s="3252">
        <v>4250</v>
      </c>
      <c r="B149" s="3252">
        <v>4300</v>
      </c>
      <c r="C149" s="3250">
        <v>428</v>
      </c>
      <c r="D149" s="3250">
        <v>428</v>
      </c>
      <c r="E149" s="3250">
        <v>428</v>
      </c>
      <c r="F149" s="3250">
        <v>428</v>
      </c>
      <c r="G149" s="1698"/>
    </row>
    <row r="150" spans="1:7" ht="15.75">
      <c r="A150" s="3252">
        <v>4300</v>
      </c>
      <c r="B150" s="3252">
        <v>4350</v>
      </c>
      <c r="C150" s="3250">
        <v>433</v>
      </c>
      <c r="D150" s="3250">
        <v>433</v>
      </c>
      <c r="E150" s="3250">
        <v>433</v>
      </c>
      <c r="F150" s="3250">
        <v>433</v>
      </c>
      <c r="G150" s="1698"/>
    </row>
    <row r="151" spans="1:7" ht="15.75">
      <c r="A151" s="3252">
        <v>4350</v>
      </c>
      <c r="B151" s="3252">
        <v>4400</v>
      </c>
      <c r="C151" s="3250">
        <v>438</v>
      </c>
      <c r="D151" s="3250">
        <v>438</v>
      </c>
      <c r="E151" s="3250">
        <v>438</v>
      </c>
      <c r="F151" s="3250">
        <v>438</v>
      </c>
      <c r="G151" s="1698"/>
    </row>
    <row r="152" spans="1:7" ht="15.75">
      <c r="A152" s="3252">
        <v>4400</v>
      </c>
      <c r="B152" s="3252">
        <v>4450</v>
      </c>
      <c r="C152" s="3250">
        <v>443</v>
      </c>
      <c r="D152" s="3250">
        <v>443</v>
      </c>
      <c r="E152" s="3250">
        <v>443</v>
      </c>
      <c r="F152" s="3250">
        <v>443</v>
      </c>
      <c r="G152" s="1698"/>
    </row>
    <row r="153" spans="1:7" ht="15.75">
      <c r="A153" s="3252">
        <v>4450</v>
      </c>
      <c r="B153" s="3252">
        <v>4500</v>
      </c>
      <c r="C153" s="3250">
        <v>448</v>
      </c>
      <c r="D153" s="3250">
        <v>448</v>
      </c>
      <c r="E153" s="3250">
        <v>448</v>
      </c>
      <c r="F153" s="3250">
        <v>448</v>
      </c>
      <c r="G153" s="1698"/>
    </row>
    <row r="154" spans="1:7" ht="15.75">
      <c r="A154" s="3252">
        <v>4500</v>
      </c>
      <c r="B154" s="3252">
        <v>4550</v>
      </c>
      <c r="C154" s="3250">
        <v>453</v>
      </c>
      <c r="D154" s="3250">
        <v>453</v>
      </c>
      <c r="E154" s="3250">
        <v>453</v>
      </c>
      <c r="F154" s="3250">
        <v>453</v>
      </c>
      <c r="G154" s="1698"/>
    </row>
    <row r="155" spans="1:7" ht="15.75">
      <c r="A155" s="3252">
        <v>4550</v>
      </c>
      <c r="B155" s="3252">
        <v>4600</v>
      </c>
      <c r="C155" s="3250">
        <v>458</v>
      </c>
      <c r="D155" s="3250">
        <v>458</v>
      </c>
      <c r="E155" s="3250">
        <v>458</v>
      </c>
      <c r="F155" s="3250">
        <v>458</v>
      </c>
      <c r="G155" s="1698"/>
    </row>
    <row r="156" spans="1:7" ht="15.75">
      <c r="A156" s="3252">
        <v>4600</v>
      </c>
      <c r="B156" s="3252">
        <v>4650</v>
      </c>
      <c r="C156" s="3250">
        <v>463</v>
      </c>
      <c r="D156" s="3250">
        <v>463</v>
      </c>
      <c r="E156" s="3250">
        <v>463</v>
      </c>
      <c r="F156" s="3250">
        <v>463</v>
      </c>
      <c r="G156" s="1698"/>
    </row>
    <row r="157" spans="1:7" ht="15.75">
      <c r="A157" s="3252">
        <v>4650</v>
      </c>
      <c r="B157" s="3252">
        <v>4700</v>
      </c>
      <c r="C157" s="3250">
        <v>468</v>
      </c>
      <c r="D157" s="3250">
        <v>468</v>
      </c>
      <c r="E157" s="3250">
        <v>468</v>
      </c>
      <c r="F157" s="3250">
        <v>468</v>
      </c>
      <c r="G157" s="1698"/>
    </row>
    <row r="158" spans="1:7" ht="15.75">
      <c r="A158" s="3252">
        <v>4700</v>
      </c>
      <c r="B158" s="3252">
        <v>4750</v>
      </c>
      <c r="C158" s="3250">
        <v>473</v>
      </c>
      <c r="D158" s="3250">
        <v>473</v>
      </c>
      <c r="E158" s="3250">
        <v>473</v>
      </c>
      <c r="F158" s="3250">
        <v>473</v>
      </c>
      <c r="G158" s="1698"/>
    </row>
    <row r="159" spans="1:7" ht="15.75">
      <c r="A159" s="3252">
        <v>4750</v>
      </c>
      <c r="B159" s="3252">
        <v>4800</v>
      </c>
      <c r="C159" s="3250">
        <v>478</v>
      </c>
      <c r="D159" s="3250">
        <v>478</v>
      </c>
      <c r="E159" s="3250">
        <v>478</v>
      </c>
      <c r="F159" s="3250">
        <v>478</v>
      </c>
      <c r="G159" s="1698"/>
    </row>
    <row r="160" spans="1:7" ht="15.75">
      <c r="A160" s="3252">
        <v>4800</v>
      </c>
      <c r="B160" s="3252">
        <v>4850</v>
      </c>
      <c r="C160" s="3250">
        <v>483</v>
      </c>
      <c r="D160" s="3250">
        <v>483</v>
      </c>
      <c r="E160" s="3250">
        <v>483</v>
      </c>
      <c r="F160" s="3250">
        <v>483</v>
      </c>
      <c r="G160" s="1698"/>
    </row>
    <row r="161" spans="1:7" ht="15.75">
      <c r="A161" s="3252">
        <v>4850</v>
      </c>
      <c r="B161" s="3252">
        <v>4900</v>
      </c>
      <c r="C161" s="3250">
        <v>488</v>
      </c>
      <c r="D161" s="3250">
        <v>488</v>
      </c>
      <c r="E161" s="3250">
        <v>488</v>
      </c>
      <c r="F161" s="3250">
        <v>488</v>
      </c>
      <c r="G161" s="1698"/>
    </row>
    <row r="162" spans="1:7" ht="15.75">
      <c r="A162" s="3252">
        <v>4900</v>
      </c>
      <c r="B162" s="3252">
        <v>4950</v>
      </c>
      <c r="C162" s="3250">
        <v>493</v>
      </c>
      <c r="D162" s="3250">
        <v>493</v>
      </c>
      <c r="E162" s="3250">
        <v>493</v>
      </c>
      <c r="F162" s="3250">
        <v>493</v>
      </c>
      <c r="G162" s="1698"/>
    </row>
    <row r="163" spans="1:7" ht="15.75">
      <c r="A163" s="3252">
        <v>4950</v>
      </c>
      <c r="B163" s="3252">
        <v>5000</v>
      </c>
      <c r="C163" s="3250">
        <v>498</v>
      </c>
      <c r="D163" s="3250">
        <v>498</v>
      </c>
      <c r="E163" s="3250">
        <v>498</v>
      </c>
      <c r="F163" s="3250">
        <v>498</v>
      </c>
      <c r="G163" s="1698"/>
    </row>
    <row r="164" spans="1:7" ht="15.75">
      <c r="A164" s="3252">
        <v>5000</v>
      </c>
      <c r="B164" s="3252">
        <v>5050</v>
      </c>
      <c r="C164" s="3250">
        <v>503</v>
      </c>
      <c r="D164" s="3250">
        <v>503</v>
      </c>
      <c r="E164" s="3250">
        <v>503</v>
      </c>
      <c r="F164" s="3250">
        <v>503</v>
      </c>
      <c r="G164" s="1698"/>
    </row>
    <row r="165" spans="1:7" ht="15.75">
      <c r="A165" s="3252">
        <v>5050</v>
      </c>
      <c r="B165" s="3252">
        <v>5100</v>
      </c>
      <c r="C165" s="3250">
        <v>508</v>
      </c>
      <c r="D165" s="3250">
        <v>508</v>
      </c>
      <c r="E165" s="3250">
        <v>508</v>
      </c>
      <c r="F165" s="3250">
        <v>508</v>
      </c>
      <c r="G165" s="1698"/>
    </row>
    <row r="166" spans="1:7" ht="15.75">
      <c r="A166" s="3252">
        <v>5100</v>
      </c>
      <c r="B166" s="3252">
        <v>5150</v>
      </c>
      <c r="C166" s="3250">
        <v>513</v>
      </c>
      <c r="D166" s="3250">
        <v>513</v>
      </c>
      <c r="E166" s="3250">
        <v>513</v>
      </c>
      <c r="F166" s="3250">
        <v>513</v>
      </c>
      <c r="G166" s="1698"/>
    </row>
    <row r="167" spans="1:7" ht="15.75">
      <c r="A167" s="3252">
        <v>5150</v>
      </c>
      <c r="B167" s="3252">
        <v>5200</v>
      </c>
      <c r="C167" s="3250">
        <v>518</v>
      </c>
      <c r="D167" s="3250">
        <v>518</v>
      </c>
      <c r="E167" s="3250">
        <v>518</v>
      </c>
      <c r="F167" s="3250">
        <v>518</v>
      </c>
      <c r="G167" s="1698"/>
    </row>
    <row r="168" spans="1:7" ht="15.75">
      <c r="A168" s="3252">
        <v>5200</v>
      </c>
      <c r="B168" s="3252">
        <v>5250</v>
      </c>
      <c r="C168" s="3250">
        <v>523</v>
      </c>
      <c r="D168" s="3250">
        <v>523</v>
      </c>
      <c r="E168" s="3250">
        <v>523</v>
      </c>
      <c r="F168" s="3250">
        <v>523</v>
      </c>
      <c r="G168" s="1698"/>
    </row>
    <row r="169" spans="1:7" ht="15.75">
      <c r="A169" s="3252">
        <v>5250</v>
      </c>
      <c r="B169" s="3252">
        <v>5300</v>
      </c>
      <c r="C169" s="3250">
        <v>528</v>
      </c>
      <c r="D169" s="3250">
        <v>528</v>
      </c>
      <c r="E169" s="3250">
        <v>528</v>
      </c>
      <c r="F169" s="3250">
        <v>528</v>
      </c>
      <c r="G169" s="1698"/>
    </row>
    <row r="170" spans="1:7" ht="15.75">
      <c r="A170" s="3252">
        <v>5300</v>
      </c>
      <c r="B170" s="3252">
        <v>5350</v>
      </c>
      <c r="C170" s="3250">
        <v>533</v>
      </c>
      <c r="D170" s="3250">
        <v>533</v>
      </c>
      <c r="E170" s="3250">
        <v>533</v>
      </c>
      <c r="F170" s="3250">
        <v>533</v>
      </c>
      <c r="G170" s="1698"/>
    </row>
    <row r="171" spans="1:7" ht="15.75">
      <c r="A171" s="3252">
        <v>5350</v>
      </c>
      <c r="B171" s="3252">
        <v>5400</v>
      </c>
      <c r="C171" s="3250">
        <v>538</v>
      </c>
      <c r="D171" s="3250">
        <v>538</v>
      </c>
      <c r="E171" s="3250">
        <v>538</v>
      </c>
      <c r="F171" s="3250">
        <v>538</v>
      </c>
      <c r="G171" s="1698"/>
    </row>
    <row r="172" spans="1:7" ht="15.75">
      <c r="A172" s="3252">
        <v>5400</v>
      </c>
      <c r="B172" s="3252">
        <v>5450</v>
      </c>
      <c r="C172" s="3250">
        <v>543</v>
      </c>
      <c r="D172" s="3250">
        <v>543</v>
      </c>
      <c r="E172" s="3250">
        <v>543</v>
      </c>
      <c r="F172" s="3250">
        <v>543</v>
      </c>
      <c r="G172" s="1698"/>
    </row>
    <row r="173" spans="1:7" ht="15.75">
      <c r="A173" s="3252">
        <v>5450</v>
      </c>
      <c r="B173" s="3252">
        <v>5500</v>
      </c>
      <c r="C173" s="3250">
        <v>548</v>
      </c>
      <c r="D173" s="3250">
        <v>548</v>
      </c>
      <c r="E173" s="3250">
        <v>548</v>
      </c>
      <c r="F173" s="3250">
        <v>548</v>
      </c>
      <c r="G173" s="1698"/>
    </row>
    <row r="174" spans="1:7" ht="15.75">
      <c r="A174" s="3252">
        <v>5500</v>
      </c>
      <c r="B174" s="3252">
        <v>5550</v>
      </c>
      <c r="C174" s="3250">
        <v>553</v>
      </c>
      <c r="D174" s="3250">
        <v>553</v>
      </c>
      <c r="E174" s="3250">
        <v>553</v>
      </c>
      <c r="F174" s="3250">
        <v>553</v>
      </c>
      <c r="G174" s="1698"/>
    </row>
    <row r="175" spans="1:7" ht="15.75">
      <c r="A175" s="3252">
        <v>5550</v>
      </c>
      <c r="B175" s="3252">
        <v>5600</v>
      </c>
      <c r="C175" s="3250">
        <v>558</v>
      </c>
      <c r="D175" s="3250">
        <v>558</v>
      </c>
      <c r="E175" s="3250">
        <v>558</v>
      </c>
      <c r="F175" s="3250">
        <v>558</v>
      </c>
      <c r="G175" s="1698"/>
    </row>
    <row r="176" spans="1:7" ht="15.75">
      <c r="A176" s="3252">
        <v>5600</v>
      </c>
      <c r="B176" s="3252">
        <v>5650</v>
      </c>
      <c r="C176" s="3250">
        <v>563</v>
      </c>
      <c r="D176" s="3250">
        <v>563</v>
      </c>
      <c r="E176" s="3250">
        <v>563</v>
      </c>
      <c r="F176" s="3250">
        <v>563</v>
      </c>
      <c r="G176" s="1698"/>
    </row>
    <row r="177" spans="1:7" ht="15.75">
      <c r="A177" s="3252">
        <v>5650</v>
      </c>
      <c r="B177" s="3252">
        <v>5700</v>
      </c>
      <c r="C177" s="3250">
        <v>568</v>
      </c>
      <c r="D177" s="3250">
        <v>568</v>
      </c>
      <c r="E177" s="3250">
        <v>568</v>
      </c>
      <c r="F177" s="3250">
        <v>568</v>
      </c>
      <c r="G177" s="1698"/>
    </row>
    <row r="178" spans="1:7" ht="15.75">
      <c r="A178" s="3252">
        <v>5700</v>
      </c>
      <c r="B178" s="3252">
        <v>5750</v>
      </c>
      <c r="C178" s="3250">
        <v>573</v>
      </c>
      <c r="D178" s="3250">
        <v>573</v>
      </c>
      <c r="E178" s="3250">
        <v>573</v>
      </c>
      <c r="F178" s="3250">
        <v>573</v>
      </c>
      <c r="G178" s="1698"/>
    </row>
    <row r="179" spans="1:7" ht="15.75">
      <c r="A179" s="3252">
        <v>5750</v>
      </c>
      <c r="B179" s="3252">
        <v>5800</v>
      </c>
      <c r="C179" s="3250">
        <v>578</v>
      </c>
      <c r="D179" s="3250">
        <v>578</v>
      </c>
      <c r="E179" s="3250">
        <v>578</v>
      </c>
      <c r="F179" s="3250">
        <v>578</v>
      </c>
      <c r="G179" s="1698"/>
    </row>
    <row r="180" spans="1:7" ht="15.75">
      <c r="A180" s="3252">
        <v>5800</v>
      </c>
      <c r="B180" s="3252">
        <v>5850</v>
      </c>
      <c r="C180" s="3250">
        <v>583</v>
      </c>
      <c r="D180" s="3250">
        <v>583</v>
      </c>
      <c r="E180" s="3250">
        <v>583</v>
      </c>
      <c r="F180" s="3250">
        <v>583</v>
      </c>
      <c r="G180" s="1698"/>
    </row>
    <row r="181" spans="1:7" ht="15.75">
      <c r="A181" s="3252">
        <v>5850</v>
      </c>
      <c r="B181" s="3252">
        <v>5900</v>
      </c>
      <c r="C181" s="3250">
        <v>588</v>
      </c>
      <c r="D181" s="3250">
        <v>588</v>
      </c>
      <c r="E181" s="3250">
        <v>588</v>
      </c>
      <c r="F181" s="3250">
        <v>588</v>
      </c>
      <c r="G181" s="1698"/>
    </row>
    <row r="182" spans="1:7" ht="15.75">
      <c r="A182" s="3252">
        <v>5900</v>
      </c>
      <c r="B182" s="3252">
        <v>5950</v>
      </c>
      <c r="C182" s="3250">
        <v>593</v>
      </c>
      <c r="D182" s="3250">
        <v>593</v>
      </c>
      <c r="E182" s="3250">
        <v>593</v>
      </c>
      <c r="F182" s="3250">
        <v>593</v>
      </c>
      <c r="G182" s="1698"/>
    </row>
    <row r="183" spans="1:7" ht="15.75">
      <c r="A183" s="3252">
        <v>5950</v>
      </c>
      <c r="B183" s="3252">
        <v>6000</v>
      </c>
      <c r="C183" s="3250">
        <v>598</v>
      </c>
      <c r="D183" s="3250">
        <v>598</v>
      </c>
      <c r="E183" s="3250">
        <v>598</v>
      </c>
      <c r="F183" s="3250">
        <v>598</v>
      </c>
      <c r="G183" s="1698"/>
    </row>
    <row r="184" spans="1:7" ht="15.75">
      <c r="A184" s="3252">
        <v>6000</v>
      </c>
      <c r="B184" s="3252">
        <v>6050</v>
      </c>
      <c r="C184" s="3250">
        <v>603</v>
      </c>
      <c r="D184" s="3250">
        <v>603</v>
      </c>
      <c r="E184" s="3250">
        <v>603</v>
      </c>
      <c r="F184" s="3250">
        <v>603</v>
      </c>
      <c r="G184" s="1698"/>
    </row>
    <row r="185" spans="1:7" ht="15.75">
      <c r="A185" s="3252">
        <v>6050</v>
      </c>
      <c r="B185" s="3252">
        <v>6100</v>
      </c>
      <c r="C185" s="3250">
        <v>608</v>
      </c>
      <c r="D185" s="3250">
        <v>608</v>
      </c>
      <c r="E185" s="3250">
        <v>608</v>
      </c>
      <c r="F185" s="3250">
        <v>608</v>
      </c>
      <c r="G185" s="1698"/>
    </row>
    <row r="186" spans="1:7" ht="15.75">
      <c r="A186" s="3252">
        <v>6100</v>
      </c>
      <c r="B186" s="3252">
        <v>6150</v>
      </c>
      <c r="C186" s="3250">
        <v>613</v>
      </c>
      <c r="D186" s="3250">
        <v>613</v>
      </c>
      <c r="E186" s="3250">
        <v>613</v>
      </c>
      <c r="F186" s="3250">
        <v>613</v>
      </c>
      <c r="G186" s="1698"/>
    </row>
    <row r="187" spans="1:7" ht="15.75">
      <c r="A187" s="3252">
        <v>6150</v>
      </c>
      <c r="B187" s="3252">
        <v>6200</v>
      </c>
      <c r="C187" s="3250">
        <v>618</v>
      </c>
      <c r="D187" s="3250">
        <v>618</v>
      </c>
      <c r="E187" s="3250">
        <v>618</v>
      </c>
      <c r="F187" s="3250">
        <v>618</v>
      </c>
      <c r="G187" s="1698"/>
    </row>
    <row r="188" spans="1:7" ht="15.75">
      <c r="A188" s="3252">
        <v>6200</v>
      </c>
      <c r="B188" s="3252">
        <v>6250</v>
      </c>
      <c r="C188" s="3250">
        <v>623</v>
      </c>
      <c r="D188" s="3250">
        <v>623</v>
      </c>
      <c r="E188" s="3250">
        <v>623</v>
      </c>
      <c r="F188" s="3250">
        <v>623</v>
      </c>
      <c r="G188" s="1698"/>
    </row>
    <row r="189" spans="1:7" ht="15.75">
      <c r="A189" s="3252">
        <v>6250</v>
      </c>
      <c r="B189" s="3252">
        <v>6300</v>
      </c>
      <c r="C189" s="3250">
        <v>628</v>
      </c>
      <c r="D189" s="3250">
        <v>628</v>
      </c>
      <c r="E189" s="3250">
        <v>628</v>
      </c>
      <c r="F189" s="3250">
        <v>628</v>
      </c>
      <c r="G189" s="1698"/>
    </row>
    <row r="190" spans="1:7" ht="15.75">
      <c r="A190" s="3252">
        <v>6300</v>
      </c>
      <c r="B190" s="3252">
        <v>6350</v>
      </c>
      <c r="C190" s="3250">
        <v>633</v>
      </c>
      <c r="D190" s="3250">
        <v>633</v>
      </c>
      <c r="E190" s="3250">
        <v>633</v>
      </c>
      <c r="F190" s="3250">
        <v>633</v>
      </c>
      <c r="G190" s="1698"/>
    </row>
    <row r="191" spans="1:7" ht="15.75">
      <c r="A191" s="3252">
        <v>6350</v>
      </c>
      <c r="B191" s="3252">
        <v>6400</v>
      </c>
      <c r="C191" s="3250">
        <v>638</v>
      </c>
      <c r="D191" s="3250">
        <v>638</v>
      </c>
      <c r="E191" s="3250">
        <v>638</v>
      </c>
      <c r="F191" s="3250">
        <v>638</v>
      </c>
      <c r="G191" s="1698"/>
    </row>
    <row r="192" spans="1:7" ht="15.75">
      <c r="A192" s="3252">
        <v>6400</v>
      </c>
      <c r="B192" s="3252">
        <v>6450</v>
      </c>
      <c r="C192" s="3250">
        <v>643</v>
      </c>
      <c r="D192" s="3250">
        <v>643</v>
      </c>
      <c r="E192" s="3250">
        <v>643</v>
      </c>
      <c r="F192" s="3250">
        <v>643</v>
      </c>
      <c r="G192" s="1698"/>
    </row>
    <row r="193" spans="1:7" ht="15.75">
      <c r="A193" s="3252">
        <v>6450</v>
      </c>
      <c r="B193" s="3252">
        <v>6500</v>
      </c>
      <c r="C193" s="3250">
        <v>648</v>
      </c>
      <c r="D193" s="3250">
        <v>648</v>
      </c>
      <c r="E193" s="3250">
        <v>648</v>
      </c>
      <c r="F193" s="3250">
        <v>648</v>
      </c>
      <c r="G193" s="1698"/>
    </row>
    <row r="194" spans="1:7" ht="15.75">
      <c r="A194" s="3252">
        <v>6500</v>
      </c>
      <c r="B194" s="3252">
        <v>6550</v>
      </c>
      <c r="C194" s="3250">
        <v>653</v>
      </c>
      <c r="D194" s="3250">
        <v>653</v>
      </c>
      <c r="E194" s="3250">
        <v>653</v>
      </c>
      <c r="F194" s="3250">
        <v>653</v>
      </c>
      <c r="G194" s="1698"/>
    </row>
    <row r="195" spans="1:7" ht="15.75">
      <c r="A195" s="3252">
        <v>6550</v>
      </c>
      <c r="B195" s="3252">
        <v>6600</v>
      </c>
      <c r="C195" s="3250">
        <v>658</v>
      </c>
      <c r="D195" s="3250">
        <v>658</v>
      </c>
      <c r="E195" s="3250">
        <v>658</v>
      </c>
      <c r="F195" s="3250">
        <v>658</v>
      </c>
      <c r="G195" s="1698"/>
    </row>
    <row r="196" spans="1:7" ht="15.75">
      <c r="A196" s="3252">
        <v>6600</v>
      </c>
      <c r="B196" s="3252">
        <v>6650</v>
      </c>
      <c r="C196" s="3250">
        <v>663</v>
      </c>
      <c r="D196" s="3250">
        <v>663</v>
      </c>
      <c r="E196" s="3250">
        <v>663</v>
      </c>
      <c r="F196" s="3250">
        <v>663</v>
      </c>
      <c r="G196" s="1698"/>
    </row>
    <row r="197" spans="1:7" ht="15.75">
      <c r="A197" s="3252">
        <v>6650</v>
      </c>
      <c r="B197" s="3252">
        <v>6700</v>
      </c>
      <c r="C197" s="3250">
        <v>668</v>
      </c>
      <c r="D197" s="3250">
        <v>668</v>
      </c>
      <c r="E197" s="3250">
        <v>668</v>
      </c>
      <c r="F197" s="3250">
        <v>668</v>
      </c>
      <c r="G197" s="1698"/>
    </row>
    <row r="198" spans="1:7" ht="15.75">
      <c r="A198" s="3252">
        <v>6700</v>
      </c>
      <c r="B198" s="3252">
        <v>6750</v>
      </c>
      <c r="C198" s="3250">
        <v>673</v>
      </c>
      <c r="D198" s="3250">
        <v>673</v>
      </c>
      <c r="E198" s="3250">
        <v>673</v>
      </c>
      <c r="F198" s="3250">
        <v>673</v>
      </c>
      <c r="G198" s="1698"/>
    </row>
    <row r="199" spans="1:7" ht="15.75">
      <c r="A199" s="3252">
        <v>6750</v>
      </c>
      <c r="B199" s="3252">
        <v>6800</v>
      </c>
      <c r="C199" s="3250">
        <v>678</v>
      </c>
      <c r="D199" s="3250">
        <v>678</v>
      </c>
      <c r="E199" s="3250">
        <v>678</v>
      </c>
      <c r="F199" s="3250">
        <v>678</v>
      </c>
      <c r="G199" s="1698"/>
    </row>
    <row r="200" spans="1:7" ht="15.75">
      <c r="A200" s="3252">
        <v>6800</v>
      </c>
      <c r="B200" s="3252">
        <v>6850</v>
      </c>
      <c r="C200" s="3250">
        <v>683</v>
      </c>
      <c r="D200" s="3250">
        <v>683</v>
      </c>
      <c r="E200" s="3250">
        <v>683</v>
      </c>
      <c r="F200" s="3250">
        <v>683</v>
      </c>
      <c r="G200" s="1698"/>
    </row>
    <row r="201" spans="1:7" ht="15.75">
      <c r="A201" s="3252">
        <v>6850</v>
      </c>
      <c r="B201" s="3252">
        <v>6900</v>
      </c>
      <c r="C201" s="3250">
        <v>688</v>
      </c>
      <c r="D201" s="3250">
        <v>688</v>
      </c>
      <c r="E201" s="3250">
        <v>688</v>
      </c>
      <c r="F201" s="3250">
        <v>688</v>
      </c>
      <c r="G201" s="1698"/>
    </row>
    <row r="202" spans="1:7" ht="15.75">
      <c r="A202" s="3252">
        <v>6900</v>
      </c>
      <c r="B202" s="3252">
        <v>6950</v>
      </c>
      <c r="C202" s="3250">
        <v>693</v>
      </c>
      <c r="D202" s="3250">
        <v>693</v>
      </c>
      <c r="E202" s="3250">
        <v>693</v>
      </c>
      <c r="F202" s="3250">
        <v>693</v>
      </c>
      <c r="G202" s="1698"/>
    </row>
    <row r="203" spans="1:7" ht="15.75">
      <c r="A203" s="3252">
        <v>6950</v>
      </c>
      <c r="B203" s="3252">
        <v>7000</v>
      </c>
      <c r="C203" s="3250">
        <v>698</v>
      </c>
      <c r="D203" s="3250">
        <v>698</v>
      </c>
      <c r="E203" s="3250">
        <v>698</v>
      </c>
      <c r="F203" s="3250">
        <v>698</v>
      </c>
      <c r="G203" s="1698"/>
    </row>
    <row r="204" spans="1:7" ht="15.75">
      <c r="A204" s="3252">
        <v>7000</v>
      </c>
      <c r="B204" s="3252">
        <v>7050</v>
      </c>
      <c r="C204" s="3250">
        <v>703</v>
      </c>
      <c r="D204" s="3250">
        <v>703</v>
      </c>
      <c r="E204" s="3250">
        <v>703</v>
      </c>
      <c r="F204" s="3250">
        <v>703</v>
      </c>
      <c r="G204" s="1698"/>
    </row>
    <row r="205" spans="1:7" ht="15.75">
      <c r="A205" s="3252">
        <v>7050</v>
      </c>
      <c r="B205" s="3252">
        <v>7100</v>
      </c>
      <c r="C205" s="3250">
        <v>708</v>
      </c>
      <c r="D205" s="3250">
        <v>708</v>
      </c>
      <c r="E205" s="3250">
        <v>708</v>
      </c>
      <c r="F205" s="3250">
        <v>708</v>
      </c>
      <c r="G205" s="1698"/>
    </row>
    <row r="206" spans="1:7" ht="15.75">
      <c r="A206" s="3252">
        <v>7100</v>
      </c>
      <c r="B206" s="3252">
        <v>7150</v>
      </c>
      <c r="C206" s="3250">
        <v>713</v>
      </c>
      <c r="D206" s="3250">
        <v>713</v>
      </c>
      <c r="E206" s="3250">
        <v>713</v>
      </c>
      <c r="F206" s="3250">
        <v>713</v>
      </c>
      <c r="G206" s="1698"/>
    </row>
    <row r="207" spans="1:7" ht="15.75">
      <c r="A207" s="3252">
        <v>7150</v>
      </c>
      <c r="B207" s="3252">
        <v>7200</v>
      </c>
      <c r="C207" s="3250">
        <v>718</v>
      </c>
      <c r="D207" s="3250">
        <v>718</v>
      </c>
      <c r="E207" s="3250">
        <v>718</v>
      </c>
      <c r="F207" s="3250">
        <v>718</v>
      </c>
      <c r="G207" s="1698"/>
    </row>
    <row r="208" spans="1:7" ht="15.75">
      <c r="A208" s="3252">
        <v>7200</v>
      </c>
      <c r="B208" s="3252">
        <v>7250</v>
      </c>
      <c r="C208" s="3250">
        <v>723</v>
      </c>
      <c r="D208" s="3250">
        <v>723</v>
      </c>
      <c r="E208" s="3250">
        <v>723</v>
      </c>
      <c r="F208" s="3250">
        <v>723</v>
      </c>
      <c r="G208" s="1698"/>
    </row>
    <row r="209" spans="1:7" ht="15.75">
      <c r="A209" s="3252">
        <v>7250</v>
      </c>
      <c r="B209" s="3252">
        <v>7300</v>
      </c>
      <c r="C209" s="3250">
        <v>728</v>
      </c>
      <c r="D209" s="3250">
        <v>728</v>
      </c>
      <c r="E209" s="3250">
        <v>728</v>
      </c>
      <c r="F209" s="3250">
        <v>728</v>
      </c>
      <c r="G209" s="1698"/>
    </row>
    <row r="210" spans="1:7" ht="15.75">
      <c r="A210" s="3252">
        <v>7300</v>
      </c>
      <c r="B210" s="3252">
        <v>7350</v>
      </c>
      <c r="C210" s="3250">
        <v>733</v>
      </c>
      <c r="D210" s="3250">
        <v>733</v>
      </c>
      <c r="E210" s="3250">
        <v>733</v>
      </c>
      <c r="F210" s="3250">
        <v>733</v>
      </c>
      <c r="G210" s="1698"/>
    </row>
    <row r="211" spans="1:7" ht="15.75">
      <c r="A211" s="3252">
        <v>7350</v>
      </c>
      <c r="B211" s="3252">
        <v>7400</v>
      </c>
      <c r="C211" s="3250">
        <v>738</v>
      </c>
      <c r="D211" s="3250">
        <v>738</v>
      </c>
      <c r="E211" s="3250">
        <v>738</v>
      </c>
      <c r="F211" s="3250">
        <v>738</v>
      </c>
      <c r="G211" s="1698"/>
    </row>
    <row r="212" spans="1:7" ht="15.75">
      <c r="A212" s="3252">
        <v>7400</v>
      </c>
      <c r="B212" s="3252">
        <v>7450</v>
      </c>
      <c r="C212" s="3250">
        <v>743</v>
      </c>
      <c r="D212" s="3250">
        <v>743</v>
      </c>
      <c r="E212" s="3250">
        <v>743</v>
      </c>
      <c r="F212" s="3250">
        <v>743</v>
      </c>
      <c r="G212" s="1698"/>
    </row>
    <row r="213" spans="1:7" ht="15.75">
      <c r="A213" s="3252">
        <v>7450</v>
      </c>
      <c r="B213" s="3252">
        <v>7500</v>
      </c>
      <c r="C213" s="3250">
        <v>748</v>
      </c>
      <c r="D213" s="3250">
        <v>748</v>
      </c>
      <c r="E213" s="3250">
        <v>748</v>
      </c>
      <c r="F213" s="3250">
        <v>748</v>
      </c>
      <c r="G213" s="1698"/>
    </row>
    <row r="214" spans="1:7" ht="15.75">
      <c r="A214" s="3252">
        <v>7500</v>
      </c>
      <c r="B214" s="3252">
        <v>7550</v>
      </c>
      <c r="C214" s="3250">
        <v>753</v>
      </c>
      <c r="D214" s="3250">
        <v>753</v>
      </c>
      <c r="E214" s="3250">
        <v>753</v>
      </c>
      <c r="F214" s="3250">
        <v>753</v>
      </c>
      <c r="G214" s="1698"/>
    </row>
    <row r="215" spans="1:7" ht="15.75">
      <c r="A215" s="3252">
        <v>7550</v>
      </c>
      <c r="B215" s="3252">
        <v>7600</v>
      </c>
      <c r="C215" s="3250">
        <v>758</v>
      </c>
      <c r="D215" s="3250">
        <v>758</v>
      </c>
      <c r="E215" s="3250">
        <v>758</v>
      </c>
      <c r="F215" s="3250">
        <v>758</v>
      </c>
      <c r="G215" s="1698"/>
    </row>
    <row r="216" spans="1:7" ht="15.75">
      <c r="A216" s="3252">
        <v>7600</v>
      </c>
      <c r="B216" s="3252">
        <v>7650</v>
      </c>
      <c r="C216" s="3250">
        <v>763</v>
      </c>
      <c r="D216" s="3250">
        <v>763</v>
      </c>
      <c r="E216" s="3250">
        <v>763</v>
      </c>
      <c r="F216" s="3250">
        <v>763</v>
      </c>
      <c r="G216" s="1698"/>
    </row>
    <row r="217" spans="1:7" ht="15.75">
      <c r="A217" s="3252">
        <v>7650</v>
      </c>
      <c r="B217" s="3252">
        <v>7700</v>
      </c>
      <c r="C217" s="3250">
        <v>768</v>
      </c>
      <c r="D217" s="3250">
        <v>768</v>
      </c>
      <c r="E217" s="3250">
        <v>768</v>
      </c>
      <c r="F217" s="3250">
        <v>768</v>
      </c>
      <c r="G217" s="1698"/>
    </row>
    <row r="218" spans="1:7" ht="15.75">
      <c r="A218" s="3252">
        <v>7700</v>
      </c>
      <c r="B218" s="3252">
        <v>7750</v>
      </c>
      <c r="C218" s="3250">
        <v>773</v>
      </c>
      <c r="D218" s="3250">
        <v>773</v>
      </c>
      <c r="E218" s="3250">
        <v>773</v>
      </c>
      <c r="F218" s="3250">
        <v>773</v>
      </c>
      <c r="G218" s="1698"/>
    </row>
    <row r="219" spans="1:7" ht="15.75">
      <c r="A219" s="3252">
        <v>7750</v>
      </c>
      <c r="B219" s="3252">
        <v>7800</v>
      </c>
      <c r="C219" s="3250">
        <v>778</v>
      </c>
      <c r="D219" s="3250">
        <v>778</v>
      </c>
      <c r="E219" s="3250">
        <v>778</v>
      </c>
      <c r="F219" s="3250">
        <v>778</v>
      </c>
      <c r="G219" s="1698"/>
    </row>
    <row r="220" spans="1:7" ht="15.75">
      <c r="A220" s="3252">
        <v>7800</v>
      </c>
      <c r="B220" s="3252">
        <v>7850</v>
      </c>
      <c r="C220" s="3250">
        <v>783</v>
      </c>
      <c r="D220" s="3250">
        <v>783</v>
      </c>
      <c r="E220" s="3250">
        <v>783</v>
      </c>
      <c r="F220" s="3250">
        <v>783</v>
      </c>
      <c r="G220" s="1698"/>
    </row>
    <row r="221" spans="1:7" ht="15.75">
      <c r="A221" s="3252">
        <v>7850</v>
      </c>
      <c r="B221" s="3252">
        <v>7900</v>
      </c>
      <c r="C221" s="3250">
        <v>788</v>
      </c>
      <c r="D221" s="3250">
        <v>788</v>
      </c>
      <c r="E221" s="3250">
        <v>788</v>
      </c>
      <c r="F221" s="3250">
        <v>788</v>
      </c>
      <c r="G221" s="1698"/>
    </row>
    <row r="222" spans="1:7" ht="15.75">
      <c r="A222" s="3252">
        <v>7900</v>
      </c>
      <c r="B222" s="3252">
        <v>7950</v>
      </c>
      <c r="C222" s="3250">
        <v>793</v>
      </c>
      <c r="D222" s="3250">
        <v>793</v>
      </c>
      <c r="E222" s="3250">
        <v>793</v>
      </c>
      <c r="F222" s="3250">
        <v>793</v>
      </c>
      <c r="G222" s="1698"/>
    </row>
    <row r="223" spans="1:7" ht="15.75">
      <c r="A223" s="3252">
        <v>7950</v>
      </c>
      <c r="B223" s="3252">
        <v>8000</v>
      </c>
      <c r="C223" s="3250">
        <v>798</v>
      </c>
      <c r="D223" s="3250">
        <v>798</v>
      </c>
      <c r="E223" s="3250">
        <v>798</v>
      </c>
      <c r="F223" s="3250">
        <v>798</v>
      </c>
      <c r="G223" s="1698"/>
    </row>
    <row r="224" spans="1:7" ht="15.75">
      <c r="A224" s="3252">
        <v>8000</v>
      </c>
      <c r="B224" s="3252">
        <v>8050</v>
      </c>
      <c r="C224" s="3250">
        <v>803</v>
      </c>
      <c r="D224" s="3250">
        <v>803</v>
      </c>
      <c r="E224" s="3250">
        <v>803</v>
      </c>
      <c r="F224" s="3250">
        <v>803</v>
      </c>
      <c r="G224" s="1698"/>
    </row>
    <row r="225" spans="1:7" ht="15.75">
      <c r="A225" s="3252">
        <v>8050</v>
      </c>
      <c r="B225" s="3252">
        <v>8100</v>
      </c>
      <c r="C225" s="3250">
        <v>808</v>
      </c>
      <c r="D225" s="3250">
        <v>808</v>
      </c>
      <c r="E225" s="3250">
        <v>808</v>
      </c>
      <c r="F225" s="3250">
        <v>808</v>
      </c>
      <c r="G225" s="1698"/>
    </row>
    <row r="226" spans="1:7" ht="15.75">
      <c r="A226" s="3252">
        <v>8100</v>
      </c>
      <c r="B226" s="3252">
        <v>8150</v>
      </c>
      <c r="C226" s="3250">
        <v>813</v>
      </c>
      <c r="D226" s="3250">
        <v>813</v>
      </c>
      <c r="E226" s="3250">
        <v>813</v>
      </c>
      <c r="F226" s="3250">
        <v>813</v>
      </c>
      <c r="G226" s="1698"/>
    </row>
    <row r="227" spans="1:7" ht="15.75">
      <c r="A227" s="3252">
        <v>8150</v>
      </c>
      <c r="B227" s="3252">
        <v>8200</v>
      </c>
      <c r="C227" s="3250">
        <v>818</v>
      </c>
      <c r="D227" s="3250">
        <v>818</v>
      </c>
      <c r="E227" s="3250">
        <v>818</v>
      </c>
      <c r="F227" s="3250">
        <v>818</v>
      </c>
      <c r="G227" s="1698"/>
    </row>
    <row r="228" spans="1:7" ht="15.75">
      <c r="A228" s="3252">
        <v>8200</v>
      </c>
      <c r="B228" s="3252">
        <v>8250</v>
      </c>
      <c r="C228" s="3250">
        <v>823</v>
      </c>
      <c r="D228" s="3250">
        <v>823</v>
      </c>
      <c r="E228" s="3250">
        <v>823</v>
      </c>
      <c r="F228" s="3250">
        <v>823</v>
      </c>
      <c r="G228" s="1698"/>
    </row>
    <row r="229" spans="1:7" ht="15.75">
      <c r="A229" s="3252">
        <v>8250</v>
      </c>
      <c r="B229" s="3252">
        <v>8300</v>
      </c>
      <c r="C229" s="3250">
        <v>828</v>
      </c>
      <c r="D229" s="3250">
        <v>828</v>
      </c>
      <c r="E229" s="3250">
        <v>828</v>
      </c>
      <c r="F229" s="3250">
        <v>828</v>
      </c>
      <c r="G229" s="1698"/>
    </row>
    <row r="230" spans="1:7" ht="15.75">
      <c r="A230" s="3252">
        <v>8300</v>
      </c>
      <c r="B230" s="3252">
        <v>8350</v>
      </c>
      <c r="C230" s="3250">
        <v>833</v>
      </c>
      <c r="D230" s="3250">
        <v>833</v>
      </c>
      <c r="E230" s="3250">
        <v>833</v>
      </c>
      <c r="F230" s="3250">
        <v>833</v>
      </c>
      <c r="G230" s="1698"/>
    </row>
    <row r="231" spans="1:7" ht="15.75">
      <c r="A231" s="3252">
        <v>8350</v>
      </c>
      <c r="B231" s="3252">
        <v>8400</v>
      </c>
      <c r="C231" s="3250">
        <v>838</v>
      </c>
      <c r="D231" s="3250">
        <v>838</v>
      </c>
      <c r="E231" s="3250">
        <v>838</v>
      </c>
      <c r="F231" s="3250">
        <v>838</v>
      </c>
      <c r="G231" s="1698"/>
    </row>
    <row r="232" spans="1:7" ht="15.75">
      <c r="A232" s="3252">
        <v>8400</v>
      </c>
      <c r="B232" s="3252">
        <v>8450</v>
      </c>
      <c r="C232" s="3250">
        <v>843</v>
      </c>
      <c r="D232" s="3250">
        <v>843</v>
      </c>
      <c r="E232" s="3250">
        <v>843</v>
      </c>
      <c r="F232" s="3250">
        <v>843</v>
      </c>
      <c r="G232" s="1698"/>
    </row>
    <row r="233" spans="1:7" ht="15.75">
      <c r="A233" s="3252">
        <v>8450</v>
      </c>
      <c r="B233" s="3252">
        <v>8500</v>
      </c>
      <c r="C233" s="3250">
        <v>848</v>
      </c>
      <c r="D233" s="3250">
        <v>848</v>
      </c>
      <c r="E233" s="3250">
        <v>848</v>
      </c>
      <c r="F233" s="3250">
        <v>848</v>
      </c>
      <c r="G233" s="1698"/>
    </row>
    <row r="234" spans="1:7" ht="15.75">
      <c r="A234" s="3252">
        <v>8500</v>
      </c>
      <c r="B234" s="3252">
        <v>8550</v>
      </c>
      <c r="C234" s="3250">
        <v>853</v>
      </c>
      <c r="D234" s="3250">
        <v>853</v>
      </c>
      <c r="E234" s="3250">
        <v>853</v>
      </c>
      <c r="F234" s="3250">
        <v>853</v>
      </c>
      <c r="G234" s="1698"/>
    </row>
    <row r="235" spans="1:7" ht="15.75">
      <c r="A235" s="3252">
        <v>8550</v>
      </c>
      <c r="B235" s="3252">
        <v>8600</v>
      </c>
      <c r="C235" s="3250">
        <v>858</v>
      </c>
      <c r="D235" s="3250">
        <v>858</v>
      </c>
      <c r="E235" s="3250">
        <v>858</v>
      </c>
      <c r="F235" s="3250">
        <v>858</v>
      </c>
      <c r="G235" s="1698"/>
    </row>
    <row r="236" spans="1:7" ht="15.75">
      <c r="A236" s="3252">
        <v>8600</v>
      </c>
      <c r="B236" s="3252">
        <v>8650</v>
      </c>
      <c r="C236" s="3250">
        <v>863</v>
      </c>
      <c r="D236" s="3250">
        <v>863</v>
      </c>
      <c r="E236" s="3250">
        <v>863</v>
      </c>
      <c r="F236" s="3250">
        <v>863</v>
      </c>
      <c r="G236" s="1698"/>
    </row>
    <row r="237" spans="1:7" ht="15.75">
      <c r="A237" s="3252">
        <v>8650</v>
      </c>
      <c r="B237" s="3252">
        <v>8700</v>
      </c>
      <c r="C237" s="3250">
        <v>868</v>
      </c>
      <c r="D237" s="3250">
        <v>868</v>
      </c>
      <c r="E237" s="3250">
        <v>868</v>
      </c>
      <c r="F237" s="3250">
        <v>868</v>
      </c>
      <c r="G237" s="1698"/>
    </row>
    <row r="238" spans="1:7" ht="15.75">
      <c r="A238" s="3252">
        <v>8700</v>
      </c>
      <c r="B238" s="3252">
        <v>8750</v>
      </c>
      <c r="C238" s="3250">
        <v>873</v>
      </c>
      <c r="D238" s="3250">
        <v>873</v>
      </c>
      <c r="E238" s="3250">
        <v>873</v>
      </c>
      <c r="F238" s="3250">
        <v>873</v>
      </c>
      <c r="G238" s="1698"/>
    </row>
    <row r="239" spans="1:7" ht="15.75">
      <c r="A239" s="3252">
        <v>8750</v>
      </c>
      <c r="B239" s="3252">
        <v>8800</v>
      </c>
      <c r="C239" s="3250">
        <v>878</v>
      </c>
      <c r="D239" s="3250">
        <v>878</v>
      </c>
      <c r="E239" s="3250">
        <v>878</v>
      </c>
      <c r="F239" s="3250">
        <v>878</v>
      </c>
      <c r="G239" s="1698"/>
    </row>
    <row r="240" spans="1:7" ht="15.75">
      <c r="A240" s="3252">
        <v>8800</v>
      </c>
      <c r="B240" s="3252">
        <v>8850</v>
      </c>
      <c r="C240" s="3250">
        <v>883</v>
      </c>
      <c r="D240" s="3250">
        <v>883</v>
      </c>
      <c r="E240" s="3250">
        <v>883</v>
      </c>
      <c r="F240" s="3250">
        <v>883</v>
      </c>
      <c r="G240" s="1698"/>
    </row>
    <row r="241" spans="1:7" ht="15.75">
      <c r="A241" s="3252">
        <v>8850</v>
      </c>
      <c r="B241" s="3252">
        <v>8900</v>
      </c>
      <c r="C241" s="3250">
        <v>888</v>
      </c>
      <c r="D241" s="3250">
        <v>888</v>
      </c>
      <c r="E241" s="3250">
        <v>888</v>
      </c>
      <c r="F241" s="3250">
        <v>888</v>
      </c>
      <c r="G241" s="1698"/>
    </row>
    <row r="242" spans="1:7" ht="15.75">
      <c r="A242" s="3252">
        <v>8900</v>
      </c>
      <c r="B242" s="3252">
        <v>8950</v>
      </c>
      <c r="C242" s="3250">
        <v>893</v>
      </c>
      <c r="D242" s="3250">
        <v>893</v>
      </c>
      <c r="E242" s="3250">
        <v>893</v>
      </c>
      <c r="F242" s="3250">
        <v>893</v>
      </c>
      <c r="G242" s="1698"/>
    </row>
    <row r="243" spans="1:7" ht="15.75">
      <c r="A243" s="3252">
        <v>8950</v>
      </c>
      <c r="B243" s="3252">
        <v>9000</v>
      </c>
      <c r="C243" s="3250">
        <v>898</v>
      </c>
      <c r="D243" s="3250">
        <v>898</v>
      </c>
      <c r="E243" s="3250">
        <v>898</v>
      </c>
      <c r="F243" s="3250">
        <v>898</v>
      </c>
      <c r="G243" s="1698"/>
    </row>
    <row r="244" spans="1:7" ht="15.75">
      <c r="A244" s="3252">
        <v>9000</v>
      </c>
      <c r="B244" s="3252">
        <v>9050</v>
      </c>
      <c r="C244" s="3250">
        <v>903</v>
      </c>
      <c r="D244" s="3250">
        <v>903</v>
      </c>
      <c r="E244" s="3250">
        <v>903</v>
      </c>
      <c r="F244" s="3250">
        <v>903</v>
      </c>
      <c r="G244" s="1698"/>
    </row>
    <row r="245" spans="1:7" ht="15.75">
      <c r="A245" s="3252">
        <v>9050</v>
      </c>
      <c r="B245" s="3252">
        <v>9100</v>
      </c>
      <c r="C245" s="3250">
        <v>908</v>
      </c>
      <c r="D245" s="3250">
        <v>908</v>
      </c>
      <c r="E245" s="3250">
        <v>908</v>
      </c>
      <c r="F245" s="3250">
        <v>908</v>
      </c>
      <c r="G245" s="1698"/>
    </row>
    <row r="246" spans="1:7" ht="15.75">
      <c r="A246" s="3252">
        <v>9100</v>
      </c>
      <c r="B246" s="3252">
        <v>9150</v>
      </c>
      <c r="C246" s="3250">
        <v>915</v>
      </c>
      <c r="D246" s="3250">
        <v>913</v>
      </c>
      <c r="E246" s="3250">
        <v>915</v>
      </c>
      <c r="F246" s="3250">
        <v>913</v>
      </c>
      <c r="G246" s="1698"/>
    </row>
    <row r="247" spans="1:7" ht="15.75">
      <c r="A247" s="3252">
        <v>9150</v>
      </c>
      <c r="B247" s="3252">
        <v>9200</v>
      </c>
      <c r="C247" s="3250">
        <v>923</v>
      </c>
      <c r="D247" s="3250">
        <v>918</v>
      </c>
      <c r="E247" s="3250">
        <v>923</v>
      </c>
      <c r="F247" s="3250">
        <v>918</v>
      </c>
      <c r="G247" s="1698"/>
    </row>
    <row r="248" spans="1:7" ht="15.75">
      <c r="A248" s="3252">
        <v>9200</v>
      </c>
      <c r="B248" s="3252">
        <v>9250</v>
      </c>
      <c r="C248" s="3250">
        <v>930</v>
      </c>
      <c r="D248" s="3250">
        <v>923</v>
      </c>
      <c r="E248" s="3250">
        <v>930</v>
      </c>
      <c r="F248" s="3250">
        <v>923</v>
      </c>
      <c r="G248" s="1698"/>
    </row>
    <row r="249" spans="1:7" ht="15.75">
      <c r="A249" s="3252">
        <v>9250</v>
      </c>
      <c r="B249" s="3252">
        <v>9300</v>
      </c>
      <c r="C249" s="3250">
        <v>938</v>
      </c>
      <c r="D249" s="3250">
        <v>928</v>
      </c>
      <c r="E249" s="3250">
        <v>938</v>
      </c>
      <c r="F249" s="3250">
        <v>928</v>
      </c>
      <c r="G249" s="1698"/>
    </row>
    <row r="250" spans="1:7" ht="15.75">
      <c r="A250" s="3252">
        <v>9300</v>
      </c>
      <c r="B250" s="3252">
        <v>9350</v>
      </c>
      <c r="C250" s="3250">
        <v>945</v>
      </c>
      <c r="D250" s="3250">
        <v>933</v>
      </c>
      <c r="E250" s="3250">
        <v>945</v>
      </c>
      <c r="F250" s="3250">
        <v>933</v>
      </c>
      <c r="G250" s="1698"/>
    </row>
    <row r="251" spans="1:7" ht="15.75">
      <c r="A251" s="3252">
        <v>9350</v>
      </c>
      <c r="B251" s="3252">
        <v>9400</v>
      </c>
      <c r="C251" s="3250">
        <v>953</v>
      </c>
      <c r="D251" s="3250">
        <v>938</v>
      </c>
      <c r="E251" s="3250">
        <v>953</v>
      </c>
      <c r="F251" s="3250">
        <v>938</v>
      </c>
      <c r="G251" s="1698"/>
    </row>
    <row r="252" spans="1:7" ht="15.75">
      <c r="A252" s="3252">
        <v>9400</v>
      </c>
      <c r="B252" s="3252">
        <v>9450</v>
      </c>
      <c r="C252" s="3250">
        <v>960</v>
      </c>
      <c r="D252" s="3250">
        <v>943</v>
      </c>
      <c r="E252" s="3250">
        <v>960</v>
      </c>
      <c r="F252" s="3250">
        <v>943</v>
      </c>
      <c r="G252" s="1698"/>
    </row>
    <row r="253" spans="1:7" ht="15.75">
      <c r="A253" s="3252">
        <v>9450</v>
      </c>
      <c r="B253" s="3252">
        <v>9500</v>
      </c>
      <c r="C253" s="3250">
        <v>968</v>
      </c>
      <c r="D253" s="3250">
        <v>948</v>
      </c>
      <c r="E253" s="3250">
        <v>968</v>
      </c>
      <c r="F253" s="3250">
        <v>948</v>
      </c>
      <c r="G253" s="1698"/>
    </row>
    <row r="254" spans="1:7" ht="15.75">
      <c r="A254" s="3252">
        <v>9500</v>
      </c>
      <c r="B254" s="3252">
        <v>9550</v>
      </c>
      <c r="C254" s="3250">
        <v>975</v>
      </c>
      <c r="D254" s="3250">
        <v>953</v>
      </c>
      <c r="E254" s="3250">
        <v>975</v>
      </c>
      <c r="F254" s="3250">
        <v>953</v>
      </c>
      <c r="G254" s="1698"/>
    </row>
    <row r="255" spans="1:7" ht="15.75">
      <c r="A255" s="3252">
        <v>9550</v>
      </c>
      <c r="B255" s="3252">
        <v>9600</v>
      </c>
      <c r="C255" s="3250">
        <v>983</v>
      </c>
      <c r="D255" s="3250">
        <v>958</v>
      </c>
      <c r="E255" s="3250">
        <v>983</v>
      </c>
      <c r="F255" s="3250">
        <v>958</v>
      </c>
      <c r="G255" s="1698"/>
    </row>
    <row r="256" spans="1:7" ht="15.75">
      <c r="A256" s="3252">
        <v>9600</v>
      </c>
      <c r="B256" s="3252">
        <v>9650</v>
      </c>
      <c r="C256" s="3250">
        <v>990</v>
      </c>
      <c r="D256" s="3250">
        <v>963</v>
      </c>
      <c r="E256" s="3250">
        <v>990</v>
      </c>
      <c r="F256" s="3250">
        <v>963</v>
      </c>
      <c r="G256" s="1698"/>
    </row>
    <row r="257" spans="1:7" ht="15.75">
      <c r="A257" s="3252">
        <v>9650</v>
      </c>
      <c r="B257" s="3252">
        <v>9700</v>
      </c>
      <c r="C257" s="3250">
        <v>998</v>
      </c>
      <c r="D257" s="3250">
        <v>968</v>
      </c>
      <c r="E257" s="3250">
        <v>998</v>
      </c>
      <c r="F257" s="3250">
        <v>968</v>
      </c>
      <c r="G257" s="1698"/>
    </row>
    <row r="258" spans="1:7" ht="15.75">
      <c r="A258" s="3252">
        <v>9700</v>
      </c>
      <c r="B258" s="3252">
        <v>9750</v>
      </c>
      <c r="C258" s="3252">
        <v>1005</v>
      </c>
      <c r="D258" s="3250">
        <v>973</v>
      </c>
      <c r="E258" s="3252">
        <v>1005</v>
      </c>
      <c r="F258" s="3250">
        <v>973</v>
      </c>
      <c r="G258" s="1698"/>
    </row>
    <row r="259" spans="1:7" ht="15.75">
      <c r="A259" s="3252">
        <v>9750</v>
      </c>
      <c r="B259" s="3252">
        <v>9800</v>
      </c>
      <c r="C259" s="3252">
        <v>1013</v>
      </c>
      <c r="D259" s="3250">
        <v>978</v>
      </c>
      <c r="E259" s="3252">
        <v>1013</v>
      </c>
      <c r="F259" s="3250">
        <v>978</v>
      </c>
      <c r="G259" s="1698"/>
    </row>
    <row r="260" spans="1:7" ht="15.75">
      <c r="A260" s="3252">
        <v>9800</v>
      </c>
      <c r="B260" s="3252">
        <v>9850</v>
      </c>
      <c r="C260" s="3252">
        <v>1020</v>
      </c>
      <c r="D260" s="3250">
        <v>983</v>
      </c>
      <c r="E260" s="3252">
        <v>1020</v>
      </c>
      <c r="F260" s="3250">
        <v>983</v>
      </c>
      <c r="G260" s="1698"/>
    </row>
    <row r="261" spans="1:7" ht="15.75">
      <c r="A261" s="3252">
        <v>9850</v>
      </c>
      <c r="B261" s="3252">
        <v>9900</v>
      </c>
      <c r="C261" s="3252">
        <v>1028</v>
      </c>
      <c r="D261" s="3250">
        <v>988</v>
      </c>
      <c r="E261" s="3252">
        <v>1028</v>
      </c>
      <c r="F261" s="3250">
        <v>988</v>
      </c>
      <c r="G261" s="1698"/>
    </row>
    <row r="262" spans="1:7" ht="15.75">
      <c r="A262" s="3252">
        <v>9900</v>
      </c>
      <c r="B262" s="3252">
        <v>9950</v>
      </c>
      <c r="C262" s="3252">
        <v>1035</v>
      </c>
      <c r="D262" s="3250">
        <v>993</v>
      </c>
      <c r="E262" s="3252">
        <v>1035</v>
      </c>
      <c r="F262" s="3250">
        <v>993</v>
      </c>
      <c r="G262" s="1698"/>
    </row>
    <row r="263" spans="1:7" ht="15.75">
      <c r="A263" s="3252">
        <v>9950</v>
      </c>
      <c r="B263" s="3252">
        <v>10000</v>
      </c>
      <c r="C263" s="3252">
        <v>1043</v>
      </c>
      <c r="D263" s="3250">
        <v>998</v>
      </c>
      <c r="E263" s="3252">
        <v>1043</v>
      </c>
      <c r="F263" s="3250">
        <v>998</v>
      </c>
      <c r="G263" s="1698"/>
    </row>
    <row r="264" spans="1:7" ht="15.75">
      <c r="A264" s="3252">
        <v>10000</v>
      </c>
      <c r="B264" s="3252">
        <v>10050</v>
      </c>
      <c r="C264" s="3252">
        <v>1050</v>
      </c>
      <c r="D264" s="3252">
        <v>1003</v>
      </c>
      <c r="E264" s="3252">
        <v>1050</v>
      </c>
      <c r="F264" s="3252">
        <v>1003</v>
      </c>
      <c r="G264" s="1698"/>
    </row>
    <row r="265" spans="1:7" ht="15.75">
      <c r="A265" s="3252">
        <v>10050</v>
      </c>
      <c r="B265" s="3252">
        <v>10100</v>
      </c>
      <c r="C265" s="3252">
        <v>1058</v>
      </c>
      <c r="D265" s="3252">
        <v>1008</v>
      </c>
      <c r="E265" s="3252">
        <v>1058</v>
      </c>
      <c r="F265" s="3252">
        <v>1008</v>
      </c>
      <c r="G265" s="1698"/>
    </row>
    <row r="266" spans="1:7" ht="15.75">
      <c r="A266" s="3252">
        <v>10100</v>
      </c>
      <c r="B266" s="3252">
        <v>10150</v>
      </c>
      <c r="C266" s="3252">
        <v>1065</v>
      </c>
      <c r="D266" s="3252">
        <v>1013</v>
      </c>
      <c r="E266" s="3252">
        <v>1065</v>
      </c>
      <c r="F266" s="3252">
        <v>1013</v>
      </c>
      <c r="G266" s="1698"/>
    </row>
    <row r="267" spans="1:7" ht="15.75">
      <c r="A267" s="3252">
        <v>10150</v>
      </c>
      <c r="B267" s="3252">
        <v>10200</v>
      </c>
      <c r="C267" s="3252">
        <v>1073</v>
      </c>
      <c r="D267" s="3252">
        <v>1018</v>
      </c>
      <c r="E267" s="3252">
        <v>1073</v>
      </c>
      <c r="F267" s="3252">
        <v>1018</v>
      </c>
      <c r="G267" s="1698"/>
    </row>
    <row r="268" spans="1:7" ht="15.75">
      <c r="A268" s="3252">
        <v>10200</v>
      </c>
      <c r="B268" s="3252">
        <v>10250</v>
      </c>
      <c r="C268" s="3252">
        <v>1080</v>
      </c>
      <c r="D268" s="3252">
        <v>1023</v>
      </c>
      <c r="E268" s="3252">
        <v>1080</v>
      </c>
      <c r="F268" s="3252">
        <v>1023</v>
      </c>
      <c r="G268" s="1698"/>
    </row>
    <row r="269" spans="1:7" ht="15.75">
      <c r="A269" s="3252">
        <v>10250</v>
      </c>
      <c r="B269" s="3252">
        <v>10300</v>
      </c>
      <c r="C269" s="3252">
        <v>1088</v>
      </c>
      <c r="D269" s="3252">
        <v>1028</v>
      </c>
      <c r="E269" s="3252">
        <v>1088</v>
      </c>
      <c r="F269" s="3252">
        <v>1028</v>
      </c>
      <c r="G269" s="1698"/>
    </row>
    <row r="270" spans="1:7" ht="15.75">
      <c r="A270" s="3252">
        <v>10300</v>
      </c>
      <c r="B270" s="3252">
        <v>10350</v>
      </c>
      <c r="C270" s="3252">
        <v>1095</v>
      </c>
      <c r="D270" s="3252">
        <v>1033</v>
      </c>
      <c r="E270" s="3252">
        <v>1095</v>
      </c>
      <c r="F270" s="3252">
        <v>1033</v>
      </c>
      <c r="G270" s="1698"/>
    </row>
    <row r="271" spans="1:7" ht="15.75">
      <c r="A271" s="3252">
        <v>10350</v>
      </c>
      <c r="B271" s="3252">
        <v>10400</v>
      </c>
      <c r="C271" s="3252">
        <v>1103</v>
      </c>
      <c r="D271" s="3252">
        <v>1038</v>
      </c>
      <c r="E271" s="3252">
        <v>1103</v>
      </c>
      <c r="F271" s="3252">
        <v>1038</v>
      </c>
      <c r="G271" s="1698"/>
    </row>
    <row r="272" spans="1:7" ht="15.75">
      <c r="A272" s="3252">
        <v>10400</v>
      </c>
      <c r="B272" s="3252">
        <v>10450</v>
      </c>
      <c r="C272" s="3252">
        <v>1110</v>
      </c>
      <c r="D272" s="3252">
        <v>1043</v>
      </c>
      <c r="E272" s="3252">
        <v>1110</v>
      </c>
      <c r="F272" s="3252">
        <v>1043</v>
      </c>
      <c r="G272" s="1698"/>
    </row>
    <row r="273" spans="1:7" ht="15.75">
      <c r="A273" s="3252">
        <v>10450</v>
      </c>
      <c r="B273" s="3252">
        <v>10500</v>
      </c>
      <c r="C273" s="3252">
        <v>1118</v>
      </c>
      <c r="D273" s="3252">
        <v>1048</v>
      </c>
      <c r="E273" s="3252">
        <v>1118</v>
      </c>
      <c r="F273" s="3252">
        <v>1048</v>
      </c>
      <c r="G273" s="1698"/>
    </row>
    <row r="274" spans="1:7" ht="15.75">
      <c r="A274" s="3252">
        <v>10500</v>
      </c>
      <c r="B274" s="3252">
        <v>10550</v>
      </c>
      <c r="C274" s="3252">
        <v>1125</v>
      </c>
      <c r="D274" s="3252">
        <v>1053</v>
      </c>
      <c r="E274" s="3252">
        <v>1125</v>
      </c>
      <c r="F274" s="3252">
        <v>1053</v>
      </c>
      <c r="G274" s="1698"/>
    </row>
    <row r="275" spans="1:7" ht="15.75">
      <c r="A275" s="3252">
        <v>10550</v>
      </c>
      <c r="B275" s="3252">
        <v>10600</v>
      </c>
      <c r="C275" s="3252">
        <v>1133</v>
      </c>
      <c r="D275" s="3252">
        <v>1058</v>
      </c>
      <c r="E275" s="3252">
        <v>1133</v>
      </c>
      <c r="F275" s="3252">
        <v>1058</v>
      </c>
      <c r="G275" s="1698"/>
    </row>
    <row r="276" spans="1:7" ht="15.75">
      <c r="A276" s="3252">
        <v>10600</v>
      </c>
      <c r="B276" s="3252">
        <v>10650</v>
      </c>
      <c r="C276" s="3252">
        <v>1140</v>
      </c>
      <c r="D276" s="3252">
        <v>1063</v>
      </c>
      <c r="E276" s="3252">
        <v>1140</v>
      </c>
      <c r="F276" s="3252">
        <v>1063</v>
      </c>
      <c r="G276" s="1698"/>
    </row>
    <row r="277" spans="1:7" ht="15.75">
      <c r="A277" s="3252">
        <v>10650</v>
      </c>
      <c r="B277" s="3252">
        <v>10700</v>
      </c>
      <c r="C277" s="3252">
        <v>1148</v>
      </c>
      <c r="D277" s="3252">
        <v>1068</v>
      </c>
      <c r="E277" s="3252">
        <v>1148</v>
      </c>
      <c r="F277" s="3252">
        <v>1068</v>
      </c>
      <c r="G277" s="1698"/>
    </row>
    <row r="278" spans="1:7" ht="15.75">
      <c r="A278" s="3252">
        <v>10700</v>
      </c>
      <c r="B278" s="3252">
        <v>10750</v>
      </c>
      <c r="C278" s="3252">
        <v>1155</v>
      </c>
      <c r="D278" s="3252">
        <v>1073</v>
      </c>
      <c r="E278" s="3252">
        <v>1155</v>
      </c>
      <c r="F278" s="3252">
        <v>1073</v>
      </c>
      <c r="G278" s="1698"/>
    </row>
    <row r="279" spans="1:7" ht="15.75">
      <c r="A279" s="3252">
        <v>10750</v>
      </c>
      <c r="B279" s="3252">
        <v>10800</v>
      </c>
      <c r="C279" s="3252">
        <v>1163</v>
      </c>
      <c r="D279" s="3252">
        <v>1078</v>
      </c>
      <c r="E279" s="3252">
        <v>1163</v>
      </c>
      <c r="F279" s="3252">
        <v>1078</v>
      </c>
      <c r="G279" s="1698"/>
    </row>
    <row r="280" spans="1:7" ht="15.75">
      <c r="A280" s="3252">
        <v>10800</v>
      </c>
      <c r="B280" s="3252">
        <v>10850</v>
      </c>
      <c r="C280" s="3252">
        <v>1170</v>
      </c>
      <c r="D280" s="3252">
        <v>1083</v>
      </c>
      <c r="E280" s="3252">
        <v>1170</v>
      </c>
      <c r="F280" s="3252">
        <v>1083</v>
      </c>
      <c r="G280" s="1698"/>
    </row>
    <row r="281" spans="1:7" ht="15.75">
      <c r="A281" s="3252">
        <v>10850</v>
      </c>
      <c r="B281" s="3252">
        <v>10900</v>
      </c>
      <c r="C281" s="3252">
        <v>1178</v>
      </c>
      <c r="D281" s="3252">
        <v>1088</v>
      </c>
      <c r="E281" s="3252">
        <v>1178</v>
      </c>
      <c r="F281" s="3252">
        <v>1088</v>
      </c>
      <c r="G281" s="1698"/>
    </row>
    <row r="282" spans="1:7" ht="15.75">
      <c r="A282" s="3252">
        <v>10900</v>
      </c>
      <c r="B282" s="3252">
        <v>10950</v>
      </c>
      <c r="C282" s="3252">
        <v>1185</v>
      </c>
      <c r="D282" s="3252">
        <v>1093</v>
      </c>
      <c r="E282" s="3252">
        <v>1185</v>
      </c>
      <c r="F282" s="3252">
        <v>1093</v>
      </c>
      <c r="G282" s="1698"/>
    </row>
    <row r="283" spans="1:7" ht="15.75">
      <c r="A283" s="3252">
        <v>10950</v>
      </c>
      <c r="B283" s="3252">
        <v>11000</v>
      </c>
      <c r="C283" s="3252">
        <v>1193</v>
      </c>
      <c r="D283" s="3252">
        <v>1098</v>
      </c>
      <c r="E283" s="3252">
        <v>1193</v>
      </c>
      <c r="F283" s="3252">
        <v>1098</v>
      </c>
      <c r="G283" s="1698"/>
    </row>
    <row r="284" spans="1:7" ht="15.75">
      <c r="A284" s="3252">
        <v>11000</v>
      </c>
      <c r="B284" s="3252">
        <v>11050</v>
      </c>
      <c r="C284" s="3252">
        <v>1200</v>
      </c>
      <c r="D284" s="3252">
        <v>1103</v>
      </c>
      <c r="E284" s="3252">
        <v>1200</v>
      </c>
      <c r="F284" s="3252">
        <v>1103</v>
      </c>
      <c r="G284" s="1698"/>
    </row>
    <row r="285" spans="1:7" ht="15.75">
      <c r="A285" s="3252">
        <v>11050</v>
      </c>
      <c r="B285" s="3252">
        <v>11100</v>
      </c>
      <c r="C285" s="3252">
        <v>1208</v>
      </c>
      <c r="D285" s="3252">
        <v>1108</v>
      </c>
      <c r="E285" s="3252">
        <v>1208</v>
      </c>
      <c r="F285" s="3252">
        <v>1108</v>
      </c>
      <c r="G285" s="1698"/>
    </row>
    <row r="286" spans="1:7" ht="15.75">
      <c r="A286" s="3252">
        <v>11100</v>
      </c>
      <c r="B286" s="3252">
        <v>11150</v>
      </c>
      <c r="C286" s="3252">
        <v>1215</v>
      </c>
      <c r="D286" s="3252">
        <v>1113</v>
      </c>
      <c r="E286" s="3252">
        <v>1215</v>
      </c>
      <c r="F286" s="3252">
        <v>1113</v>
      </c>
      <c r="G286" s="1698"/>
    </row>
    <row r="287" spans="1:7" ht="15.75">
      <c r="A287" s="3252">
        <v>11150</v>
      </c>
      <c r="B287" s="3252">
        <v>11200</v>
      </c>
      <c r="C287" s="3252">
        <v>1223</v>
      </c>
      <c r="D287" s="3252">
        <v>1118</v>
      </c>
      <c r="E287" s="3252">
        <v>1223</v>
      </c>
      <c r="F287" s="3252">
        <v>1118</v>
      </c>
      <c r="G287" s="1698"/>
    </row>
    <row r="288" spans="1:7" ht="15.75">
      <c r="A288" s="3252">
        <v>11200</v>
      </c>
      <c r="B288" s="3252">
        <v>11250</v>
      </c>
      <c r="C288" s="3252">
        <v>1230</v>
      </c>
      <c r="D288" s="3252">
        <v>1123</v>
      </c>
      <c r="E288" s="3252">
        <v>1230</v>
      </c>
      <c r="F288" s="3252">
        <v>1123</v>
      </c>
      <c r="G288" s="1698"/>
    </row>
    <row r="289" spans="1:7" ht="15.75">
      <c r="A289" s="3252">
        <v>11250</v>
      </c>
      <c r="B289" s="3252">
        <v>11300</v>
      </c>
      <c r="C289" s="3252">
        <v>1238</v>
      </c>
      <c r="D289" s="3252">
        <v>1128</v>
      </c>
      <c r="E289" s="3252">
        <v>1238</v>
      </c>
      <c r="F289" s="3252">
        <v>1128</v>
      </c>
      <c r="G289" s="1698"/>
    </row>
    <row r="290" spans="1:7" ht="15.75">
      <c r="A290" s="3252">
        <v>11300</v>
      </c>
      <c r="B290" s="3252">
        <v>11350</v>
      </c>
      <c r="C290" s="3252">
        <v>1245</v>
      </c>
      <c r="D290" s="3252">
        <v>1133</v>
      </c>
      <c r="E290" s="3252">
        <v>1245</v>
      </c>
      <c r="F290" s="3252">
        <v>1133</v>
      </c>
      <c r="G290" s="1698"/>
    </row>
    <row r="291" spans="1:7" ht="15.75">
      <c r="A291" s="3252">
        <v>11350</v>
      </c>
      <c r="B291" s="3252">
        <v>11400</v>
      </c>
      <c r="C291" s="3252">
        <v>1253</v>
      </c>
      <c r="D291" s="3252">
        <v>1138</v>
      </c>
      <c r="E291" s="3252">
        <v>1253</v>
      </c>
      <c r="F291" s="3252">
        <v>1138</v>
      </c>
      <c r="G291" s="1698"/>
    </row>
    <row r="292" spans="1:7" ht="15.75">
      <c r="A292" s="3252">
        <v>11400</v>
      </c>
      <c r="B292" s="3252">
        <v>11450</v>
      </c>
      <c r="C292" s="3252">
        <v>1260</v>
      </c>
      <c r="D292" s="3252">
        <v>1143</v>
      </c>
      <c r="E292" s="3252">
        <v>1260</v>
      </c>
      <c r="F292" s="3252">
        <v>1143</v>
      </c>
      <c r="G292" s="1698"/>
    </row>
    <row r="293" spans="1:7" ht="15.75">
      <c r="A293" s="3252">
        <v>11450</v>
      </c>
      <c r="B293" s="3252">
        <v>11500</v>
      </c>
      <c r="C293" s="3252">
        <v>1268</v>
      </c>
      <c r="D293" s="3252">
        <v>1148</v>
      </c>
      <c r="E293" s="3252">
        <v>1268</v>
      </c>
      <c r="F293" s="3252">
        <v>1148</v>
      </c>
      <c r="G293" s="1698"/>
    </row>
    <row r="294" spans="1:7" ht="15.75">
      <c r="A294" s="3252">
        <v>11500</v>
      </c>
      <c r="B294" s="3252">
        <v>11550</v>
      </c>
      <c r="C294" s="3252">
        <v>1275</v>
      </c>
      <c r="D294" s="3252">
        <v>1153</v>
      </c>
      <c r="E294" s="3252">
        <v>1275</v>
      </c>
      <c r="F294" s="3252">
        <v>1153</v>
      </c>
      <c r="G294" s="1698"/>
    </row>
    <row r="295" spans="1:7" ht="15.75">
      <c r="A295" s="3252">
        <v>11550</v>
      </c>
      <c r="B295" s="3252">
        <v>11600</v>
      </c>
      <c r="C295" s="3252">
        <v>1283</v>
      </c>
      <c r="D295" s="3252">
        <v>1158</v>
      </c>
      <c r="E295" s="3252">
        <v>1283</v>
      </c>
      <c r="F295" s="3252">
        <v>1158</v>
      </c>
      <c r="G295" s="1698"/>
    </row>
    <row r="296" spans="1:7" ht="15.75">
      <c r="A296" s="3252">
        <v>11600</v>
      </c>
      <c r="B296" s="3252">
        <v>11650</v>
      </c>
      <c r="C296" s="3252">
        <v>1290</v>
      </c>
      <c r="D296" s="3252">
        <v>1163</v>
      </c>
      <c r="E296" s="3252">
        <v>1290</v>
      </c>
      <c r="F296" s="3252">
        <v>1163</v>
      </c>
      <c r="G296" s="1698"/>
    </row>
    <row r="297" spans="1:7" ht="15.75">
      <c r="A297" s="3252">
        <v>11650</v>
      </c>
      <c r="B297" s="3252">
        <v>11700</v>
      </c>
      <c r="C297" s="3252">
        <v>1298</v>
      </c>
      <c r="D297" s="3252">
        <v>1168</v>
      </c>
      <c r="E297" s="3252">
        <v>1298</v>
      </c>
      <c r="F297" s="3252">
        <v>1168</v>
      </c>
      <c r="G297" s="1698"/>
    </row>
    <row r="298" spans="1:7" ht="15.75">
      <c r="A298" s="3252">
        <v>11700</v>
      </c>
      <c r="B298" s="3252">
        <v>11750</v>
      </c>
      <c r="C298" s="3252">
        <v>1305</v>
      </c>
      <c r="D298" s="3252">
        <v>1173</v>
      </c>
      <c r="E298" s="3252">
        <v>1305</v>
      </c>
      <c r="F298" s="3252">
        <v>1173</v>
      </c>
      <c r="G298" s="1698"/>
    </row>
    <row r="299" spans="1:7" ht="15.75">
      <c r="A299" s="3252">
        <v>11750</v>
      </c>
      <c r="B299" s="3252">
        <v>11800</v>
      </c>
      <c r="C299" s="3252">
        <v>1313</v>
      </c>
      <c r="D299" s="3252">
        <v>1178</v>
      </c>
      <c r="E299" s="3252">
        <v>1313</v>
      </c>
      <c r="F299" s="3252">
        <v>1178</v>
      </c>
      <c r="G299" s="1698"/>
    </row>
    <row r="300" spans="1:7" ht="15.75">
      <c r="A300" s="3252">
        <v>11800</v>
      </c>
      <c r="B300" s="3252">
        <v>11850</v>
      </c>
      <c r="C300" s="3252">
        <v>1320</v>
      </c>
      <c r="D300" s="3252">
        <v>1183</v>
      </c>
      <c r="E300" s="3252">
        <v>1320</v>
      </c>
      <c r="F300" s="3252">
        <v>1183</v>
      </c>
      <c r="G300" s="1698"/>
    </row>
    <row r="301" spans="1:7" ht="15.75">
      <c r="A301" s="3252">
        <v>11850</v>
      </c>
      <c r="B301" s="3252">
        <v>11900</v>
      </c>
      <c r="C301" s="3252">
        <v>1328</v>
      </c>
      <c r="D301" s="3252">
        <v>1188</v>
      </c>
      <c r="E301" s="3252">
        <v>1328</v>
      </c>
      <c r="F301" s="3252">
        <v>1188</v>
      </c>
      <c r="G301" s="1698"/>
    </row>
    <row r="302" spans="1:7" ht="15.75">
      <c r="A302" s="3252">
        <v>11900</v>
      </c>
      <c r="B302" s="3252">
        <v>11950</v>
      </c>
      <c r="C302" s="3252">
        <v>1335</v>
      </c>
      <c r="D302" s="3252">
        <v>1193</v>
      </c>
      <c r="E302" s="3252">
        <v>1335</v>
      </c>
      <c r="F302" s="3252">
        <v>1193</v>
      </c>
      <c r="G302" s="1698"/>
    </row>
    <row r="303" spans="1:7" ht="15.75">
      <c r="A303" s="3252">
        <v>11950</v>
      </c>
      <c r="B303" s="3252">
        <v>12000</v>
      </c>
      <c r="C303" s="3252">
        <v>1343</v>
      </c>
      <c r="D303" s="3252">
        <v>1198</v>
      </c>
      <c r="E303" s="3252">
        <v>1343</v>
      </c>
      <c r="F303" s="3252">
        <v>1198</v>
      </c>
      <c r="G303" s="1698"/>
    </row>
    <row r="304" spans="1:7" ht="15.75">
      <c r="A304" s="3252">
        <v>12000</v>
      </c>
      <c r="B304" s="3252">
        <v>12050</v>
      </c>
      <c r="C304" s="3252">
        <v>1350</v>
      </c>
      <c r="D304" s="3252">
        <v>1203</v>
      </c>
      <c r="E304" s="3252">
        <v>1350</v>
      </c>
      <c r="F304" s="3252">
        <v>1203</v>
      </c>
      <c r="G304" s="1698"/>
    </row>
    <row r="305" spans="1:7" ht="15.75">
      <c r="A305" s="3252">
        <v>12050</v>
      </c>
      <c r="B305" s="3252">
        <v>12100</v>
      </c>
      <c r="C305" s="3252">
        <v>1358</v>
      </c>
      <c r="D305" s="3252">
        <v>1208</v>
      </c>
      <c r="E305" s="3252">
        <v>1358</v>
      </c>
      <c r="F305" s="3252">
        <v>1208</v>
      </c>
      <c r="G305" s="1698"/>
    </row>
    <row r="306" spans="1:7" ht="15.75">
      <c r="A306" s="3252">
        <v>12100</v>
      </c>
      <c r="B306" s="3252">
        <v>12150</v>
      </c>
      <c r="C306" s="3252">
        <v>1365</v>
      </c>
      <c r="D306" s="3252">
        <v>1213</v>
      </c>
      <c r="E306" s="3252">
        <v>1365</v>
      </c>
      <c r="F306" s="3252">
        <v>1213</v>
      </c>
      <c r="G306" s="1698"/>
    </row>
    <row r="307" spans="1:7" ht="15.75">
      <c r="A307" s="3252">
        <v>12150</v>
      </c>
      <c r="B307" s="3252">
        <v>12200</v>
      </c>
      <c r="C307" s="3252">
        <v>1373</v>
      </c>
      <c r="D307" s="3252">
        <v>1218</v>
      </c>
      <c r="E307" s="3252">
        <v>1373</v>
      </c>
      <c r="F307" s="3252">
        <v>1218</v>
      </c>
      <c r="G307" s="1698"/>
    </row>
    <row r="308" spans="1:7" ht="15.75">
      <c r="A308" s="3252">
        <v>12200</v>
      </c>
      <c r="B308" s="3252">
        <v>12250</v>
      </c>
      <c r="C308" s="3252">
        <v>1380</v>
      </c>
      <c r="D308" s="3252">
        <v>1223</v>
      </c>
      <c r="E308" s="3252">
        <v>1380</v>
      </c>
      <c r="F308" s="3252">
        <v>1223</v>
      </c>
      <c r="G308" s="1698"/>
    </row>
    <row r="309" spans="1:7" ht="15.75">
      <c r="A309" s="3252">
        <v>12250</v>
      </c>
      <c r="B309" s="3252">
        <v>12300</v>
      </c>
      <c r="C309" s="3252">
        <v>1388</v>
      </c>
      <c r="D309" s="3252">
        <v>1228</v>
      </c>
      <c r="E309" s="3252">
        <v>1388</v>
      </c>
      <c r="F309" s="3252">
        <v>1228</v>
      </c>
      <c r="G309" s="1698"/>
    </row>
    <row r="310" spans="1:7" ht="15.75">
      <c r="A310" s="3252">
        <v>12300</v>
      </c>
      <c r="B310" s="3252">
        <v>12350</v>
      </c>
      <c r="C310" s="3252">
        <v>1395</v>
      </c>
      <c r="D310" s="3252">
        <v>1233</v>
      </c>
      <c r="E310" s="3252">
        <v>1395</v>
      </c>
      <c r="F310" s="3252">
        <v>1233</v>
      </c>
      <c r="G310" s="1698"/>
    </row>
    <row r="311" spans="1:7" ht="15.75">
      <c r="A311" s="3252">
        <v>12350</v>
      </c>
      <c r="B311" s="3252">
        <v>12400</v>
      </c>
      <c r="C311" s="3252">
        <v>1403</v>
      </c>
      <c r="D311" s="3252">
        <v>1238</v>
      </c>
      <c r="E311" s="3252">
        <v>1403</v>
      </c>
      <c r="F311" s="3252">
        <v>1238</v>
      </c>
      <c r="G311" s="1698"/>
    </row>
    <row r="312" spans="1:7" ht="15.75">
      <c r="A312" s="3252">
        <v>12400</v>
      </c>
      <c r="B312" s="3252">
        <v>12450</v>
      </c>
      <c r="C312" s="3252">
        <v>1410</v>
      </c>
      <c r="D312" s="3252">
        <v>1243</v>
      </c>
      <c r="E312" s="3252">
        <v>1410</v>
      </c>
      <c r="F312" s="3252">
        <v>1243</v>
      </c>
      <c r="G312" s="1698"/>
    </row>
    <row r="313" spans="1:7" ht="15.75">
      <c r="A313" s="3252">
        <v>12450</v>
      </c>
      <c r="B313" s="3252">
        <v>12500</v>
      </c>
      <c r="C313" s="3252">
        <v>1418</v>
      </c>
      <c r="D313" s="3252">
        <v>1248</v>
      </c>
      <c r="E313" s="3252">
        <v>1418</v>
      </c>
      <c r="F313" s="3252">
        <v>1248</v>
      </c>
      <c r="G313" s="1698"/>
    </row>
    <row r="314" spans="1:7" ht="15.75">
      <c r="A314" s="3252">
        <v>12500</v>
      </c>
      <c r="B314" s="3252">
        <v>12550</v>
      </c>
      <c r="C314" s="3252">
        <v>1425</v>
      </c>
      <c r="D314" s="3252">
        <v>1253</v>
      </c>
      <c r="E314" s="3252">
        <v>1425</v>
      </c>
      <c r="F314" s="3252">
        <v>1253</v>
      </c>
      <c r="G314" s="1698"/>
    </row>
    <row r="315" spans="1:7" ht="15.75">
      <c r="A315" s="3252">
        <v>12550</v>
      </c>
      <c r="B315" s="3252">
        <v>12600</v>
      </c>
      <c r="C315" s="3252">
        <v>1433</v>
      </c>
      <c r="D315" s="3252">
        <v>1258</v>
      </c>
      <c r="E315" s="3252">
        <v>1433</v>
      </c>
      <c r="F315" s="3252">
        <v>1258</v>
      </c>
      <c r="G315" s="1698"/>
    </row>
    <row r="316" spans="1:7" ht="15.75">
      <c r="A316" s="3252">
        <v>12600</v>
      </c>
      <c r="B316" s="3252">
        <v>12650</v>
      </c>
      <c r="C316" s="3252">
        <v>1440</v>
      </c>
      <c r="D316" s="3252">
        <v>1263</v>
      </c>
      <c r="E316" s="3252">
        <v>1440</v>
      </c>
      <c r="F316" s="3252">
        <v>1263</v>
      </c>
      <c r="G316" s="1698"/>
    </row>
    <row r="317" spans="1:7" ht="15.75">
      <c r="A317" s="3252">
        <v>12650</v>
      </c>
      <c r="B317" s="3252">
        <v>12700</v>
      </c>
      <c r="C317" s="3252">
        <v>1448</v>
      </c>
      <c r="D317" s="3252">
        <v>1268</v>
      </c>
      <c r="E317" s="3252">
        <v>1448</v>
      </c>
      <c r="F317" s="3252">
        <v>1268</v>
      </c>
      <c r="G317" s="1698"/>
    </row>
    <row r="318" spans="1:7" ht="15.75">
      <c r="A318" s="3252">
        <v>12700</v>
      </c>
      <c r="B318" s="3252">
        <v>12750</v>
      </c>
      <c r="C318" s="3252">
        <v>1455</v>
      </c>
      <c r="D318" s="3252">
        <v>1273</v>
      </c>
      <c r="E318" s="3252">
        <v>1455</v>
      </c>
      <c r="F318" s="3252">
        <v>1273</v>
      </c>
      <c r="G318" s="1698"/>
    </row>
    <row r="319" spans="1:7" ht="15.75">
      <c r="A319" s="3252">
        <v>12750</v>
      </c>
      <c r="B319" s="3252">
        <v>12800</v>
      </c>
      <c r="C319" s="3252">
        <v>1463</v>
      </c>
      <c r="D319" s="3252">
        <v>1278</v>
      </c>
      <c r="E319" s="3252">
        <v>1463</v>
      </c>
      <c r="F319" s="3252">
        <v>1278</v>
      </c>
      <c r="G319" s="1698"/>
    </row>
    <row r="320" spans="1:7" ht="15.75">
      <c r="A320" s="3252">
        <v>12800</v>
      </c>
      <c r="B320" s="3252">
        <v>12850</v>
      </c>
      <c r="C320" s="3252">
        <v>1470</v>
      </c>
      <c r="D320" s="3252">
        <v>1283</v>
      </c>
      <c r="E320" s="3252">
        <v>1470</v>
      </c>
      <c r="F320" s="3252">
        <v>1283</v>
      </c>
      <c r="G320" s="1698"/>
    </row>
    <row r="321" spans="1:7" ht="15.75">
      <c r="A321" s="3252">
        <v>12850</v>
      </c>
      <c r="B321" s="3252">
        <v>12900</v>
      </c>
      <c r="C321" s="3252">
        <v>1478</v>
      </c>
      <c r="D321" s="3252">
        <v>1288</v>
      </c>
      <c r="E321" s="3252">
        <v>1478</v>
      </c>
      <c r="F321" s="3252">
        <v>1288</v>
      </c>
      <c r="G321" s="1698"/>
    </row>
    <row r="322" spans="1:7" ht="15.75">
      <c r="A322" s="3252">
        <v>12900</v>
      </c>
      <c r="B322" s="3252">
        <v>12950</v>
      </c>
      <c r="C322" s="3252">
        <v>1485</v>
      </c>
      <c r="D322" s="3252">
        <v>1293</v>
      </c>
      <c r="E322" s="3252">
        <v>1485</v>
      </c>
      <c r="F322" s="3252">
        <v>1293</v>
      </c>
      <c r="G322" s="1698"/>
    </row>
    <row r="323" spans="1:7" ht="15.75">
      <c r="A323" s="3252">
        <v>12950</v>
      </c>
      <c r="B323" s="3252">
        <v>13000</v>
      </c>
      <c r="C323" s="3252">
        <v>1493</v>
      </c>
      <c r="D323" s="3252">
        <v>1298</v>
      </c>
      <c r="E323" s="3252">
        <v>1493</v>
      </c>
      <c r="F323" s="3252">
        <v>1299</v>
      </c>
      <c r="G323" s="1698"/>
    </row>
    <row r="324" spans="1:7" ht="15.75">
      <c r="A324" s="3252">
        <v>13000</v>
      </c>
      <c r="B324" s="3252">
        <v>13050</v>
      </c>
      <c r="C324" s="3252">
        <v>1500</v>
      </c>
      <c r="D324" s="3252">
        <v>1303</v>
      </c>
      <c r="E324" s="3252">
        <v>1500</v>
      </c>
      <c r="F324" s="3252">
        <v>1306</v>
      </c>
      <c r="G324" s="1698"/>
    </row>
    <row r="325" spans="1:7" ht="15.75">
      <c r="A325" s="3252">
        <v>13050</v>
      </c>
      <c r="B325" s="3252">
        <v>13100</v>
      </c>
      <c r="C325" s="3252">
        <v>1508</v>
      </c>
      <c r="D325" s="3252">
        <v>1308</v>
      </c>
      <c r="E325" s="3252">
        <v>1508</v>
      </c>
      <c r="F325" s="3252">
        <v>1314</v>
      </c>
      <c r="G325" s="1698"/>
    </row>
    <row r="326" spans="1:7" ht="15.75">
      <c r="A326" s="3252">
        <v>13100</v>
      </c>
      <c r="B326" s="3252">
        <v>13150</v>
      </c>
      <c r="C326" s="3252">
        <v>1515</v>
      </c>
      <c r="D326" s="3252">
        <v>1313</v>
      </c>
      <c r="E326" s="3252">
        <v>1515</v>
      </c>
      <c r="F326" s="3252">
        <v>1321</v>
      </c>
      <c r="G326" s="1698"/>
    </row>
    <row r="327" spans="1:7" ht="15.75">
      <c r="A327" s="3252">
        <v>13150</v>
      </c>
      <c r="B327" s="3252">
        <v>13200</v>
      </c>
      <c r="C327" s="3252">
        <v>1523</v>
      </c>
      <c r="D327" s="3252">
        <v>1318</v>
      </c>
      <c r="E327" s="3252">
        <v>1523</v>
      </c>
      <c r="F327" s="3252">
        <v>1329</v>
      </c>
      <c r="G327" s="1698"/>
    </row>
    <row r="328" spans="1:7" ht="15.75">
      <c r="A328" s="3252">
        <v>13200</v>
      </c>
      <c r="B328" s="3252">
        <v>13250</v>
      </c>
      <c r="C328" s="3252">
        <v>1530</v>
      </c>
      <c r="D328" s="3252">
        <v>1323</v>
      </c>
      <c r="E328" s="3252">
        <v>1530</v>
      </c>
      <c r="F328" s="3252">
        <v>1336</v>
      </c>
      <c r="G328" s="1698"/>
    </row>
    <row r="329" spans="1:7" ht="15.75">
      <c r="A329" s="3252">
        <v>13250</v>
      </c>
      <c r="B329" s="3252">
        <v>13300</v>
      </c>
      <c r="C329" s="3252">
        <v>1538</v>
      </c>
      <c r="D329" s="3252">
        <v>1328</v>
      </c>
      <c r="E329" s="3252">
        <v>1538</v>
      </c>
      <c r="F329" s="3252">
        <v>1344</v>
      </c>
      <c r="G329" s="1698"/>
    </row>
    <row r="330" spans="1:7" ht="15.75">
      <c r="A330" s="3252">
        <v>13300</v>
      </c>
      <c r="B330" s="3252">
        <v>13350</v>
      </c>
      <c r="C330" s="3252">
        <v>1545</v>
      </c>
      <c r="D330" s="3252">
        <v>1333</v>
      </c>
      <c r="E330" s="3252">
        <v>1545</v>
      </c>
      <c r="F330" s="3252">
        <v>1351</v>
      </c>
      <c r="G330" s="1698"/>
    </row>
    <row r="331" spans="1:7" ht="15.75">
      <c r="A331" s="3252">
        <v>13350</v>
      </c>
      <c r="B331" s="3252">
        <v>13400</v>
      </c>
      <c r="C331" s="3252">
        <v>1553</v>
      </c>
      <c r="D331" s="3252">
        <v>1338</v>
      </c>
      <c r="E331" s="3252">
        <v>1553</v>
      </c>
      <c r="F331" s="3252">
        <v>1359</v>
      </c>
      <c r="G331" s="1698"/>
    </row>
    <row r="332" spans="1:7" ht="15.75">
      <c r="A332" s="3252">
        <v>13400</v>
      </c>
      <c r="B332" s="3252">
        <v>13450</v>
      </c>
      <c r="C332" s="3252">
        <v>1560</v>
      </c>
      <c r="D332" s="3252">
        <v>1343</v>
      </c>
      <c r="E332" s="3252">
        <v>1560</v>
      </c>
      <c r="F332" s="3252">
        <v>1366</v>
      </c>
      <c r="G332" s="1698"/>
    </row>
    <row r="333" spans="1:7" ht="15.75">
      <c r="A333" s="3252">
        <v>13450</v>
      </c>
      <c r="B333" s="3252">
        <v>13500</v>
      </c>
      <c r="C333" s="3252">
        <v>1568</v>
      </c>
      <c r="D333" s="3252">
        <v>1348</v>
      </c>
      <c r="E333" s="3252">
        <v>1568</v>
      </c>
      <c r="F333" s="3252">
        <v>1374</v>
      </c>
      <c r="G333" s="1698"/>
    </row>
    <row r="334" spans="1:7" ht="15.75">
      <c r="A334" s="3252">
        <v>13500</v>
      </c>
      <c r="B334" s="3252">
        <v>13550</v>
      </c>
      <c r="C334" s="3252">
        <v>1575</v>
      </c>
      <c r="D334" s="3252">
        <v>1353</v>
      </c>
      <c r="E334" s="3252">
        <v>1575</v>
      </c>
      <c r="F334" s="3252">
        <v>1381</v>
      </c>
      <c r="G334" s="1698"/>
    </row>
    <row r="335" spans="1:7" ht="15.75">
      <c r="A335" s="3252">
        <v>13550</v>
      </c>
      <c r="B335" s="3252">
        <v>13600</v>
      </c>
      <c r="C335" s="3252">
        <v>1583</v>
      </c>
      <c r="D335" s="3252">
        <v>1358</v>
      </c>
      <c r="E335" s="3252">
        <v>1583</v>
      </c>
      <c r="F335" s="3252">
        <v>1389</v>
      </c>
      <c r="G335" s="1698"/>
    </row>
    <row r="336" spans="1:7" ht="15.75">
      <c r="A336" s="3252">
        <v>13600</v>
      </c>
      <c r="B336" s="3252">
        <v>13650</v>
      </c>
      <c r="C336" s="3252">
        <v>1590</v>
      </c>
      <c r="D336" s="3252">
        <v>1363</v>
      </c>
      <c r="E336" s="3252">
        <v>1590</v>
      </c>
      <c r="F336" s="3252">
        <v>1396</v>
      </c>
      <c r="G336" s="1698"/>
    </row>
    <row r="337" spans="1:7" ht="15.75">
      <c r="A337" s="3252">
        <v>13650</v>
      </c>
      <c r="B337" s="3252">
        <v>13700</v>
      </c>
      <c r="C337" s="3252">
        <v>1598</v>
      </c>
      <c r="D337" s="3252">
        <v>1368</v>
      </c>
      <c r="E337" s="3252">
        <v>1598</v>
      </c>
      <c r="F337" s="3252">
        <v>1404</v>
      </c>
      <c r="G337" s="1698"/>
    </row>
    <row r="338" spans="1:7" ht="15.75">
      <c r="A338" s="3252">
        <v>13700</v>
      </c>
      <c r="B338" s="3252">
        <v>13750</v>
      </c>
      <c r="C338" s="3252">
        <v>1605</v>
      </c>
      <c r="D338" s="3252">
        <v>1373</v>
      </c>
      <c r="E338" s="3252">
        <v>1605</v>
      </c>
      <c r="F338" s="3252">
        <v>1411</v>
      </c>
      <c r="G338" s="1698"/>
    </row>
    <row r="339" spans="1:7" ht="15.75">
      <c r="A339" s="3252">
        <v>13750</v>
      </c>
      <c r="B339" s="3252">
        <v>13800</v>
      </c>
      <c r="C339" s="3252">
        <v>1613</v>
      </c>
      <c r="D339" s="3252">
        <v>1378</v>
      </c>
      <c r="E339" s="3252">
        <v>1613</v>
      </c>
      <c r="F339" s="3252">
        <v>1419</v>
      </c>
      <c r="G339" s="1698"/>
    </row>
    <row r="340" spans="1:7" ht="15.75">
      <c r="A340" s="3252">
        <v>13800</v>
      </c>
      <c r="B340" s="3252">
        <v>13850</v>
      </c>
      <c r="C340" s="3252">
        <v>1620</v>
      </c>
      <c r="D340" s="3252">
        <v>1383</v>
      </c>
      <c r="E340" s="3252">
        <v>1620</v>
      </c>
      <c r="F340" s="3252">
        <v>1426</v>
      </c>
      <c r="G340" s="1698"/>
    </row>
    <row r="341" spans="1:7" ht="15.75">
      <c r="A341" s="3252">
        <v>13850</v>
      </c>
      <c r="B341" s="3252">
        <v>13900</v>
      </c>
      <c r="C341" s="3252">
        <v>1628</v>
      </c>
      <c r="D341" s="3252">
        <v>1388</v>
      </c>
      <c r="E341" s="3252">
        <v>1628</v>
      </c>
      <c r="F341" s="3252">
        <v>1434</v>
      </c>
      <c r="G341" s="1698"/>
    </row>
    <row r="342" spans="1:7" ht="15.75">
      <c r="A342" s="3252">
        <v>13900</v>
      </c>
      <c r="B342" s="3252">
        <v>13950</v>
      </c>
      <c r="C342" s="3252">
        <v>1635</v>
      </c>
      <c r="D342" s="3252">
        <v>1393</v>
      </c>
      <c r="E342" s="3252">
        <v>1635</v>
      </c>
      <c r="F342" s="3252">
        <v>1441</v>
      </c>
      <c r="G342" s="1698"/>
    </row>
    <row r="343" spans="1:7" ht="15.75">
      <c r="A343" s="3252">
        <v>13950</v>
      </c>
      <c r="B343" s="3252">
        <v>14000</v>
      </c>
      <c r="C343" s="3252">
        <v>1643</v>
      </c>
      <c r="D343" s="3252">
        <v>1398</v>
      </c>
      <c r="E343" s="3252">
        <v>1643</v>
      </c>
      <c r="F343" s="3252">
        <v>1449</v>
      </c>
      <c r="G343" s="1698"/>
    </row>
    <row r="344" spans="1:7" ht="15.75">
      <c r="A344" s="3252">
        <v>14000</v>
      </c>
      <c r="B344" s="3252">
        <v>14050</v>
      </c>
      <c r="C344" s="3252">
        <v>1650</v>
      </c>
      <c r="D344" s="3252">
        <v>1403</v>
      </c>
      <c r="E344" s="3252">
        <v>1650</v>
      </c>
      <c r="F344" s="3252">
        <v>1456</v>
      </c>
      <c r="G344" s="1698"/>
    </row>
    <row r="345" spans="1:7" ht="15.75">
      <c r="A345" s="3252">
        <v>14050</v>
      </c>
      <c r="B345" s="3252">
        <v>14100</v>
      </c>
      <c r="C345" s="3252">
        <v>1658</v>
      </c>
      <c r="D345" s="3252">
        <v>1408</v>
      </c>
      <c r="E345" s="3252">
        <v>1658</v>
      </c>
      <c r="F345" s="3252">
        <v>1464</v>
      </c>
      <c r="G345" s="1698"/>
    </row>
    <row r="346" spans="1:7" ht="15.75">
      <c r="A346" s="3252">
        <v>14100</v>
      </c>
      <c r="B346" s="3252">
        <v>14150</v>
      </c>
      <c r="C346" s="3252">
        <v>1665</v>
      </c>
      <c r="D346" s="3252">
        <v>1413</v>
      </c>
      <c r="E346" s="3252">
        <v>1665</v>
      </c>
      <c r="F346" s="3252">
        <v>1471</v>
      </c>
      <c r="G346" s="1698"/>
    </row>
    <row r="347" spans="1:7" ht="15.75">
      <c r="A347" s="3252">
        <v>14150</v>
      </c>
      <c r="B347" s="3252">
        <v>14200</v>
      </c>
      <c r="C347" s="3252">
        <v>1673</v>
      </c>
      <c r="D347" s="3252">
        <v>1418</v>
      </c>
      <c r="E347" s="3252">
        <v>1673</v>
      </c>
      <c r="F347" s="3252">
        <v>1479</v>
      </c>
      <c r="G347" s="1698"/>
    </row>
    <row r="348" spans="1:7" ht="15.75">
      <c r="A348" s="3252">
        <v>14200</v>
      </c>
      <c r="B348" s="3252">
        <v>14250</v>
      </c>
      <c r="C348" s="3252">
        <v>1680</v>
      </c>
      <c r="D348" s="3252">
        <v>1423</v>
      </c>
      <c r="E348" s="3252">
        <v>1680</v>
      </c>
      <c r="F348" s="3252">
        <v>1486</v>
      </c>
      <c r="G348" s="1698"/>
    </row>
    <row r="349" spans="1:7" ht="15.75">
      <c r="A349" s="3252">
        <v>14250</v>
      </c>
      <c r="B349" s="3252">
        <v>14300</v>
      </c>
      <c r="C349" s="3252">
        <v>1688</v>
      </c>
      <c r="D349" s="3252">
        <v>1428</v>
      </c>
      <c r="E349" s="3252">
        <v>1688</v>
      </c>
      <c r="F349" s="3252">
        <v>1494</v>
      </c>
      <c r="G349" s="1698"/>
    </row>
    <row r="350" spans="1:7" ht="15.75">
      <c r="A350" s="3252">
        <v>14300</v>
      </c>
      <c r="B350" s="3252">
        <v>14350</v>
      </c>
      <c r="C350" s="3252">
        <v>1695</v>
      </c>
      <c r="D350" s="3252">
        <v>1433</v>
      </c>
      <c r="E350" s="3252">
        <v>1695</v>
      </c>
      <c r="F350" s="3252">
        <v>1501</v>
      </c>
      <c r="G350" s="1698"/>
    </row>
    <row r="351" spans="1:7" ht="15.75">
      <c r="A351" s="3252">
        <v>14350</v>
      </c>
      <c r="B351" s="3252">
        <v>14400</v>
      </c>
      <c r="C351" s="3252">
        <v>1703</v>
      </c>
      <c r="D351" s="3252">
        <v>1438</v>
      </c>
      <c r="E351" s="3252">
        <v>1703</v>
      </c>
      <c r="F351" s="3252">
        <v>1509</v>
      </c>
      <c r="G351" s="1698"/>
    </row>
    <row r="352" spans="1:7" ht="15.75">
      <c r="A352" s="3252">
        <v>14400</v>
      </c>
      <c r="B352" s="3252">
        <v>14450</v>
      </c>
      <c r="C352" s="3252">
        <v>1710</v>
      </c>
      <c r="D352" s="3252">
        <v>1443</v>
      </c>
      <c r="E352" s="3252">
        <v>1710</v>
      </c>
      <c r="F352" s="3252">
        <v>1516</v>
      </c>
      <c r="G352" s="1698"/>
    </row>
    <row r="353" spans="1:7" ht="15.75">
      <c r="A353" s="3252">
        <v>14450</v>
      </c>
      <c r="B353" s="3252">
        <v>14500</v>
      </c>
      <c r="C353" s="3252">
        <v>1718</v>
      </c>
      <c r="D353" s="3252">
        <v>1448</v>
      </c>
      <c r="E353" s="3252">
        <v>1718</v>
      </c>
      <c r="F353" s="3252">
        <v>1524</v>
      </c>
      <c r="G353" s="1698"/>
    </row>
    <row r="354" spans="1:7" ht="15.75">
      <c r="A354" s="3252">
        <v>14500</v>
      </c>
      <c r="B354" s="3252">
        <v>14550</v>
      </c>
      <c r="C354" s="3252">
        <v>1725</v>
      </c>
      <c r="D354" s="3252">
        <v>1453</v>
      </c>
      <c r="E354" s="3252">
        <v>1725</v>
      </c>
      <c r="F354" s="3252">
        <v>1531</v>
      </c>
      <c r="G354" s="1698"/>
    </row>
    <row r="355" spans="1:7" ht="15.75">
      <c r="A355" s="3252">
        <v>14550</v>
      </c>
      <c r="B355" s="3252">
        <v>14600</v>
      </c>
      <c r="C355" s="3252">
        <v>1733</v>
      </c>
      <c r="D355" s="3252">
        <v>1458</v>
      </c>
      <c r="E355" s="3252">
        <v>1733</v>
      </c>
      <c r="F355" s="3252">
        <v>1539</v>
      </c>
      <c r="G355" s="1698"/>
    </row>
    <row r="356" spans="1:7" ht="15.75">
      <c r="A356" s="3252">
        <v>14600</v>
      </c>
      <c r="B356" s="3252">
        <v>14650</v>
      </c>
      <c r="C356" s="3252">
        <v>1740</v>
      </c>
      <c r="D356" s="3252">
        <v>1463</v>
      </c>
      <c r="E356" s="3252">
        <v>1740</v>
      </c>
      <c r="F356" s="3252">
        <v>1546</v>
      </c>
      <c r="G356" s="1698"/>
    </row>
    <row r="357" spans="1:7" ht="15.75">
      <c r="A357" s="3252">
        <v>14650</v>
      </c>
      <c r="B357" s="3252">
        <v>14700</v>
      </c>
      <c r="C357" s="3252">
        <v>1748</v>
      </c>
      <c r="D357" s="3252">
        <v>1468</v>
      </c>
      <c r="E357" s="3252">
        <v>1748</v>
      </c>
      <c r="F357" s="3252">
        <v>1554</v>
      </c>
      <c r="G357" s="1698"/>
    </row>
    <row r="358" spans="1:7" ht="15.75">
      <c r="A358" s="3252">
        <v>14700</v>
      </c>
      <c r="B358" s="3252">
        <v>14750</v>
      </c>
      <c r="C358" s="3252">
        <v>1755</v>
      </c>
      <c r="D358" s="3252">
        <v>1473</v>
      </c>
      <c r="E358" s="3252">
        <v>1755</v>
      </c>
      <c r="F358" s="3252">
        <v>1561</v>
      </c>
      <c r="G358" s="1698"/>
    </row>
    <row r="359" spans="1:7" ht="15.75">
      <c r="A359" s="3252">
        <v>14750</v>
      </c>
      <c r="B359" s="3252">
        <v>14800</v>
      </c>
      <c r="C359" s="3252">
        <v>1763</v>
      </c>
      <c r="D359" s="3252">
        <v>1478</v>
      </c>
      <c r="E359" s="3252">
        <v>1763</v>
      </c>
      <c r="F359" s="3252">
        <v>1569</v>
      </c>
      <c r="G359" s="1698"/>
    </row>
    <row r="360" spans="1:7" ht="15.75">
      <c r="A360" s="3252">
        <v>14800</v>
      </c>
      <c r="B360" s="3252">
        <v>14850</v>
      </c>
      <c r="C360" s="3252">
        <v>1770</v>
      </c>
      <c r="D360" s="3252">
        <v>1483</v>
      </c>
      <c r="E360" s="3252">
        <v>1770</v>
      </c>
      <c r="F360" s="3252">
        <v>1576</v>
      </c>
      <c r="G360" s="1698"/>
    </row>
    <row r="361" spans="1:7" ht="15.75">
      <c r="A361" s="3252">
        <v>14850</v>
      </c>
      <c r="B361" s="3252">
        <v>14900</v>
      </c>
      <c r="C361" s="3252">
        <v>1778</v>
      </c>
      <c r="D361" s="3252">
        <v>1488</v>
      </c>
      <c r="E361" s="3252">
        <v>1778</v>
      </c>
      <c r="F361" s="3252">
        <v>1584</v>
      </c>
      <c r="G361" s="1698"/>
    </row>
    <row r="362" spans="1:7" ht="15.75">
      <c r="A362" s="3252">
        <v>14900</v>
      </c>
      <c r="B362" s="3252">
        <v>14950</v>
      </c>
      <c r="C362" s="3252">
        <v>1785</v>
      </c>
      <c r="D362" s="3252">
        <v>1493</v>
      </c>
      <c r="E362" s="3252">
        <v>1785</v>
      </c>
      <c r="F362" s="3252">
        <v>1591</v>
      </c>
      <c r="G362" s="1698"/>
    </row>
    <row r="363" spans="1:7" ht="15.75">
      <c r="A363" s="3252">
        <v>14950</v>
      </c>
      <c r="B363" s="3252">
        <v>15000</v>
      </c>
      <c r="C363" s="3252">
        <v>1793</v>
      </c>
      <c r="D363" s="3252">
        <v>1498</v>
      </c>
      <c r="E363" s="3252">
        <v>1793</v>
      </c>
      <c r="F363" s="3252">
        <v>1599</v>
      </c>
      <c r="G363" s="1698"/>
    </row>
    <row r="364" spans="1:7" ht="15.75">
      <c r="A364" s="3252">
        <v>15000</v>
      </c>
      <c r="B364" s="3252">
        <v>15050</v>
      </c>
      <c r="C364" s="3252">
        <v>1800</v>
      </c>
      <c r="D364" s="3252">
        <v>1503</v>
      </c>
      <c r="E364" s="3252">
        <v>1800</v>
      </c>
      <c r="F364" s="3252">
        <v>1606</v>
      </c>
      <c r="G364" s="1698"/>
    </row>
    <row r="365" spans="1:7" ht="15.75">
      <c r="A365" s="3252">
        <v>15050</v>
      </c>
      <c r="B365" s="3252">
        <v>15100</v>
      </c>
      <c r="C365" s="3252">
        <v>1808</v>
      </c>
      <c r="D365" s="3252">
        <v>1508</v>
      </c>
      <c r="E365" s="3252">
        <v>1808</v>
      </c>
      <c r="F365" s="3252">
        <v>1614</v>
      </c>
      <c r="G365" s="1698"/>
    </row>
    <row r="366" spans="1:7" ht="15.75">
      <c r="A366" s="3252">
        <v>15100</v>
      </c>
      <c r="B366" s="3252">
        <v>15150</v>
      </c>
      <c r="C366" s="3252">
        <v>1815</v>
      </c>
      <c r="D366" s="3252">
        <v>1513</v>
      </c>
      <c r="E366" s="3252">
        <v>1815</v>
      </c>
      <c r="F366" s="3252">
        <v>1621</v>
      </c>
      <c r="G366" s="1698"/>
    </row>
    <row r="367" spans="1:7" ht="15.75">
      <c r="A367" s="3252">
        <v>15150</v>
      </c>
      <c r="B367" s="3252">
        <v>15200</v>
      </c>
      <c r="C367" s="3252">
        <v>1823</v>
      </c>
      <c r="D367" s="3252">
        <v>1518</v>
      </c>
      <c r="E367" s="3252">
        <v>1823</v>
      </c>
      <c r="F367" s="3252">
        <v>1629</v>
      </c>
      <c r="G367" s="1698"/>
    </row>
    <row r="368" spans="1:7" ht="15.75">
      <c r="A368" s="3252">
        <v>15200</v>
      </c>
      <c r="B368" s="3252">
        <v>15250</v>
      </c>
      <c r="C368" s="3252">
        <v>1830</v>
      </c>
      <c r="D368" s="3252">
        <v>1523</v>
      </c>
      <c r="E368" s="3252">
        <v>1830</v>
      </c>
      <c r="F368" s="3252">
        <v>1636</v>
      </c>
      <c r="G368" s="1698"/>
    </row>
    <row r="369" spans="1:7" ht="15.75">
      <c r="A369" s="3252">
        <v>15250</v>
      </c>
      <c r="B369" s="3252">
        <v>15300</v>
      </c>
      <c r="C369" s="3252">
        <v>1838</v>
      </c>
      <c r="D369" s="3252">
        <v>1528</v>
      </c>
      <c r="E369" s="3252">
        <v>1838</v>
      </c>
      <c r="F369" s="3252">
        <v>1644</v>
      </c>
      <c r="G369" s="1698"/>
    </row>
    <row r="370" spans="1:7" ht="15.75">
      <c r="A370" s="3252">
        <v>15300</v>
      </c>
      <c r="B370" s="3252">
        <v>15350</v>
      </c>
      <c r="C370" s="3252">
        <v>1845</v>
      </c>
      <c r="D370" s="3252">
        <v>1533</v>
      </c>
      <c r="E370" s="3252">
        <v>1845</v>
      </c>
      <c r="F370" s="3252">
        <v>1651</v>
      </c>
      <c r="G370" s="1698"/>
    </row>
    <row r="371" spans="1:7" ht="15.75">
      <c r="A371" s="3252">
        <v>15350</v>
      </c>
      <c r="B371" s="3252">
        <v>15400</v>
      </c>
      <c r="C371" s="3252">
        <v>1853</v>
      </c>
      <c r="D371" s="3252">
        <v>1538</v>
      </c>
      <c r="E371" s="3252">
        <v>1853</v>
      </c>
      <c r="F371" s="3252">
        <v>1659</v>
      </c>
      <c r="G371" s="1698"/>
    </row>
    <row r="372" spans="1:7" ht="15.75">
      <c r="A372" s="3252">
        <v>15400</v>
      </c>
      <c r="B372" s="3252">
        <v>15450</v>
      </c>
      <c r="C372" s="3252">
        <v>1860</v>
      </c>
      <c r="D372" s="3252">
        <v>1543</v>
      </c>
      <c r="E372" s="3252">
        <v>1860</v>
      </c>
      <c r="F372" s="3252">
        <v>1666</v>
      </c>
      <c r="G372" s="1698"/>
    </row>
    <row r="373" spans="1:7" ht="15.75">
      <c r="A373" s="3252">
        <v>15450</v>
      </c>
      <c r="B373" s="3252">
        <v>15500</v>
      </c>
      <c r="C373" s="3252">
        <v>1868</v>
      </c>
      <c r="D373" s="3252">
        <v>1548</v>
      </c>
      <c r="E373" s="3252">
        <v>1868</v>
      </c>
      <c r="F373" s="3252">
        <v>1674</v>
      </c>
      <c r="G373" s="1698"/>
    </row>
    <row r="374" spans="1:7" ht="15.75">
      <c r="A374" s="3252">
        <v>15500</v>
      </c>
      <c r="B374" s="3252">
        <v>15550</v>
      </c>
      <c r="C374" s="3252">
        <v>1875</v>
      </c>
      <c r="D374" s="3252">
        <v>1553</v>
      </c>
      <c r="E374" s="3252">
        <v>1875</v>
      </c>
      <c r="F374" s="3252">
        <v>1681</v>
      </c>
      <c r="G374" s="1698"/>
    </row>
    <row r="375" spans="1:7" ht="15.75">
      <c r="A375" s="3252">
        <v>15550</v>
      </c>
      <c r="B375" s="3252">
        <v>15600</v>
      </c>
      <c r="C375" s="3252">
        <v>1883</v>
      </c>
      <c r="D375" s="3252">
        <v>1558</v>
      </c>
      <c r="E375" s="3252">
        <v>1883</v>
      </c>
      <c r="F375" s="3252">
        <v>1689</v>
      </c>
      <c r="G375" s="1698"/>
    </row>
    <row r="376" spans="1:7" ht="15.75">
      <c r="A376" s="3252">
        <v>15600</v>
      </c>
      <c r="B376" s="3252">
        <v>15650</v>
      </c>
      <c r="C376" s="3252">
        <v>1890</v>
      </c>
      <c r="D376" s="3252">
        <v>1563</v>
      </c>
      <c r="E376" s="3252">
        <v>1890</v>
      </c>
      <c r="F376" s="3252">
        <v>1696</v>
      </c>
      <c r="G376" s="1698"/>
    </row>
    <row r="377" spans="1:7" ht="15.75">
      <c r="A377" s="3252">
        <v>15650</v>
      </c>
      <c r="B377" s="3252">
        <v>15700</v>
      </c>
      <c r="C377" s="3252">
        <v>1898</v>
      </c>
      <c r="D377" s="3252">
        <v>1568</v>
      </c>
      <c r="E377" s="3252">
        <v>1898</v>
      </c>
      <c r="F377" s="3252">
        <v>1704</v>
      </c>
      <c r="G377" s="1698"/>
    </row>
    <row r="378" spans="1:7" ht="15.75">
      <c r="A378" s="3252">
        <v>15700</v>
      </c>
      <c r="B378" s="3252">
        <v>15750</v>
      </c>
      <c r="C378" s="3252">
        <v>1905</v>
      </c>
      <c r="D378" s="3252">
        <v>1573</v>
      </c>
      <c r="E378" s="3252">
        <v>1905</v>
      </c>
      <c r="F378" s="3252">
        <v>1711</v>
      </c>
      <c r="G378" s="1698"/>
    </row>
    <row r="379" spans="1:7" ht="15.75">
      <c r="A379" s="3252">
        <v>15750</v>
      </c>
      <c r="B379" s="3252">
        <v>15800</v>
      </c>
      <c r="C379" s="3252">
        <v>1913</v>
      </c>
      <c r="D379" s="3252">
        <v>1578</v>
      </c>
      <c r="E379" s="3252">
        <v>1913</v>
      </c>
      <c r="F379" s="3252">
        <v>1719</v>
      </c>
      <c r="G379" s="1698"/>
    </row>
    <row r="380" spans="1:7" ht="15.75">
      <c r="A380" s="3252">
        <v>15800</v>
      </c>
      <c r="B380" s="3252">
        <v>15850</v>
      </c>
      <c r="C380" s="3252">
        <v>1920</v>
      </c>
      <c r="D380" s="3252">
        <v>1583</v>
      </c>
      <c r="E380" s="3252">
        <v>1920</v>
      </c>
      <c r="F380" s="3252">
        <v>1726</v>
      </c>
      <c r="G380" s="1698"/>
    </row>
    <row r="381" spans="1:7" ht="15.75">
      <c r="A381" s="3252">
        <v>15850</v>
      </c>
      <c r="B381" s="3252">
        <v>15900</v>
      </c>
      <c r="C381" s="3252">
        <v>1928</v>
      </c>
      <c r="D381" s="3252">
        <v>1588</v>
      </c>
      <c r="E381" s="3252">
        <v>1928</v>
      </c>
      <c r="F381" s="3252">
        <v>1734</v>
      </c>
      <c r="G381" s="1698"/>
    </row>
    <row r="382" spans="1:7" ht="15.75">
      <c r="A382" s="3252">
        <v>15900</v>
      </c>
      <c r="B382" s="3252">
        <v>15950</v>
      </c>
      <c r="C382" s="3252">
        <v>1935</v>
      </c>
      <c r="D382" s="3252">
        <v>1593</v>
      </c>
      <c r="E382" s="3252">
        <v>1935</v>
      </c>
      <c r="F382" s="3252">
        <v>1741</v>
      </c>
      <c r="G382" s="1698"/>
    </row>
    <row r="383" spans="1:7" ht="15.75">
      <c r="A383" s="3252">
        <v>15950</v>
      </c>
      <c r="B383" s="3252">
        <v>16000</v>
      </c>
      <c r="C383" s="3252">
        <v>1943</v>
      </c>
      <c r="D383" s="3252">
        <v>1598</v>
      </c>
      <c r="E383" s="3252">
        <v>1943</v>
      </c>
      <c r="F383" s="3252">
        <v>1749</v>
      </c>
      <c r="G383" s="1698"/>
    </row>
    <row r="384" spans="1:7" ht="15.75">
      <c r="A384" s="3252">
        <v>16000</v>
      </c>
      <c r="B384" s="3252">
        <v>16050</v>
      </c>
      <c r="C384" s="3252">
        <v>1950</v>
      </c>
      <c r="D384" s="3252">
        <v>1603</v>
      </c>
      <c r="E384" s="3252">
        <v>1950</v>
      </c>
      <c r="F384" s="3252">
        <v>1756</v>
      </c>
      <c r="G384" s="1698"/>
    </row>
    <row r="385" spans="1:7" ht="15.75">
      <c r="A385" s="3252">
        <v>16050</v>
      </c>
      <c r="B385" s="3252">
        <v>16100</v>
      </c>
      <c r="C385" s="3252">
        <v>1958</v>
      </c>
      <c r="D385" s="3252">
        <v>1608</v>
      </c>
      <c r="E385" s="3252">
        <v>1958</v>
      </c>
      <c r="F385" s="3252">
        <v>1764</v>
      </c>
      <c r="G385" s="1698"/>
    </row>
    <row r="386" spans="1:7" ht="15.75">
      <c r="A386" s="3252">
        <v>16100</v>
      </c>
      <c r="B386" s="3252">
        <v>16150</v>
      </c>
      <c r="C386" s="3252">
        <v>1965</v>
      </c>
      <c r="D386" s="3252">
        <v>1613</v>
      </c>
      <c r="E386" s="3252">
        <v>1965</v>
      </c>
      <c r="F386" s="3252">
        <v>1771</v>
      </c>
      <c r="G386" s="1698"/>
    </row>
    <row r="387" spans="1:7" ht="15.75">
      <c r="A387" s="3252">
        <v>16150</v>
      </c>
      <c r="B387" s="3252">
        <v>16200</v>
      </c>
      <c r="C387" s="3252">
        <v>1973</v>
      </c>
      <c r="D387" s="3252">
        <v>1618</v>
      </c>
      <c r="E387" s="3252">
        <v>1973</v>
      </c>
      <c r="F387" s="3252">
        <v>1779</v>
      </c>
      <c r="G387" s="1698"/>
    </row>
    <row r="388" spans="1:7" ht="15.75">
      <c r="A388" s="3252">
        <v>16200</v>
      </c>
      <c r="B388" s="3252">
        <v>16250</v>
      </c>
      <c r="C388" s="3252">
        <v>1980</v>
      </c>
      <c r="D388" s="3252">
        <v>1623</v>
      </c>
      <c r="E388" s="3252">
        <v>1980</v>
      </c>
      <c r="F388" s="3252">
        <v>1786</v>
      </c>
      <c r="G388" s="1698"/>
    </row>
    <row r="389" spans="1:7" ht="15.75">
      <c r="A389" s="3252">
        <v>16250</v>
      </c>
      <c r="B389" s="3252">
        <v>16300</v>
      </c>
      <c r="C389" s="3252">
        <v>1988</v>
      </c>
      <c r="D389" s="3252">
        <v>1628</v>
      </c>
      <c r="E389" s="3252">
        <v>1988</v>
      </c>
      <c r="F389" s="3252">
        <v>1794</v>
      </c>
      <c r="G389" s="1698"/>
    </row>
    <row r="390" spans="1:7" ht="15.75">
      <c r="A390" s="3252">
        <v>16300</v>
      </c>
      <c r="B390" s="3252">
        <v>16350</v>
      </c>
      <c r="C390" s="3252">
        <v>1995</v>
      </c>
      <c r="D390" s="3252">
        <v>1633</v>
      </c>
      <c r="E390" s="3252">
        <v>1995</v>
      </c>
      <c r="F390" s="3252">
        <v>1801</v>
      </c>
      <c r="G390" s="1698"/>
    </row>
    <row r="391" spans="1:7" ht="15.75">
      <c r="A391" s="3252">
        <v>16350</v>
      </c>
      <c r="B391" s="3252">
        <v>16400</v>
      </c>
      <c r="C391" s="3252">
        <v>2003</v>
      </c>
      <c r="D391" s="3252">
        <v>1638</v>
      </c>
      <c r="E391" s="3252">
        <v>2003</v>
      </c>
      <c r="F391" s="3252">
        <v>1809</v>
      </c>
      <c r="G391" s="1698"/>
    </row>
    <row r="392" spans="1:7" ht="15.75">
      <c r="A392" s="3252">
        <v>16400</v>
      </c>
      <c r="B392" s="3252">
        <v>16450</v>
      </c>
      <c r="C392" s="3252">
        <v>2010</v>
      </c>
      <c r="D392" s="3252">
        <v>1643</v>
      </c>
      <c r="E392" s="3252">
        <v>2010</v>
      </c>
      <c r="F392" s="3252">
        <v>1816</v>
      </c>
      <c r="G392" s="1698"/>
    </row>
    <row r="393" spans="1:7" ht="15.75">
      <c r="A393" s="3252">
        <v>16450</v>
      </c>
      <c r="B393" s="3252">
        <v>16500</v>
      </c>
      <c r="C393" s="3252">
        <v>2018</v>
      </c>
      <c r="D393" s="3252">
        <v>1648</v>
      </c>
      <c r="E393" s="3252">
        <v>2018</v>
      </c>
      <c r="F393" s="3252">
        <v>1824</v>
      </c>
      <c r="G393" s="1698"/>
    </row>
    <row r="394" spans="1:7" ht="15.75">
      <c r="A394" s="3252">
        <v>16500</v>
      </c>
      <c r="B394" s="3252">
        <v>16550</v>
      </c>
      <c r="C394" s="3252">
        <v>2025</v>
      </c>
      <c r="D394" s="3252">
        <v>1653</v>
      </c>
      <c r="E394" s="3252">
        <v>2025</v>
      </c>
      <c r="F394" s="3252">
        <v>1831</v>
      </c>
      <c r="G394" s="1698"/>
    </row>
    <row r="395" spans="1:7" ht="15.75">
      <c r="A395" s="3252">
        <v>16550</v>
      </c>
      <c r="B395" s="3252">
        <v>16600</v>
      </c>
      <c r="C395" s="3252">
        <v>2033</v>
      </c>
      <c r="D395" s="3252">
        <v>1658</v>
      </c>
      <c r="E395" s="3252">
        <v>2033</v>
      </c>
      <c r="F395" s="3252">
        <v>1839</v>
      </c>
      <c r="G395" s="1698"/>
    </row>
    <row r="396" spans="1:7" ht="15.75">
      <c r="A396" s="3252">
        <v>16600</v>
      </c>
      <c r="B396" s="3252">
        <v>16650</v>
      </c>
      <c r="C396" s="3252">
        <v>2040</v>
      </c>
      <c r="D396" s="3252">
        <v>1663</v>
      </c>
      <c r="E396" s="3252">
        <v>2040</v>
      </c>
      <c r="F396" s="3252">
        <v>1846</v>
      </c>
      <c r="G396" s="1698"/>
    </row>
    <row r="397" spans="1:7" ht="15.75">
      <c r="A397" s="3252">
        <v>16650</v>
      </c>
      <c r="B397" s="3252">
        <v>16700</v>
      </c>
      <c r="C397" s="3252">
        <v>2048</v>
      </c>
      <c r="D397" s="3252">
        <v>1668</v>
      </c>
      <c r="E397" s="3252">
        <v>2048</v>
      </c>
      <c r="F397" s="3252">
        <v>1854</v>
      </c>
      <c r="G397" s="1698"/>
    </row>
    <row r="398" spans="1:7" ht="15.75">
      <c r="A398" s="3252">
        <v>16700</v>
      </c>
      <c r="B398" s="3252">
        <v>16750</v>
      </c>
      <c r="C398" s="3252">
        <v>2055</v>
      </c>
      <c r="D398" s="3252">
        <v>1673</v>
      </c>
      <c r="E398" s="3252">
        <v>2055</v>
      </c>
      <c r="F398" s="3252">
        <v>1861</v>
      </c>
      <c r="G398" s="1698"/>
    </row>
    <row r="399" spans="1:7" ht="15.75">
      <c r="A399" s="3252">
        <v>16750</v>
      </c>
      <c r="B399" s="3252">
        <v>16800</v>
      </c>
      <c r="C399" s="3252">
        <v>2063</v>
      </c>
      <c r="D399" s="3252">
        <v>1678</v>
      </c>
      <c r="E399" s="3252">
        <v>2063</v>
      </c>
      <c r="F399" s="3252">
        <v>1869</v>
      </c>
      <c r="G399" s="1698"/>
    </row>
    <row r="400" spans="1:7" ht="15.75">
      <c r="A400" s="3252">
        <v>16800</v>
      </c>
      <c r="B400" s="3252">
        <v>16850</v>
      </c>
      <c r="C400" s="3252">
        <v>2070</v>
      </c>
      <c r="D400" s="3252">
        <v>1683</v>
      </c>
      <c r="E400" s="3252">
        <v>2070</v>
      </c>
      <c r="F400" s="3252">
        <v>1876</v>
      </c>
      <c r="G400" s="1698"/>
    </row>
    <row r="401" spans="1:7" ht="15.75">
      <c r="A401" s="3252">
        <v>16850</v>
      </c>
      <c r="B401" s="3252">
        <v>16900</v>
      </c>
      <c r="C401" s="3252">
        <v>2078</v>
      </c>
      <c r="D401" s="3252">
        <v>1688</v>
      </c>
      <c r="E401" s="3252">
        <v>2078</v>
      </c>
      <c r="F401" s="3252">
        <v>1884</v>
      </c>
      <c r="G401" s="1698"/>
    </row>
    <row r="402" spans="1:7" ht="15.75">
      <c r="A402" s="3252">
        <v>16900</v>
      </c>
      <c r="B402" s="3252">
        <v>16950</v>
      </c>
      <c r="C402" s="3252">
        <v>2085</v>
      </c>
      <c r="D402" s="3252">
        <v>1693</v>
      </c>
      <c r="E402" s="3252">
        <v>2085</v>
      </c>
      <c r="F402" s="3252">
        <v>1891</v>
      </c>
      <c r="G402" s="1698"/>
    </row>
    <row r="403" spans="1:7" ht="15.75">
      <c r="A403" s="3252">
        <v>16950</v>
      </c>
      <c r="B403" s="3252">
        <v>17000</v>
      </c>
      <c r="C403" s="3252">
        <v>2093</v>
      </c>
      <c r="D403" s="3252">
        <v>1698</v>
      </c>
      <c r="E403" s="3252">
        <v>2093</v>
      </c>
      <c r="F403" s="3252">
        <v>1899</v>
      </c>
      <c r="G403" s="1698"/>
    </row>
    <row r="404" spans="1:7" ht="15.75">
      <c r="A404" s="3252">
        <v>17000</v>
      </c>
      <c r="B404" s="3252">
        <v>17050</v>
      </c>
      <c r="C404" s="3252">
        <v>2100</v>
      </c>
      <c r="D404" s="3252">
        <v>1703</v>
      </c>
      <c r="E404" s="3252">
        <v>2100</v>
      </c>
      <c r="F404" s="3252">
        <v>1906</v>
      </c>
      <c r="G404" s="1698"/>
    </row>
    <row r="405" spans="1:7" ht="15.75">
      <c r="A405" s="3252">
        <v>17050</v>
      </c>
      <c r="B405" s="3252">
        <v>17100</v>
      </c>
      <c r="C405" s="3252">
        <v>2108</v>
      </c>
      <c r="D405" s="3252">
        <v>1708</v>
      </c>
      <c r="E405" s="3252">
        <v>2108</v>
      </c>
      <c r="F405" s="3252">
        <v>1914</v>
      </c>
      <c r="G405" s="1698"/>
    </row>
    <row r="406" spans="1:7" ht="15.75">
      <c r="A406" s="3252">
        <v>17100</v>
      </c>
      <c r="B406" s="3252">
        <v>17150</v>
      </c>
      <c r="C406" s="3252">
        <v>2115</v>
      </c>
      <c r="D406" s="3252">
        <v>1713</v>
      </c>
      <c r="E406" s="3252">
        <v>2115</v>
      </c>
      <c r="F406" s="3252">
        <v>1921</v>
      </c>
      <c r="G406" s="1698"/>
    </row>
    <row r="407" spans="1:7" ht="15.75">
      <c r="A407" s="3252">
        <v>17150</v>
      </c>
      <c r="B407" s="3252">
        <v>17200</v>
      </c>
      <c r="C407" s="3252">
        <v>2123</v>
      </c>
      <c r="D407" s="3252">
        <v>1718</v>
      </c>
      <c r="E407" s="3252">
        <v>2123</v>
      </c>
      <c r="F407" s="3252">
        <v>1929</v>
      </c>
      <c r="G407" s="1698"/>
    </row>
    <row r="408" spans="1:7" ht="15.75">
      <c r="A408" s="3252">
        <v>17200</v>
      </c>
      <c r="B408" s="3252">
        <v>17250</v>
      </c>
      <c r="C408" s="3252">
        <v>2130</v>
      </c>
      <c r="D408" s="3252">
        <v>1723</v>
      </c>
      <c r="E408" s="3252">
        <v>2130</v>
      </c>
      <c r="F408" s="3252">
        <v>1936</v>
      </c>
      <c r="G408" s="1698"/>
    </row>
    <row r="409" spans="1:7" ht="15.75">
      <c r="A409" s="3252">
        <v>17250</v>
      </c>
      <c r="B409" s="3252">
        <v>17300</v>
      </c>
      <c r="C409" s="3252">
        <v>2138</v>
      </c>
      <c r="D409" s="3252">
        <v>1728</v>
      </c>
      <c r="E409" s="3252">
        <v>2138</v>
      </c>
      <c r="F409" s="3252">
        <v>1944</v>
      </c>
      <c r="G409" s="1698"/>
    </row>
    <row r="410" spans="1:7" ht="15.75">
      <c r="A410" s="3252">
        <v>17300</v>
      </c>
      <c r="B410" s="3252">
        <v>17350</v>
      </c>
      <c r="C410" s="3252">
        <v>2145</v>
      </c>
      <c r="D410" s="3252">
        <v>1733</v>
      </c>
      <c r="E410" s="3252">
        <v>2145</v>
      </c>
      <c r="F410" s="3252">
        <v>1951</v>
      </c>
      <c r="G410" s="1698"/>
    </row>
    <row r="411" spans="1:7" ht="15.75">
      <c r="A411" s="3252">
        <v>17350</v>
      </c>
      <c r="B411" s="3252">
        <v>17400</v>
      </c>
      <c r="C411" s="3252">
        <v>2153</v>
      </c>
      <c r="D411" s="3252">
        <v>1738</v>
      </c>
      <c r="E411" s="3252">
        <v>2153</v>
      </c>
      <c r="F411" s="3252">
        <v>1959</v>
      </c>
      <c r="G411" s="1698"/>
    </row>
    <row r="412" spans="1:7" ht="15.75">
      <c r="A412" s="3252">
        <v>17400</v>
      </c>
      <c r="B412" s="3252">
        <v>17450</v>
      </c>
      <c r="C412" s="3252">
        <v>2160</v>
      </c>
      <c r="D412" s="3252">
        <v>1743</v>
      </c>
      <c r="E412" s="3252">
        <v>2160</v>
      </c>
      <c r="F412" s="3252">
        <v>1966</v>
      </c>
      <c r="G412" s="1698"/>
    </row>
    <row r="413" spans="1:7" ht="15.75">
      <c r="A413" s="3252">
        <v>17450</v>
      </c>
      <c r="B413" s="3252">
        <v>17500</v>
      </c>
      <c r="C413" s="3252">
        <v>2168</v>
      </c>
      <c r="D413" s="3252">
        <v>1748</v>
      </c>
      <c r="E413" s="3252">
        <v>2168</v>
      </c>
      <c r="F413" s="3252">
        <v>1974</v>
      </c>
      <c r="G413" s="1698"/>
    </row>
    <row r="414" spans="1:7" ht="15.75">
      <c r="A414" s="3252">
        <v>17500</v>
      </c>
      <c r="B414" s="3252">
        <v>17550</v>
      </c>
      <c r="C414" s="3252">
        <v>2175</v>
      </c>
      <c r="D414" s="3252">
        <v>1753</v>
      </c>
      <c r="E414" s="3252">
        <v>2175</v>
      </c>
      <c r="F414" s="3252">
        <v>1981</v>
      </c>
      <c r="G414" s="1698"/>
    </row>
    <row r="415" spans="1:7" ht="15.75">
      <c r="A415" s="3252">
        <v>17550</v>
      </c>
      <c r="B415" s="3252">
        <v>17600</v>
      </c>
      <c r="C415" s="3252">
        <v>2183</v>
      </c>
      <c r="D415" s="3252">
        <v>1758</v>
      </c>
      <c r="E415" s="3252">
        <v>2183</v>
      </c>
      <c r="F415" s="3252">
        <v>1989</v>
      </c>
      <c r="G415" s="1698"/>
    </row>
    <row r="416" spans="1:7" ht="15.75">
      <c r="A416" s="3252">
        <v>17600</v>
      </c>
      <c r="B416" s="3252">
        <v>17650</v>
      </c>
      <c r="C416" s="3252">
        <v>2190</v>
      </c>
      <c r="D416" s="3252">
        <v>1763</v>
      </c>
      <c r="E416" s="3252">
        <v>2190</v>
      </c>
      <c r="F416" s="3252">
        <v>1996</v>
      </c>
      <c r="G416" s="1698"/>
    </row>
    <row r="417" spans="1:7" ht="15.75">
      <c r="A417" s="3252">
        <v>17650</v>
      </c>
      <c r="B417" s="3252">
        <v>17700</v>
      </c>
      <c r="C417" s="3252">
        <v>2198</v>
      </c>
      <c r="D417" s="3252">
        <v>1768</v>
      </c>
      <c r="E417" s="3252">
        <v>2198</v>
      </c>
      <c r="F417" s="3252">
        <v>2004</v>
      </c>
      <c r="G417" s="1698"/>
    </row>
    <row r="418" spans="1:7" ht="15.75">
      <c r="A418" s="3252">
        <v>17700</v>
      </c>
      <c r="B418" s="3252">
        <v>17750</v>
      </c>
      <c r="C418" s="3252">
        <v>2205</v>
      </c>
      <c r="D418" s="3252">
        <v>1773</v>
      </c>
      <c r="E418" s="3252">
        <v>2205</v>
      </c>
      <c r="F418" s="3252">
        <v>2011</v>
      </c>
      <c r="G418" s="1698"/>
    </row>
    <row r="419" spans="1:7" ht="15.75">
      <c r="A419" s="3252">
        <v>17750</v>
      </c>
      <c r="B419" s="3252">
        <v>17800</v>
      </c>
      <c r="C419" s="3252">
        <v>2213</v>
      </c>
      <c r="D419" s="3252">
        <v>1778</v>
      </c>
      <c r="E419" s="3252">
        <v>2213</v>
      </c>
      <c r="F419" s="3252">
        <v>2019</v>
      </c>
      <c r="G419" s="1698"/>
    </row>
    <row r="420" spans="1:7" ht="15.75">
      <c r="A420" s="3252">
        <v>17800</v>
      </c>
      <c r="B420" s="3252">
        <v>17850</v>
      </c>
      <c r="C420" s="3252">
        <v>2220</v>
      </c>
      <c r="D420" s="3252">
        <v>1783</v>
      </c>
      <c r="E420" s="3252">
        <v>2220</v>
      </c>
      <c r="F420" s="3252">
        <v>2026</v>
      </c>
      <c r="G420" s="1698"/>
    </row>
    <row r="421" spans="1:7" ht="15.75">
      <c r="A421" s="3252">
        <v>17850</v>
      </c>
      <c r="B421" s="3252">
        <v>17900</v>
      </c>
      <c r="C421" s="3252">
        <v>2228</v>
      </c>
      <c r="D421" s="3252">
        <v>1788</v>
      </c>
      <c r="E421" s="3252">
        <v>2228</v>
      </c>
      <c r="F421" s="3252">
        <v>2034</v>
      </c>
      <c r="G421" s="1698"/>
    </row>
    <row r="422" spans="1:7" ht="15.75">
      <c r="A422" s="3252">
        <v>17900</v>
      </c>
      <c r="B422" s="3252">
        <v>17950</v>
      </c>
      <c r="C422" s="3252">
        <v>2235</v>
      </c>
      <c r="D422" s="3252">
        <v>1793</v>
      </c>
      <c r="E422" s="3252">
        <v>2235</v>
      </c>
      <c r="F422" s="3252">
        <v>2041</v>
      </c>
      <c r="G422" s="1698"/>
    </row>
    <row r="423" spans="1:7" ht="15.75">
      <c r="A423" s="3252">
        <v>17950</v>
      </c>
      <c r="B423" s="3252">
        <v>18000</v>
      </c>
      <c r="C423" s="3252">
        <v>2243</v>
      </c>
      <c r="D423" s="3252">
        <v>1798</v>
      </c>
      <c r="E423" s="3252">
        <v>2243</v>
      </c>
      <c r="F423" s="3252">
        <v>2049</v>
      </c>
      <c r="G423" s="1698"/>
    </row>
    <row r="424" spans="1:7" ht="15.75">
      <c r="A424" s="3252">
        <v>18000</v>
      </c>
      <c r="B424" s="3252">
        <v>18050</v>
      </c>
      <c r="C424" s="3252">
        <v>2250</v>
      </c>
      <c r="D424" s="3252">
        <v>1803</v>
      </c>
      <c r="E424" s="3252">
        <v>2250</v>
      </c>
      <c r="F424" s="3252">
        <v>2056</v>
      </c>
      <c r="G424" s="1698"/>
    </row>
    <row r="425" spans="1:7" ht="15.75">
      <c r="A425" s="3252">
        <v>18050</v>
      </c>
      <c r="B425" s="3252">
        <v>18100</v>
      </c>
      <c r="C425" s="3252">
        <v>2258</v>
      </c>
      <c r="D425" s="3252">
        <v>1808</v>
      </c>
      <c r="E425" s="3252">
        <v>2258</v>
      </c>
      <c r="F425" s="3252">
        <v>2064</v>
      </c>
      <c r="G425" s="1698"/>
    </row>
    <row r="426" spans="1:7" ht="15.75">
      <c r="A426" s="3252">
        <v>18100</v>
      </c>
      <c r="B426" s="3252">
        <v>18150</v>
      </c>
      <c r="C426" s="3252">
        <v>2265</v>
      </c>
      <c r="D426" s="3252">
        <v>1813</v>
      </c>
      <c r="E426" s="3252">
        <v>2265</v>
      </c>
      <c r="F426" s="3252">
        <v>2071</v>
      </c>
      <c r="G426" s="1698"/>
    </row>
    <row r="427" spans="1:7" ht="15.75">
      <c r="A427" s="3252">
        <v>18150</v>
      </c>
      <c r="B427" s="3252">
        <v>18200</v>
      </c>
      <c r="C427" s="3252">
        <v>2273</v>
      </c>
      <c r="D427" s="3252">
        <v>1819</v>
      </c>
      <c r="E427" s="3252">
        <v>2273</v>
      </c>
      <c r="F427" s="3252">
        <v>2079</v>
      </c>
      <c r="G427" s="1698"/>
    </row>
    <row r="428" spans="1:7" ht="15.75">
      <c r="A428" s="3252">
        <v>18200</v>
      </c>
      <c r="B428" s="3252">
        <v>18250</v>
      </c>
      <c r="C428" s="3252">
        <v>2280</v>
      </c>
      <c r="D428" s="3252">
        <v>1826</v>
      </c>
      <c r="E428" s="3252">
        <v>2280</v>
      </c>
      <c r="F428" s="3252">
        <v>2086</v>
      </c>
      <c r="G428" s="1698"/>
    </row>
    <row r="429" spans="1:7" ht="15.75">
      <c r="A429" s="3252">
        <v>18250</v>
      </c>
      <c r="B429" s="3252">
        <v>18300</v>
      </c>
      <c r="C429" s="3252">
        <v>2288</v>
      </c>
      <c r="D429" s="3252">
        <v>1834</v>
      </c>
      <c r="E429" s="3252">
        <v>2288</v>
      </c>
      <c r="F429" s="3252">
        <v>2094</v>
      </c>
      <c r="G429" s="1698"/>
    </row>
    <row r="430" spans="1:7" ht="15.75">
      <c r="A430" s="3252">
        <v>18300</v>
      </c>
      <c r="B430" s="3252">
        <v>18350</v>
      </c>
      <c r="C430" s="3252">
        <v>2295</v>
      </c>
      <c r="D430" s="3252">
        <v>1841</v>
      </c>
      <c r="E430" s="3252">
        <v>2295</v>
      </c>
      <c r="F430" s="3252">
        <v>2101</v>
      </c>
      <c r="G430" s="1698"/>
    </row>
    <row r="431" spans="1:7" ht="15.75">
      <c r="A431" s="3252">
        <v>18350</v>
      </c>
      <c r="B431" s="3252">
        <v>18400</v>
      </c>
      <c r="C431" s="3252">
        <v>2303</v>
      </c>
      <c r="D431" s="3252">
        <v>1849</v>
      </c>
      <c r="E431" s="3252">
        <v>2303</v>
      </c>
      <c r="F431" s="3252">
        <v>2109</v>
      </c>
      <c r="G431" s="1698"/>
    </row>
    <row r="432" spans="1:7" ht="15.75">
      <c r="A432" s="3252">
        <v>18400</v>
      </c>
      <c r="B432" s="3252">
        <v>18450</v>
      </c>
      <c r="C432" s="3252">
        <v>2310</v>
      </c>
      <c r="D432" s="3252">
        <v>1856</v>
      </c>
      <c r="E432" s="3252">
        <v>2310</v>
      </c>
      <c r="F432" s="3252">
        <v>2116</v>
      </c>
      <c r="G432" s="1698"/>
    </row>
    <row r="433" spans="1:7" ht="15.75">
      <c r="A433" s="3252">
        <v>18450</v>
      </c>
      <c r="B433" s="3252">
        <v>18500</v>
      </c>
      <c r="C433" s="3252">
        <v>2318</v>
      </c>
      <c r="D433" s="3252">
        <v>1864</v>
      </c>
      <c r="E433" s="3252">
        <v>2318</v>
      </c>
      <c r="F433" s="3252">
        <v>2124</v>
      </c>
      <c r="G433" s="1698"/>
    </row>
    <row r="434" spans="1:7" ht="15.75">
      <c r="A434" s="3252">
        <v>18500</v>
      </c>
      <c r="B434" s="3252">
        <v>18550</v>
      </c>
      <c r="C434" s="3252">
        <v>2325</v>
      </c>
      <c r="D434" s="3252">
        <v>1871</v>
      </c>
      <c r="E434" s="3252">
        <v>2325</v>
      </c>
      <c r="F434" s="3252">
        <v>2131</v>
      </c>
      <c r="G434" s="1698"/>
    </row>
    <row r="435" spans="1:7" ht="15.75">
      <c r="A435" s="3252">
        <v>18550</v>
      </c>
      <c r="B435" s="3252">
        <v>18600</v>
      </c>
      <c r="C435" s="3252">
        <v>2333</v>
      </c>
      <c r="D435" s="3252">
        <v>1879</v>
      </c>
      <c r="E435" s="3252">
        <v>2333</v>
      </c>
      <c r="F435" s="3252">
        <v>2139</v>
      </c>
      <c r="G435" s="1698"/>
    </row>
    <row r="436" spans="1:7" ht="15.75">
      <c r="A436" s="3252">
        <v>18600</v>
      </c>
      <c r="B436" s="3252">
        <v>18650</v>
      </c>
      <c r="C436" s="3252">
        <v>2340</v>
      </c>
      <c r="D436" s="3252">
        <v>1886</v>
      </c>
      <c r="E436" s="3252">
        <v>2340</v>
      </c>
      <c r="F436" s="3252">
        <v>2146</v>
      </c>
      <c r="G436" s="1698"/>
    </row>
    <row r="437" spans="1:7" ht="15.75">
      <c r="A437" s="3252">
        <v>18650</v>
      </c>
      <c r="B437" s="3252">
        <v>18700</v>
      </c>
      <c r="C437" s="3252">
        <v>2348</v>
      </c>
      <c r="D437" s="3252">
        <v>1894</v>
      </c>
      <c r="E437" s="3252">
        <v>2348</v>
      </c>
      <c r="F437" s="3252">
        <v>2154</v>
      </c>
      <c r="G437" s="1698"/>
    </row>
    <row r="438" spans="1:7" ht="15.75">
      <c r="A438" s="3252">
        <v>18700</v>
      </c>
      <c r="B438" s="3252">
        <v>18750</v>
      </c>
      <c r="C438" s="3252">
        <v>2355</v>
      </c>
      <c r="D438" s="3252">
        <v>1901</v>
      </c>
      <c r="E438" s="3252">
        <v>2355</v>
      </c>
      <c r="F438" s="3252">
        <v>2161</v>
      </c>
      <c r="G438" s="1698"/>
    </row>
    <row r="439" spans="1:7" ht="15.75">
      <c r="A439" s="3252">
        <v>18750</v>
      </c>
      <c r="B439" s="3252">
        <v>18800</v>
      </c>
      <c r="C439" s="3252">
        <v>2363</v>
      </c>
      <c r="D439" s="3252">
        <v>1909</v>
      </c>
      <c r="E439" s="3252">
        <v>2363</v>
      </c>
      <c r="F439" s="3252">
        <v>2169</v>
      </c>
      <c r="G439" s="1698"/>
    </row>
    <row r="440" spans="1:7" ht="15.75">
      <c r="A440" s="3252">
        <v>18800</v>
      </c>
      <c r="B440" s="3252">
        <v>18850</v>
      </c>
      <c r="C440" s="3252">
        <v>2370</v>
      </c>
      <c r="D440" s="3252">
        <v>1916</v>
      </c>
      <c r="E440" s="3252">
        <v>2370</v>
      </c>
      <c r="F440" s="3252">
        <v>2176</v>
      </c>
      <c r="G440" s="1698"/>
    </row>
    <row r="441" spans="1:7" ht="15.75">
      <c r="A441" s="3252">
        <v>18850</v>
      </c>
      <c r="B441" s="3252">
        <v>18900</v>
      </c>
      <c r="C441" s="3252">
        <v>2378</v>
      </c>
      <c r="D441" s="3252">
        <v>1924</v>
      </c>
      <c r="E441" s="3252">
        <v>2378</v>
      </c>
      <c r="F441" s="3252">
        <v>2184</v>
      </c>
      <c r="G441" s="1698"/>
    </row>
    <row r="442" spans="1:7" ht="15.75">
      <c r="A442" s="3252">
        <v>18900</v>
      </c>
      <c r="B442" s="3252">
        <v>18950</v>
      </c>
      <c r="C442" s="3252">
        <v>2385</v>
      </c>
      <c r="D442" s="3252">
        <v>1931</v>
      </c>
      <c r="E442" s="3252">
        <v>2385</v>
      </c>
      <c r="F442" s="3252">
        <v>2191</v>
      </c>
      <c r="G442" s="1698"/>
    </row>
    <row r="443" spans="1:7" ht="15.75">
      <c r="A443" s="3252">
        <v>18950</v>
      </c>
      <c r="B443" s="3252">
        <v>19000</v>
      </c>
      <c r="C443" s="3252">
        <v>2393</v>
      </c>
      <c r="D443" s="3252">
        <v>1939</v>
      </c>
      <c r="E443" s="3252">
        <v>2393</v>
      </c>
      <c r="F443" s="3252">
        <v>2199</v>
      </c>
      <c r="G443" s="1698"/>
    </row>
    <row r="444" spans="1:7" ht="15.75">
      <c r="A444" s="3252">
        <v>19000</v>
      </c>
      <c r="B444" s="3252">
        <v>19050</v>
      </c>
      <c r="C444" s="3252">
        <v>2400</v>
      </c>
      <c r="D444" s="3252">
        <v>1946</v>
      </c>
      <c r="E444" s="3252">
        <v>2400</v>
      </c>
      <c r="F444" s="3252">
        <v>2206</v>
      </c>
      <c r="G444" s="1698"/>
    </row>
    <row r="445" spans="1:7" ht="15.75">
      <c r="A445" s="3252">
        <v>19050</v>
      </c>
      <c r="B445" s="3252">
        <v>19100</v>
      </c>
      <c r="C445" s="3252">
        <v>2408</v>
      </c>
      <c r="D445" s="3252">
        <v>1954</v>
      </c>
      <c r="E445" s="3252">
        <v>2408</v>
      </c>
      <c r="F445" s="3252">
        <v>2214</v>
      </c>
      <c r="G445" s="1698"/>
    </row>
    <row r="446" spans="1:7" ht="15.75">
      <c r="A446" s="3252">
        <v>19100</v>
      </c>
      <c r="B446" s="3252">
        <v>19150</v>
      </c>
      <c r="C446" s="3252">
        <v>2415</v>
      </c>
      <c r="D446" s="3252">
        <v>1961</v>
      </c>
      <c r="E446" s="3252">
        <v>2415</v>
      </c>
      <c r="F446" s="3252">
        <v>2221</v>
      </c>
      <c r="G446" s="1698"/>
    </row>
    <row r="447" spans="1:7" ht="15.75">
      <c r="A447" s="3252">
        <v>19150</v>
      </c>
      <c r="B447" s="3252">
        <v>19200</v>
      </c>
      <c r="C447" s="3252">
        <v>2423</v>
      </c>
      <c r="D447" s="3252">
        <v>1969</v>
      </c>
      <c r="E447" s="3252">
        <v>2423</v>
      </c>
      <c r="F447" s="3252">
        <v>2229</v>
      </c>
      <c r="G447" s="1698"/>
    </row>
    <row r="448" spans="1:7" ht="15.75">
      <c r="A448" s="3252">
        <v>19200</v>
      </c>
      <c r="B448" s="3252">
        <v>19250</v>
      </c>
      <c r="C448" s="3252">
        <v>2430</v>
      </c>
      <c r="D448" s="3252">
        <v>1976</v>
      </c>
      <c r="E448" s="3252">
        <v>2430</v>
      </c>
      <c r="F448" s="3252">
        <v>2236</v>
      </c>
      <c r="G448" s="1698"/>
    </row>
    <row r="449" spans="1:7" ht="15.75">
      <c r="A449" s="3252">
        <v>19250</v>
      </c>
      <c r="B449" s="3252">
        <v>19300</v>
      </c>
      <c r="C449" s="3252">
        <v>2438</v>
      </c>
      <c r="D449" s="3252">
        <v>1984</v>
      </c>
      <c r="E449" s="3252">
        <v>2438</v>
      </c>
      <c r="F449" s="3252">
        <v>2244</v>
      </c>
      <c r="G449" s="1698"/>
    </row>
    <row r="450" spans="1:7" ht="15.75">
      <c r="A450" s="3252">
        <v>19300</v>
      </c>
      <c r="B450" s="3252">
        <v>19350</v>
      </c>
      <c r="C450" s="3252">
        <v>2445</v>
      </c>
      <c r="D450" s="3252">
        <v>1991</v>
      </c>
      <c r="E450" s="3252">
        <v>2445</v>
      </c>
      <c r="F450" s="3252">
        <v>2251</v>
      </c>
      <c r="G450" s="1698"/>
    </row>
    <row r="451" spans="1:7" ht="15.75">
      <c r="A451" s="3252">
        <v>19350</v>
      </c>
      <c r="B451" s="3252">
        <v>19400</v>
      </c>
      <c r="C451" s="3252">
        <v>2453</v>
      </c>
      <c r="D451" s="3252">
        <v>1999</v>
      </c>
      <c r="E451" s="3252">
        <v>2453</v>
      </c>
      <c r="F451" s="3252">
        <v>2259</v>
      </c>
      <c r="G451" s="1698"/>
    </row>
    <row r="452" spans="1:7" ht="15.75">
      <c r="A452" s="3252">
        <v>19400</v>
      </c>
      <c r="B452" s="3252">
        <v>19450</v>
      </c>
      <c r="C452" s="3252">
        <v>2460</v>
      </c>
      <c r="D452" s="3252">
        <v>2006</v>
      </c>
      <c r="E452" s="3252">
        <v>2460</v>
      </c>
      <c r="F452" s="3252">
        <v>2266</v>
      </c>
      <c r="G452" s="1698"/>
    </row>
    <row r="453" spans="1:7" ht="15.75">
      <c r="A453" s="3252">
        <v>19450</v>
      </c>
      <c r="B453" s="3252">
        <v>19500</v>
      </c>
      <c r="C453" s="3252">
        <v>2468</v>
      </c>
      <c r="D453" s="3252">
        <v>2014</v>
      </c>
      <c r="E453" s="3252">
        <v>2468</v>
      </c>
      <c r="F453" s="3252">
        <v>2274</v>
      </c>
      <c r="G453" s="1698"/>
    </row>
    <row r="454" spans="1:7" ht="15.75">
      <c r="A454" s="3252">
        <v>19500</v>
      </c>
      <c r="B454" s="3252">
        <v>19550</v>
      </c>
      <c r="C454" s="3252">
        <v>2475</v>
      </c>
      <c r="D454" s="3252">
        <v>2021</v>
      </c>
      <c r="E454" s="3252">
        <v>2475</v>
      </c>
      <c r="F454" s="3252">
        <v>2281</v>
      </c>
      <c r="G454" s="1698"/>
    </row>
    <row r="455" spans="1:7" ht="15.75">
      <c r="A455" s="3252">
        <v>19550</v>
      </c>
      <c r="B455" s="3252">
        <v>19600</v>
      </c>
      <c r="C455" s="3252">
        <v>2483</v>
      </c>
      <c r="D455" s="3252">
        <v>2029</v>
      </c>
      <c r="E455" s="3252">
        <v>2483</v>
      </c>
      <c r="F455" s="3252">
        <v>2289</v>
      </c>
      <c r="G455" s="1698"/>
    </row>
    <row r="456" spans="1:7" ht="15.75">
      <c r="A456" s="3252">
        <v>19600</v>
      </c>
      <c r="B456" s="3252">
        <v>19650</v>
      </c>
      <c r="C456" s="3252">
        <v>2490</v>
      </c>
      <c r="D456" s="3252">
        <v>2036</v>
      </c>
      <c r="E456" s="3252">
        <v>2490</v>
      </c>
      <c r="F456" s="3252">
        <v>2296</v>
      </c>
      <c r="G456" s="1698"/>
    </row>
    <row r="457" spans="1:7" ht="15.75">
      <c r="A457" s="3252">
        <v>19650</v>
      </c>
      <c r="B457" s="3252">
        <v>19700</v>
      </c>
      <c r="C457" s="3252">
        <v>2498</v>
      </c>
      <c r="D457" s="3252">
        <v>2044</v>
      </c>
      <c r="E457" s="3252">
        <v>2498</v>
      </c>
      <c r="F457" s="3252">
        <v>2304</v>
      </c>
      <c r="G457" s="1698"/>
    </row>
    <row r="458" spans="1:7" ht="15.75">
      <c r="A458" s="3252">
        <v>19700</v>
      </c>
      <c r="B458" s="3252">
        <v>19750</v>
      </c>
      <c r="C458" s="3252">
        <v>2505</v>
      </c>
      <c r="D458" s="3252">
        <v>2051</v>
      </c>
      <c r="E458" s="3252">
        <v>2505</v>
      </c>
      <c r="F458" s="3252">
        <v>2311</v>
      </c>
      <c r="G458" s="1698"/>
    </row>
    <row r="459" spans="1:7" ht="15.75">
      <c r="A459" s="3252">
        <v>19750</v>
      </c>
      <c r="B459" s="3252">
        <v>19800</v>
      </c>
      <c r="C459" s="3252">
        <v>2513</v>
      </c>
      <c r="D459" s="3252">
        <v>2059</v>
      </c>
      <c r="E459" s="3252">
        <v>2513</v>
      </c>
      <c r="F459" s="3252">
        <v>2319</v>
      </c>
      <c r="G459" s="1698"/>
    </row>
    <row r="460" spans="1:7" ht="15.75">
      <c r="A460" s="3252">
        <v>19800</v>
      </c>
      <c r="B460" s="3252">
        <v>19850</v>
      </c>
      <c r="C460" s="3252">
        <v>2520</v>
      </c>
      <c r="D460" s="3252">
        <v>2066</v>
      </c>
      <c r="E460" s="3252">
        <v>2520</v>
      </c>
      <c r="F460" s="3252">
        <v>2326</v>
      </c>
      <c r="G460" s="1698"/>
    </row>
    <row r="461" spans="1:7" ht="15.75">
      <c r="A461" s="3252">
        <v>19850</v>
      </c>
      <c r="B461" s="3252">
        <v>19900</v>
      </c>
      <c r="C461" s="3252">
        <v>2528</v>
      </c>
      <c r="D461" s="3252">
        <v>2074</v>
      </c>
      <c r="E461" s="3252">
        <v>2528</v>
      </c>
      <c r="F461" s="3252">
        <v>2334</v>
      </c>
      <c r="G461" s="1698"/>
    </row>
    <row r="462" spans="1:7" ht="15.75">
      <c r="A462" s="3252">
        <v>19900</v>
      </c>
      <c r="B462" s="3252">
        <v>19950</v>
      </c>
      <c r="C462" s="3252">
        <v>2535</v>
      </c>
      <c r="D462" s="3252">
        <v>2081</v>
      </c>
      <c r="E462" s="3252">
        <v>2535</v>
      </c>
      <c r="F462" s="3252">
        <v>2341</v>
      </c>
      <c r="G462" s="1698"/>
    </row>
    <row r="463" spans="1:7" ht="15.75">
      <c r="A463" s="3252">
        <v>19950</v>
      </c>
      <c r="B463" s="3252">
        <v>20000</v>
      </c>
      <c r="C463" s="3252">
        <v>2543</v>
      </c>
      <c r="D463" s="3252">
        <v>2089</v>
      </c>
      <c r="E463" s="3252">
        <v>2543</v>
      </c>
      <c r="F463" s="3252">
        <v>2349</v>
      </c>
      <c r="G463" s="1698"/>
    </row>
    <row r="464" spans="1:7" ht="15.75">
      <c r="A464" s="3252">
        <v>20000</v>
      </c>
      <c r="B464" s="3252">
        <v>20050</v>
      </c>
      <c r="C464" s="3252">
        <v>2550</v>
      </c>
      <c r="D464" s="3252">
        <v>2096</v>
      </c>
      <c r="E464" s="3252">
        <v>2550</v>
      </c>
      <c r="F464" s="3252">
        <v>2356</v>
      </c>
      <c r="G464" s="1698"/>
    </row>
    <row r="465" spans="1:7" ht="15.75">
      <c r="A465" s="3252">
        <v>20050</v>
      </c>
      <c r="B465" s="3252">
        <v>20100</v>
      </c>
      <c r="C465" s="3252">
        <v>2558</v>
      </c>
      <c r="D465" s="3252">
        <v>2104</v>
      </c>
      <c r="E465" s="3252">
        <v>2558</v>
      </c>
      <c r="F465" s="3252">
        <v>2364</v>
      </c>
      <c r="G465" s="1698"/>
    </row>
    <row r="466" spans="1:7" ht="15.75">
      <c r="A466" s="3252">
        <v>20100</v>
      </c>
      <c r="B466" s="3252">
        <v>20150</v>
      </c>
      <c r="C466" s="3252">
        <v>2565</v>
      </c>
      <c r="D466" s="3252">
        <v>2111</v>
      </c>
      <c r="E466" s="3252">
        <v>2565</v>
      </c>
      <c r="F466" s="3252">
        <v>2371</v>
      </c>
      <c r="G466" s="1698"/>
    </row>
    <row r="467" spans="1:7" ht="15.75">
      <c r="A467" s="3252">
        <v>20150</v>
      </c>
      <c r="B467" s="3252">
        <v>20200</v>
      </c>
      <c r="C467" s="3252">
        <v>2573</v>
      </c>
      <c r="D467" s="3252">
        <v>2119</v>
      </c>
      <c r="E467" s="3252">
        <v>2573</v>
      </c>
      <c r="F467" s="3252">
        <v>2379</v>
      </c>
      <c r="G467" s="1698"/>
    </row>
    <row r="468" spans="1:7" ht="15.75">
      <c r="A468" s="3252">
        <v>20200</v>
      </c>
      <c r="B468" s="3252">
        <v>20250</v>
      </c>
      <c r="C468" s="3252">
        <v>2580</v>
      </c>
      <c r="D468" s="3252">
        <v>2126</v>
      </c>
      <c r="E468" s="3252">
        <v>2580</v>
      </c>
      <c r="F468" s="3252">
        <v>2386</v>
      </c>
      <c r="G468" s="1698"/>
    </row>
    <row r="469" spans="1:7" ht="15.75">
      <c r="A469" s="3252">
        <v>20250</v>
      </c>
      <c r="B469" s="3252">
        <v>20300</v>
      </c>
      <c r="C469" s="3252">
        <v>2588</v>
      </c>
      <c r="D469" s="3252">
        <v>2134</v>
      </c>
      <c r="E469" s="3252">
        <v>2588</v>
      </c>
      <c r="F469" s="3252">
        <v>2394</v>
      </c>
      <c r="G469" s="1698"/>
    </row>
    <row r="470" spans="1:7" ht="15.75">
      <c r="A470" s="3252">
        <v>20300</v>
      </c>
      <c r="B470" s="3252">
        <v>20350</v>
      </c>
      <c r="C470" s="3252">
        <v>2595</v>
      </c>
      <c r="D470" s="3252">
        <v>2141</v>
      </c>
      <c r="E470" s="3252">
        <v>2595</v>
      </c>
      <c r="F470" s="3252">
        <v>2401</v>
      </c>
      <c r="G470" s="1698"/>
    </row>
    <row r="471" spans="1:7" ht="15.75">
      <c r="A471" s="3252">
        <v>20350</v>
      </c>
      <c r="B471" s="3252">
        <v>20400</v>
      </c>
      <c r="C471" s="3252">
        <v>2603</v>
      </c>
      <c r="D471" s="3252">
        <v>2149</v>
      </c>
      <c r="E471" s="3252">
        <v>2603</v>
      </c>
      <c r="F471" s="3252">
        <v>2409</v>
      </c>
      <c r="G471" s="1698"/>
    </row>
    <row r="472" spans="1:7" ht="15.75">
      <c r="A472" s="3252">
        <v>20400</v>
      </c>
      <c r="B472" s="3252">
        <v>20450</v>
      </c>
      <c r="C472" s="3252">
        <v>2610</v>
      </c>
      <c r="D472" s="3252">
        <v>2156</v>
      </c>
      <c r="E472" s="3252">
        <v>2610</v>
      </c>
      <c r="F472" s="3252">
        <v>2416</v>
      </c>
      <c r="G472" s="1698"/>
    </row>
    <row r="473" spans="1:7" ht="15.75">
      <c r="A473" s="3252">
        <v>20450</v>
      </c>
      <c r="B473" s="3252">
        <v>20500</v>
      </c>
      <c r="C473" s="3252">
        <v>2618</v>
      </c>
      <c r="D473" s="3252">
        <v>2164</v>
      </c>
      <c r="E473" s="3252">
        <v>2618</v>
      </c>
      <c r="F473" s="3252">
        <v>2424</v>
      </c>
      <c r="G473" s="1698"/>
    </row>
    <row r="474" spans="1:7" ht="15.75">
      <c r="A474" s="3252">
        <v>20500</v>
      </c>
      <c r="B474" s="3252">
        <v>20550</v>
      </c>
      <c r="C474" s="3252">
        <v>2625</v>
      </c>
      <c r="D474" s="3252">
        <v>2171</v>
      </c>
      <c r="E474" s="3252">
        <v>2625</v>
      </c>
      <c r="F474" s="3252">
        <v>2431</v>
      </c>
      <c r="G474" s="1698"/>
    </row>
    <row r="475" spans="1:7" ht="15.75">
      <c r="A475" s="3252">
        <v>20550</v>
      </c>
      <c r="B475" s="3252">
        <v>20600</v>
      </c>
      <c r="C475" s="3252">
        <v>2633</v>
      </c>
      <c r="D475" s="3252">
        <v>2179</v>
      </c>
      <c r="E475" s="3252">
        <v>2633</v>
      </c>
      <c r="F475" s="3252">
        <v>2439</v>
      </c>
      <c r="G475" s="1698"/>
    </row>
    <row r="476" spans="1:7" ht="15.75">
      <c r="A476" s="3252">
        <v>20600</v>
      </c>
      <c r="B476" s="3252">
        <v>20650</v>
      </c>
      <c r="C476" s="3252">
        <v>2640</v>
      </c>
      <c r="D476" s="3252">
        <v>2186</v>
      </c>
      <c r="E476" s="3252">
        <v>2640</v>
      </c>
      <c r="F476" s="3252">
        <v>2446</v>
      </c>
      <c r="G476" s="1698"/>
    </row>
    <row r="477" spans="1:7" ht="15.75">
      <c r="A477" s="3252">
        <v>20650</v>
      </c>
      <c r="B477" s="3252">
        <v>20700</v>
      </c>
      <c r="C477" s="3252">
        <v>2648</v>
      </c>
      <c r="D477" s="3252">
        <v>2194</v>
      </c>
      <c r="E477" s="3252">
        <v>2648</v>
      </c>
      <c r="F477" s="3252">
        <v>2454</v>
      </c>
      <c r="G477" s="1698"/>
    </row>
    <row r="478" spans="1:7" ht="15.75">
      <c r="A478" s="3252">
        <v>20700</v>
      </c>
      <c r="B478" s="3252">
        <v>20750</v>
      </c>
      <c r="C478" s="3252">
        <v>2655</v>
      </c>
      <c r="D478" s="3252">
        <v>2201</v>
      </c>
      <c r="E478" s="3252">
        <v>2655</v>
      </c>
      <c r="F478" s="3252">
        <v>2461</v>
      </c>
      <c r="G478" s="1698"/>
    </row>
    <row r="479" spans="1:7" ht="15.75">
      <c r="A479" s="3252">
        <v>20750</v>
      </c>
      <c r="B479" s="3252">
        <v>20800</v>
      </c>
      <c r="C479" s="3252">
        <v>2663</v>
      </c>
      <c r="D479" s="3252">
        <v>2209</v>
      </c>
      <c r="E479" s="3252">
        <v>2663</v>
      </c>
      <c r="F479" s="3252">
        <v>2469</v>
      </c>
      <c r="G479" s="1698"/>
    </row>
    <row r="480" spans="1:7" ht="15.75">
      <c r="A480" s="3252">
        <v>20800</v>
      </c>
      <c r="B480" s="3252">
        <v>20850</v>
      </c>
      <c r="C480" s="3252">
        <v>2670</v>
      </c>
      <c r="D480" s="3252">
        <v>2216</v>
      </c>
      <c r="E480" s="3252">
        <v>2670</v>
      </c>
      <c r="F480" s="3252">
        <v>2476</v>
      </c>
      <c r="G480" s="1698"/>
    </row>
    <row r="481" spans="1:7" ht="15.75">
      <c r="A481" s="3252">
        <v>20850</v>
      </c>
      <c r="B481" s="3252">
        <v>20900</v>
      </c>
      <c r="C481" s="3252">
        <v>2678</v>
      </c>
      <c r="D481" s="3252">
        <v>2224</v>
      </c>
      <c r="E481" s="3252">
        <v>2678</v>
      </c>
      <c r="F481" s="3252">
        <v>2484</v>
      </c>
      <c r="G481" s="1698"/>
    </row>
    <row r="482" spans="1:7" ht="15.75">
      <c r="A482" s="3252">
        <v>20900</v>
      </c>
      <c r="B482" s="3252">
        <v>20950</v>
      </c>
      <c r="C482" s="3252">
        <v>2685</v>
      </c>
      <c r="D482" s="3252">
        <v>2231</v>
      </c>
      <c r="E482" s="3252">
        <v>2685</v>
      </c>
      <c r="F482" s="3252">
        <v>2491</v>
      </c>
      <c r="G482" s="1698"/>
    </row>
    <row r="483" spans="1:7" ht="15.75">
      <c r="A483" s="3252">
        <v>20950</v>
      </c>
      <c r="B483" s="3252">
        <v>21000</v>
      </c>
      <c r="C483" s="3252">
        <v>2693</v>
      </c>
      <c r="D483" s="3252">
        <v>2239</v>
      </c>
      <c r="E483" s="3252">
        <v>2693</v>
      </c>
      <c r="F483" s="3252">
        <v>2499</v>
      </c>
      <c r="G483" s="1698"/>
    </row>
    <row r="484" spans="1:7" ht="15.75">
      <c r="A484" s="3252">
        <v>21000</v>
      </c>
      <c r="B484" s="3252">
        <v>21050</v>
      </c>
      <c r="C484" s="3252">
        <v>2700</v>
      </c>
      <c r="D484" s="3252">
        <v>2246</v>
      </c>
      <c r="E484" s="3252">
        <v>2700</v>
      </c>
      <c r="F484" s="3252">
        <v>2506</v>
      </c>
      <c r="G484" s="1698"/>
    </row>
    <row r="485" spans="1:7" ht="15.75">
      <c r="A485" s="3252">
        <v>21050</v>
      </c>
      <c r="B485" s="3252">
        <v>21100</v>
      </c>
      <c r="C485" s="3252">
        <v>2708</v>
      </c>
      <c r="D485" s="3252">
        <v>2254</v>
      </c>
      <c r="E485" s="3252">
        <v>2708</v>
      </c>
      <c r="F485" s="3252">
        <v>2514</v>
      </c>
      <c r="G485" s="1698"/>
    </row>
    <row r="486" spans="1:7" ht="15.75">
      <c r="A486" s="3252">
        <v>21100</v>
      </c>
      <c r="B486" s="3252">
        <v>21150</v>
      </c>
      <c r="C486" s="3252">
        <v>2715</v>
      </c>
      <c r="D486" s="3252">
        <v>2261</v>
      </c>
      <c r="E486" s="3252">
        <v>2715</v>
      </c>
      <c r="F486" s="3252">
        <v>2521</v>
      </c>
      <c r="G486" s="1698"/>
    </row>
    <row r="487" spans="1:7" ht="15.75">
      <c r="A487" s="3252">
        <v>21150</v>
      </c>
      <c r="B487" s="3252">
        <v>21200</v>
      </c>
      <c r="C487" s="3252">
        <v>2723</v>
      </c>
      <c r="D487" s="3252">
        <v>2269</v>
      </c>
      <c r="E487" s="3252">
        <v>2723</v>
      </c>
      <c r="F487" s="3252">
        <v>2529</v>
      </c>
      <c r="G487" s="1698"/>
    </row>
    <row r="488" spans="1:7" ht="15.75">
      <c r="A488" s="3252">
        <v>21200</v>
      </c>
      <c r="B488" s="3252">
        <v>21250</v>
      </c>
      <c r="C488" s="3252">
        <v>2730</v>
      </c>
      <c r="D488" s="3252">
        <v>2276</v>
      </c>
      <c r="E488" s="3252">
        <v>2730</v>
      </c>
      <c r="F488" s="3252">
        <v>2536</v>
      </c>
      <c r="G488" s="1698"/>
    </row>
    <row r="489" spans="1:7" ht="15.75">
      <c r="A489" s="3252">
        <v>21250</v>
      </c>
      <c r="B489" s="3252">
        <v>21300</v>
      </c>
      <c r="C489" s="3252">
        <v>2738</v>
      </c>
      <c r="D489" s="3252">
        <v>2284</v>
      </c>
      <c r="E489" s="3252">
        <v>2738</v>
      </c>
      <c r="F489" s="3252">
        <v>2544</v>
      </c>
      <c r="G489" s="1698"/>
    </row>
    <row r="490" spans="1:7" ht="15.75">
      <c r="A490" s="3252">
        <v>21300</v>
      </c>
      <c r="B490" s="3252">
        <v>21350</v>
      </c>
      <c r="C490" s="3252">
        <v>2745</v>
      </c>
      <c r="D490" s="3252">
        <v>2291</v>
      </c>
      <c r="E490" s="3252">
        <v>2745</v>
      </c>
      <c r="F490" s="3252">
        <v>2551</v>
      </c>
      <c r="G490" s="1698"/>
    </row>
    <row r="491" spans="1:7" ht="15.75">
      <c r="A491" s="3252">
        <v>21350</v>
      </c>
      <c r="B491" s="3252">
        <v>21400</v>
      </c>
      <c r="C491" s="3252">
        <v>2753</v>
      </c>
      <c r="D491" s="3252">
        <v>2299</v>
      </c>
      <c r="E491" s="3252">
        <v>2753</v>
      </c>
      <c r="F491" s="3252">
        <v>2559</v>
      </c>
      <c r="G491" s="1698"/>
    </row>
    <row r="492" spans="1:7" ht="15.75">
      <c r="A492" s="3252">
        <v>21400</v>
      </c>
      <c r="B492" s="3252">
        <v>21450</v>
      </c>
      <c r="C492" s="3252">
        <v>2760</v>
      </c>
      <c r="D492" s="3252">
        <v>2306</v>
      </c>
      <c r="E492" s="3252">
        <v>2760</v>
      </c>
      <c r="F492" s="3252">
        <v>2566</v>
      </c>
      <c r="G492" s="1698"/>
    </row>
    <row r="493" spans="1:7" ht="15.75">
      <c r="A493" s="3252">
        <v>21450</v>
      </c>
      <c r="B493" s="3252">
        <v>21500</v>
      </c>
      <c r="C493" s="3252">
        <v>2768</v>
      </c>
      <c r="D493" s="3252">
        <v>2314</v>
      </c>
      <c r="E493" s="3252">
        <v>2768</v>
      </c>
      <c r="F493" s="3252">
        <v>2574</v>
      </c>
      <c r="G493" s="1698"/>
    </row>
    <row r="494" spans="1:7" ht="15.75">
      <c r="A494" s="3252">
        <v>21500</v>
      </c>
      <c r="B494" s="3252">
        <v>21550</v>
      </c>
      <c r="C494" s="3252">
        <v>2775</v>
      </c>
      <c r="D494" s="3252">
        <v>2321</v>
      </c>
      <c r="E494" s="3252">
        <v>2775</v>
      </c>
      <c r="F494" s="3252">
        <v>2581</v>
      </c>
      <c r="G494" s="1698"/>
    </row>
    <row r="495" spans="1:7" ht="15.75">
      <c r="A495" s="3252">
        <v>21550</v>
      </c>
      <c r="B495" s="3252">
        <v>21600</v>
      </c>
      <c r="C495" s="3252">
        <v>2783</v>
      </c>
      <c r="D495" s="3252">
        <v>2329</v>
      </c>
      <c r="E495" s="3252">
        <v>2783</v>
      </c>
      <c r="F495" s="3252">
        <v>2589</v>
      </c>
      <c r="G495" s="1698"/>
    </row>
    <row r="496" spans="1:7" ht="15.75">
      <c r="A496" s="3252">
        <v>21600</v>
      </c>
      <c r="B496" s="3252">
        <v>21650</v>
      </c>
      <c r="C496" s="3252">
        <v>2790</v>
      </c>
      <c r="D496" s="3252">
        <v>2336</v>
      </c>
      <c r="E496" s="3252">
        <v>2790</v>
      </c>
      <c r="F496" s="3252">
        <v>2596</v>
      </c>
      <c r="G496" s="1698"/>
    </row>
    <row r="497" spans="1:7" ht="15.75">
      <c r="A497" s="3252">
        <v>21650</v>
      </c>
      <c r="B497" s="3252">
        <v>21700</v>
      </c>
      <c r="C497" s="3252">
        <v>2798</v>
      </c>
      <c r="D497" s="3252">
        <v>2344</v>
      </c>
      <c r="E497" s="3252">
        <v>2798</v>
      </c>
      <c r="F497" s="3252">
        <v>2604</v>
      </c>
      <c r="G497" s="1698"/>
    </row>
    <row r="498" spans="1:7" ht="15.75">
      <c r="A498" s="3252">
        <v>21700</v>
      </c>
      <c r="B498" s="3252">
        <v>21750</v>
      </c>
      <c r="C498" s="3252">
        <v>2805</v>
      </c>
      <c r="D498" s="3252">
        <v>2351</v>
      </c>
      <c r="E498" s="3252">
        <v>2805</v>
      </c>
      <c r="F498" s="3252">
        <v>2611</v>
      </c>
      <c r="G498" s="1698"/>
    </row>
    <row r="499" spans="1:7" ht="15.75">
      <c r="A499" s="3252">
        <v>21750</v>
      </c>
      <c r="B499" s="3252">
        <v>21800</v>
      </c>
      <c r="C499" s="3252">
        <v>2813</v>
      </c>
      <c r="D499" s="3252">
        <v>2359</v>
      </c>
      <c r="E499" s="3252">
        <v>2813</v>
      </c>
      <c r="F499" s="3252">
        <v>2619</v>
      </c>
      <c r="G499" s="1698"/>
    </row>
    <row r="500" spans="1:7" ht="15.75">
      <c r="A500" s="3252">
        <v>21800</v>
      </c>
      <c r="B500" s="3252">
        <v>21850</v>
      </c>
      <c r="C500" s="3252">
        <v>2820</v>
      </c>
      <c r="D500" s="3252">
        <v>2366</v>
      </c>
      <c r="E500" s="3252">
        <v>2820</v>
      </c>
      <c r="F500" s="3252">
        <v>2626</v>
      </c>
      <c r="G500" s="1698"/>
    </row>
    <row r="501" spans="1:7" ht="15.75">
      <c r="A501" s="3252">
        <v>21850</v>
      </c>
      <c r="B501" s="3252">
        <v>21900</v>
      </c>
      <c r="C501" s="3252">
        <v>2828</v>
      </c>
      <c r="D501" s="3252">
        <v>2374</v>
      </c>
      <c r="E501" s="3252">
        <v>2828</v>
      </c>
      <c r="F501" s="3252">
        <v>2634</v>
      </c>
      <c r="G501" s="1698"/>
    </row>
    <row r="502" spans="1:7" ht="15.75">
      <c r="A502" s="3252">
        <v>21900</v>
      </c>
      <c r="B502" s="3252">
        <v>21950</v>
      </c>
      <c r="C502" s="3252">
        <v>2835</v>
      </c>
      <c r="D502" s="3252">
        <v>2381</v>
      </c>
      <c r="E502" s="3252">
        <v>2835</v>
      </c>
      <c r="F502" s="3252">
        <v>2641</v>
      </c>
      <c r="G502" s="1698"/>
    </row>
    <row r="503" spans="1:7" ht="15.75">
      <c r="A503" s="3252">
        <v>21950</v>
      </c>
      <c r="B503" s="3252">
        <v>22000</v>
      </c>
      <c r="C503" s="3252">
        <v>2843</v>
      </c>
      <c r="D503" s="3252">
        <v>2389</v>
      </c>
      <c r="E503" s="3252">
        <v>2843</v>
      </c>
      <c r="F503" s="3252">
        <v>2649</v>
      </c>
      <c r="G503" s="1698"/>
    </row>
    <row r="504" spans="1:7" ht="15.75">
      <c r="A504" s="3252">
        <v>22000</v>
      </c>
      <c r="B504" s="3252">
        <v>22050</v>
      </c>
      <c r="C504" s="3252">
        <v>2850</v>
      </c>
      <c r="D504" s="3252">
        <v>2396</v>
      </c>
      <c r="E504" s="3252">
        <v>2850</v>
      </c>
      <c r="F504" s="3252">
        <v>2656</v>
      </c>
      <c r="G504" s="1698"/>
    </row>
    <row r="505" spans="1:7" ht="15.75">
      <c r="A505" s="3252">
        <v>22050</v>
      </c>
      <c r="B505" s="3252">
        <v>22100</v>
      </c>
      <c r="C505" s="3252">
        <v>2858</v>
      </c>
      <c r="D505" s="3252">
        <v>2404</v>
      </c>
      <c r="E505" s="3252">
        <v>2858</v>
      </c>
      <c r="F505" s="3252">
        <v>2664</v>
      </c>
      <c r="G505" s="1698"/>
    </row>
    <row r="506" spans="1:7" ht="15.75">
      <c r="A506" s="3252">
        <v>22100</v>
      </c>
      <c r="B506" s="3252">
        <v>22150</v>
      </c>
      <c r="C506" s="3252">
        <v>2865</v>
      </c>
      <c r="D506" s="3252">
        <v>2411</v>
      </c>
      <c r="E506" s="3252">
        <v>2865</v>
      </c>
      <c r="F506" s="3252">
        <v>2671</v>
      </c>
      <c r="G506" s="1698"/>
    </row>
    <row r="507" spans="1:7" ht="15.75">
      <c r="A507" s="3252">
        <v>22150</v>
      </c>
      <c r="B507" s="3252">
        <v>22200</v>
      </c>
      <c r="C507" s="3252">
        <v>2873</v>
      </c>
      <c r="D507" s="3252">
        <v>2419</v>
      </c>
      <c r="E507" s="3252">
        <v>2873</v>
      </c>
      <c r="F507" s="3252">
        <v>2679</v>
      </c>
      <c r="G507" s="1698"/>
    </row>
    <row r="508" spans="1:7" ht="15.75">
      <c r="A508" s="3252">
        <v>22200</v>
      </c>
      <c r="B508" s="3252">
        <v>22250</v>
      </c>
      <c r="C508" s="3252">
        <v>2880</v>
      </c>
      <c r="D508" s="3252">
        <v>2426</v>
      </c>
      <c r="E508" s="3252">
        <v>2880</v>
      </c>
      <c r="F508" s="3252">
        <v>2686</v>
      </c>
      <c r="G508" s="1698"/>
    </row>
    <row r="509" spans="1:7" ht="15.75">
      <c r="A509" s="3252">
        <v>22250</v>
      </c>
      <c r="B509" s="3252">
        <v>22300</v>
      </c>
      <c r="C509" s="3252">
        <v>2888</v>
      </c>
      <c r="D509" s="3252">
        <v>2434</v>
      </c>
      <c r="E509" s="3252">
        <v>2888</v>
      </c>
      <c r="F509" s="3252">
        <v>2694</v>
      </c>
      <c r="G509" s="1698"/>
    </row>
    <row r="510" spans="1:7" ht="15.75">
      <c r="A510" s="3252">
        <v>22300</v>
      </c>
      <c r="B510" s="3252">
        <v>22350</v>
      </c>
      <c r="C510" s="3252">
        <v>2895</v>
      </c>
      <c r="D510" s="3252">
        <v>2441</v>
      </c>
      <c r="E510" s="3252">
        <v>2895</v>
      </c>
      <c r="F510" s="3252">
        <v>2701</v>
      </c>
      <c r="G510" s="1698"/>
    </row>
    <row r="511" spans="1:7" ht="15.75">
      <c r="A511" s="3252">
        <v>22350</v>
      </c>
      <c r="B511" s="3252">
        <v>22400</v>
      </c>
      <c r="C511" s="3252">
        <v>2903</v>
      </c>
      <c r="D511" s="3252">
        <v>2449</v>
      </c>
      <c r="E511" s="3252">
        <v>2903</v>
      </c>
      <c r="F511" s="3252">
        <v>2709</v>
      </c>
      <c r="G511" s="1698"/>
    </row>
    <row r="512" spans="1:7" ht="15.75">
      <c r="A512" s="3252">
        <v>22400</v>
      </c>
      <c r="B512" s="3252">
        <v>22450</v>
      </c>
      <c r="C512" s="3252">
        <v>2910</v>
      </c>
      <c r="D512" s="3252">
        <v>2456</v>
      </c>
      <c r="E512" s="3252">
        <v>2910</v>
      </c>
      <c r="F512" s="3252">
        <v>2716</v>
      </c>
      <c r="G512" s="1698"/>
    </row>
    <row r="513" spans="1:7" ht="15.75">
      <c r="A513" s="3252">
        <v>22450</v>
      </c>
      <c r="B513" s="3252">
        <v>22500</v>
      </c>
      <c r="C513" s="3252">
        <v>2918</v>
      </c>
      <c r="D513" s="3252">
        <v>2464</v>
      </c>
      <c r="E513" s="3252">
        <v>2918</v>
      </c>
      <c r="F513" s="3252">
        <v>2724</v>
      </c>
      <c r="G513" s="1698"/>
    </row>
    <row r="514" spans="1:7" ht="15.75">
      <c r="A514" s="3252">
        <v>22500</v>
      </c>
      <c r="B514" s="3252">
        <v>22550</v>
      </c>
      <c r="C514" s="3252">
        <v>2925</v>
      </c>
      <c r="D514" s="3252">
        <v>2471</v>
      </c>
      <c r="E514" s="3252">
        <v>2925</v>
      </c>
      <c r="F514" s="3252">
        <v>2731</v>
      </c>
      <c r="G514" s="1698"/>
    </row>
    <row r="515" spans="1:7" ht="15.75">
      <c r="A515" s="3252">
        <v>22550</v>
      </c>
      <c r="B515" s="3252">
        <v>22600</v>
      </c>
      <c r="C515" s="3252">
        <v>2933</v>
      </c>
      <c r="D515" s="3252">
        <v>2479</v>
      </c>
      <c r="E515" s="3252">
        <v>2933</v>
      </c>
      <c r="F515" s="3252">
        <v>2739</v>
      </c>
      <c r="G515" s="1698"/>
    </row>
    <row r="516" spans="1:7" ht="15.75">
      <c r="A516" s="3252">
        <v>22600</v>
      </c>
      <c r="B516" s="3252">
        <v>22650</v>
      </c>
      <c r="C516" s="3252">
        <v>2940</v>
      </c>
      <c r="D516" s="3252">
        <v>2486</v>
      </c>
      <c r="E516" s="3252">
        <v>2940</v>
      </c>
      <c r="F516" s="3252">
        <v>2746</v>
      </c>
      <c r="G516" s="1698"/>
    </row>
    <row r="517" spans="1:7" ht="15.75">
      <c r="A517" s="3252">
        <v>22650</v>
      </c>
      <c r="B517" s="3252">
        <v>22700</v>
      </c>
      <c r="C517" s="3252">
        <v>2948</v>
      </c>
      <c r="D517" s="3252">
        <v>2494</v>
      </c>
      <c r="E517" s="3252">
        <v>2948</v>
      </c>
      <c r="F517" s="3252">
        <v>2754</v>
      </c>
      <c r="G517" s="1698"/>
    </row>
    <row r="518" spans="1:7" ht="15.75">
      <c r="A518" s="3252">
        <v>22700</v>
      </c>
      <c r="B518" s="3252">
        <v>22750</v>
      </c>
      <c r="C518" s="3252">
        <v>2955</v>
      </c>
      <c r="D518" s="3252">
        <v>2501</v>
      </c>
      <c r="E518" s="3252">
        <v>2955</v>
      </c>
      <c r="F518" s="3252">
        <v>2761</v>
      </c>
      <c r="G518" s="1698"/>
    </row>
    <row r="519" spans="1:7" ht="15.75">
      <c r="A519" s="3252">
        <v>22750</v>
      </c>
      <c r="B519" s="3252">
        <v>22800</v>
      </c>
      <c r="C519" s="3252">
        <v>2963</v>
      </c>
      <c r="D519" s="3252">
        <v>2509</v>
      </c>
      <c r="E519" s="3252">
        <v>2963</v>
      </c>
      <c r="F519" s="3252">
        <v>2769</v>
      </c>
      <c r="G519" s="1698"/>
    </row>
    <row r="520" spans="1:7" ht="15.75">
      <c r="A520" s="3252">
        <v>22800</v>
      </c>
      <c r="B520" s="3252">
        <v>22850</v>
      </c>
      <c r="C520" s="3252">
        <v>2970</v>
      </c>
      <c r="D520" s="3252">
        <v>2516</v>
      </c>
      <c r="E520" s="3252">
        <v>2970</v>
      </c>
      <c r="F520" s="3252">
        <v>2776</v>
      </c>
      <c r="G520" s="1698"/>
    </row>
    <row r="521" spans="1:7" ht="15.75">
      <c r="A521" s="3252">
        <v>22850</v>
      </c>
      <c r="B521" s="3252">
        <v>22900</v>
      </c>
      <c r="C521" s="3252">
        <v>2978</v>
      </c>
      <c r="D521" s="3252">
        <v>2524</v>
      </c>
      <c r="E521" s="3252">
        <v>2978</v>
      </c>
      <c r="F521" s="3252">
        <v>2784</v>
      </c>
      <c r="G521" s="1698"/>
    </row>
    <row r="522" spans="1:7" ht="15.75">
      <c r="A522" s="3252">
        <v>22900</v>
      </c>
      <c r="B522" s="3252">
        <v>22950</v>
      </c>
      <c r="C522" s="3252">
        <v>2985</v>
      </c>
      <c r="D522" s="3252">
        <v>2531</v>
      </c>
      <c r="E522" s="3252">
        <v>2985</v>
      </c>
      <c r="F522" s="3252">
        <v>2791</v>
      </c>
      <c r="G522" s="1698"/>
    </row>
    <row r="523" spans="1:7" ht="15.75">
      <c r="A523" s="3252">
        <v>22950</v>
      </c>
      <c r="B523" s="3252">
        <v>23000</v>
      </c>
      <c r="C523" s="3252">
        <v>2993</v>
      </c>
      <c r="D523" s="3252">
        <v>2539</v>
      </c>
      <c r="E523" s="3252">
        <v>2993</v>
      </c>
      <c r="F523" s="3252">
        <v>2799</v>
      </c>
      <c r="G523" s="1698"/>
    </row>
    <row r="524" spans="1:7" ht="15.75">
      <c r="A524" s="3252">
        <v>23000</v>
      </c>
      <c r="B524" s="3252">
        <v>23050</v>
      </c>
      <c r="C524" s="3252">
        <v>3000</v>
      </c>
      <c r="D524" s="3252">
        <v>2546</v>
      </c>
      <c r="E524" s="3252">
        <v>3000</v>
      </c>
      <c r="F524" s="3252">
        <v>2806</v>
      </c>
      <c r="G524" s="1698"/>
    </row>
    <row r="525" spans="1:7" ht="15.75">
      <c r="A525" s="3252">
        <v>23050</v>
      </c>
      <c r="B525" s="3252">
        <v>23100</v>
      </c>
      <c r="C525" s="3252">
        <v>3008</v>
      </c>
      <c r="D525" s="3252">
        <v>2554</v>
      </c>
      <c r="E525" s="3252">
        <v>3008</v>
      </c>
      <c r="F525" s="3252">
        <v>2814</v>
      </c>
      <c r="G525" s="1698"/>
    </row>
    <row r="526" spans="1:7" ht="15.75">
      <c r="A526" s="3252">
        <v>23100</v>
      </c>
      <c r="B526" s="3252">
        <v>23150</v>
      </c>
      <c r="C526" s="3252">
        <v>3015</v>
      </c>
      <c r="D526" s="3252">
        <v>2561</v>
      </c>
      <c r="E526" s="3252">
        <v>3015</v>
      </c>
      <c r="F526" s="3252">
        <v>2821</v>
      </c>
      <c r="G526" s="1698"/>
    </row>
    <row r="527" spans="1:7" ht="15.75">
      <c r="A527" s="3252">
        <v>23150</v>
      </c>
      <c r="B527" s="3252">
        <v>23200</v>
      </c>
      <c r="C527" s="3252">
        <v>3023</v>
      </c>
      <c r="D527" s="3252">
        <v>2569</v>
      </c>
      <c r="E527" s="3252">
        <v>3023</v>
      </c>
      <c r="F527" s="3252">
        <v>2829</v>
      </c>
      <c r="G527" s="1698"/>
    </row>
    <row r="528" spans="1:7" ht="15.75">
      <c r="A528" s="3252">
        <v>23200</v>
      </c>
      <c r="B528" s="3252">
        <v>23250</v>
      </c>
      <c r="C528" s="3252">
        <v>3030</v>
      </c>
      <c r="D528" s="3252">
        <v>2576</v>
      </c>
      <c r="E528" s="3252">
        <v>3030</v>
      </c>
      <c r="F528" s="3252">
        <v>2836</v>
      </c>
      <c r="G528" s="1698"/>
    </row>
    <row r="529" spans="1:7" ht="15.75">
      <c r="A529" s="3252">
        <v>23250</v>
      </c>
      <c r="B529" s="3252">
        <v>23300</v>
      </c>
      <c r="C529" s="3252">
        <v>3038</v>
      </c>
      <c r="D529" s="3252">
        <v>2584</v>
      </c>
      <c r="E529" s="3252">
        <v>3038</v>
      </c>
      <c r="F529" s="3252">
        <v>2844</v>
      </c>
      <c r="G529" s="1698"/>
    </row>
    <row r="530" spans="1:7" ht="15.75">
      <c r="A530" s="3252">
        <v>23300</v>
      </c>
      <c r="B530" s="3252">
        <v>23350</v>
      </c>
      <c r="C530" s="3252">
        <v>3045</v>
      </c>
      <c r="D530" s="3252">
        <v>2591</v>
      </c>
      <c r="E530" s="3252">
        <v>3045</v>
      </c>
      <c r="F530" s="3252">
        <v>2851</v>
      </c>
      <c r="G530" s="1698"/>
    </row>
    <row r="531" spans="1:7" ht="15.75">
      <c r="A531" s="3252">
        <v>23350</v>
      </c>
      <c r="B531" s="3252">
        <v>23400</v>
      </c>
      <c r="C531" s="3252">
        <v>3053</v>
      </c>
      <c r="D531" s="3252">
        <v>2599</v>
      </c>
      <c r="E531" s="3252">
        <v>3053</v>
      </c>
      <c r="F531" s="3252">
        <v>2859</v>
      </c>
      <c r="G531" s="1698"/>
    </row>
    <row r="532" spans="1:7" ht="15.75">
      <c r="A532" s="3252">
        <v>23400</v>
      </c>
      <c r="B532" s="3252">
        <v>23450</v>
      </c>
      <c r="C532" s="3252">
        <v>3060</v>
      </c>
      <c r="D532" s="3252">
        <v>2606</v>
      </c>
      <c r="E532" s="3252">
        <v>3060</v>
      </c>
      <c r="F532" s="3252">
        <v>2866</v>
      </c>
      <c r="G532" s="1698"/>
    </row>
    <row r="533" spans="1:7" ht="15.75">
      <c r="A533" s="3252">
        <v>23450</v>
      </c>
      <c r="B533" s="3252">
        <v>23500</v>
      </c>
      <c r="C533" s="3252">
        <v>3068</v>
      </c>
      <c r="D533" s="3252">
        <v>2614</v>
      </c>
      <c r="E533" s="3252">
        <v>3068</v>
      </c>
      <c r="F533" s="3252">
        <v>2874</v>
      </c>
      <c r="G533" s="1698"/>
    </row>
    <row r="534" spans="1:7" ht="15.75">
      <c r="A534" s="3252">
        <v>23500</v>
      </c>
      <c r="B534" s="3252">
        <v>23550</v>
      </c>
      <c r="C534" s="3252">
        <v>3075</v>
      </c>
      <c r="D534" s="3252">
        <v>2621</v>
      </c>
      <c r="E534" s="3252">
        <v>3075</v>
      </c>
      <c r="F534" s="3252">
        <v>2881</v>
      </c>
      <c r="G534" s="1698"/>
    </row>
    <row r="535" spans="1:7" ht="15.75">
      <c r="A535" s="3252">
        <v>23550</v>
      </c>
      <c r="B535" s="3252">
        <v>23600</v>
      </c>
      <c r="C535" s="3252">
        <v>3083</v>
      </c>
      <c r="D535" s="3252">
        <v>2629</v>
      </c>
      <c r="E535" s="3252">
        <v>3083</v>
      </c>
      <c r="F535" s="3252">
        <v>2889</v>
      </c>
      <c r="G535" s="1698"/>
    </row>
    <row r="536" spans="1:7" ht="15.75">
      <c r="A536" s="3252">
        <v>23600</v>
      </c>
      <c r="B536" s="3252">
        <v>23650</v>
      </c>
      <c r="C536" s="3252">
        <v>3090</v>
      </c>
      <c r="D536" s="3252">
        <v>2636</v>
      </c>
      <c r="E536" s="3252">
        <v>3090</v>
      </c>
      <c r="F536" s="3252">
        <v>2896</v>
      </c>
      <c r="G536" s="1698"/>
    </row>
    <row r="537" spans="1:7" ht="15.75">
      <c r="A537" s="3252">
        <v>23650</v>
      </c>
      <c r="B537" s="3252">
        <v>23700</v>
      </c>
      <c r="C537" s="3252">
        <v>3098</v>
      </c>
      <c r="D537" s="3252">
        <v>2644</v>
      </c>
      <c r="E537" s="3252">
        <v>3098</v>
      </c>
      <c r="F537" s="3252">
        <v>2904</v>
      </c>
      <c r="G537" s="1698"/>
    </row>
    <row r="538" spans="1:7" ht="15.75">
      <c r="A538" s="3252">
        <v>23700</v>
      </c>
      <c r="B538" s="3252">
        <v>23750</v>
      </c>
      <c r="C538" s="3252">
        <v>3105</v>
      </c>
      <c r="D538" s="3252">
        <v>2651</v>
      </c>
      <c r="E538" s="3252">
        <v>3105</v>
      </c>
      <c r="F538" s="3252">
        <v>2911</v>
      </c>
      <c r="G538" s="1698"/>
    </row>
    <row r="539" spans="1:7" ht="15.75">
      <c r="A539" s="3252">
        <v>23750</v>
      </c>
      <c r="B539" s="3252">
        <v>23800</v>
      </c>
      <c r="C539" s="3252">
        <v>3113</v>
      </c>
      <c r="D539" s="3252">
        <v>2659</v>
      </c>
      <c r="E539" s="3252">
        <v>3113</v>
      </c>
      <c r="F539" s="3252">
        <v>2919</v>
      </c>
      <c r="G539" s="1698"/>
    </row>
    <row r="540" spans="1:7" ht="15.75">
      <c r="A540" s="3252">
        <v>23800</v>
      </c>
      <c r="B540" s="3252">
        <v>23850</v>
      </c>
      <c r="C540" s="3252">
        <v>3120</v>
      </c>
      <c r="D540" s="3252">
        <v>2666</v>
      </c>
      <c r="E540" s="3252">
        <v>3120</v>
      </c>
      <c r="F540" s="3252">
        <v>2926</v>
      </c>
      <c r="G540" s="1698"/>
    </row>
    <row r="541" spans="1:7" ht="15.75">
      <c r="A541" s="3252">
        <v>23850</v>
      </c>
      <c r="B541" s="3252">
        <v>23900</v>
      </c>
      <c r="C541" s="3252">
        <v>3128</v>
      </c>
      <c r="D541" s="3252">
        <v>2674</v>
      </c>
      <c r="E541" s="3252">
        <v>3128</v>
      </c>
      <c r="F541" s="3252">
        <v>2934</v>
      </c>
      <c r="G541" s="1698"/>
    </row>
    <row r="542" spans="1:7" ht="15.75">
      <c r="A542" s="3252">
        <v>23900</v>
      </c>
      <c r="B542" s="3252">
        <v>23950</v>
      </c>
      <c r="C542" s="3252">
        <v>3135</v>
      </c>
      <c r="D542" s="3252">
        <v>2681</v>
      </c>
      <c r="E542" s="3252">
        <v>3135</v>
      </c>
      <c r="F542" s="3252">
        <v>2941</v>
      </c>
      <c r="G542" s="1698"/>
    </row>
    <row r="543" spans="1:7" ht="15.75">
      <c r="A543" s="3252">
        <v>23950</v>
      </c>
      <c r="B543" s="3252">
        <v>24000</v>
      </c>
      <c r="C543" s="3252">
        <v>3143</v>
      </c>
      <c r="D543" s="3252">
        <v>2689</v>
      </c>
      <c r="E543" s="3252">
        <v>3143</v>
      </c>
      <c r="F543" s="3252">
        <v>2949</v>
      </c>
      <c r="G543" s="1698"/>
    </row>
    <row r="544" spans="1:7" ht="15.75">
      <c r="A544" s="3252">
        <v>24000</v>
      </c>
      <c r="B544" s="3252">
        <v>24050</v>
      </c>
      <c r="C544" s="3252">
        <v>3150</v>
      </c>
      <c r="D544" s="3252">
        <v>2696</v>
      </c>
      <c r="E544" s="3252">
        <v>3150</v>
      </c>
      <c r="F544" s="3252">
        <v>2956</v>
      </c>
      <c r="G544" s="1698"/>
    </row>
    <row r="545" spans="1:7" ht="15.75">
      <c r="A545" s="3252">
        <v>24050</v>
      </c>
      <c r="B545" s="3252">
        <v>24100</v>
      </c>
      <c r="C545" s="3252">
        <v>3158</v>
      </c>
      <c r="D545" s="3252">
        <v>2704</v>
      </c>
      <c r="E545" s="3252">
        <v>3158</v>
      </c>
      <c r="F545" s="3252">
        <v>2964</v>
      </c>
      <c r="G545" s="1698"/>
    </row>
    <row r="546" spans="1:7" ht="15.75">
      <c r="A546" s="3252">
        <v>24100</v>
      </c>
      <c r="B546" s="3252">
        <v>24150</v>
      </c>
      <c r="C546" s="3252">
        <v>3165</v>
      </c>
      <c r="D546" s="3252">
        <v>2711</v>
      </c>
      <c r="E546" s="3252">
        <v>3165</v>
      </c>
      <c r="F546" s="3252">
        <v>2971</v>
      </c>
      <c r="G546" s="1698"/>
    </row>
    <row r="547" spans="1:7" ht="15.75">
      <c r="A547" s="3252">
        <v>24150</v>
      </c>
      <c r="B547" s="3252">
        <v>24200</v>
      </c>
      <c r="C547" s="3252">
        <v>3173</v>
      </c>
      <c r="D547" s="3252">
        <v>2719</v>
      </c>
      <c r="E547" s="3252">
        <v>3173</v>
      </c>
      <c r="F547" s="3252">
        <v>2979</v>
      </c>
      <c r="G547" s="1698"/>
    </row>
    <row r="548" spans="1:7" ht="15.75">
      <c r="A548" s="3252">
        <v>24200</v>
      </c>
      <c r="B548" s="3252">
        <v>24250</v>
      </c>
      <c r="C548" s="3252">
        <v>3180</v>
      </c>
      <c r="D548" s="3252">
        <v>2726</v>
      </c>
      <c r="E548" s="3252">
        <v>3180</v>
      </c>
      <c r="F548" s="3252">
        <v>2986</v>
      </c>
      <c r="G548" s="1698"/>
    </row>
    <row r="549" spans="1:7" ht="15.75">
      <c r="A549" s="3252">
        <v>24250</v>
      </c>
      <c r="B549" s="3252">
        <v>24300</v>
      </c>
      <c r="C549" s="3252">
        <v>3188</v>
      </c>
      <c r="D549" s="3252">
        <v>2734</v>
      </c>
      <c r="E549" s="3252">
        <v>3188</v>
      </c>
      <c r="F549" s="3252">
        <v>2994</v>
      </c>
      <c r="G549" s="1698"/>
    </row>
    <row r="550" spans="1:7" ht="15.75">
      <c r="A550" s="3252">
        <v>24300</v>
      </c>
      <c r="B550" s="3252">
        <v>24350</v>
      </c>
      <c r="C550" s="3252">
        <v>3195</v>
      </c>
      <c r="D550" s="3252">
        <v>2741</v>
      </c>
      <c r="E550" s="3252">
        <v>3195</v>
      </c>
      <c r="F550" s="3252">
        <v>3001</v>
      </c>
      <c r="G550" s="1698"/>
    </row>
    <row r="551" spans="1:7" ht="15.75">
      <c r="A551" s="3252">
        <v>24350</v>
      </c>
      <c r="B551" s="3252">
        <v>24400</v>
      </c>
      <c r="C551" s="3252">
        <v>3203</v>
      </c>
      <c r="D551" s="3252">
        <v>2749</v>
      </c>
      <c r="E551" s="3252">
        <v>3203</v>
      </c>
      <c r="F551" s="3252">
        <v>3009</v>
      </c>
      <c r="G551" s="1698"/>
    </row>
    <row r="552" spans="1:7" ht="15.75">
      <c r="A552" s="3252">
        <v>24400</v>
      </c>
      <c r="B552" s="3252">
        <v>24450</v>
      </c>
      <c r="C552" s="3252">
        <v>3210</v>
      </c>
      <c r="D552" s="3252">
        <v>2756</v>
      </c>
      <c r="E552" s="3252">
        <v>3210</v>
      </c>
      <c r="F552" s="3252">
        <v>3016</v>
      </c>
      <c r="G552" s="1698"/>
    </row>
    <row r="553" spans="1:7" ht="15.75">
      <c r="A553" s="3252">
        <v>24450</v>
      </c>
      <c r="B553" s="3252">
        <v>24500</v>
      </c>
      <c r="C553" s="3252">
        <v>3218</v>
      </c>
      <c r="D553" s="3252">
        <v>2764</v>
      </c>
      <c r="E553" s="3252">
        <v>3218</v>
      </c>
      <c r="F553" s="3252">
        <v>3024</v>
      </c>
      <c r="G553" s="1698"/>
    </row>
    <row r="554" spans="1:7" ht="15.75">
      <c r="A554" s="3252">
        <v>24500</v>
      </c>
      <c r="B554" s="3252">
        <v>24550</v>
      </c>
      <c r="C554" s="3252">
        <v>3225</v>
      </c>
      <c r="D554" s="3252">
        <v>2771</v>
      </c>
      <c r="E554" s="3252">
        <v>3225</v>
      </c>
      <c r="F554" s="3252">
        <v>3031</v>
      </c>
      <c r="G554" s="1698"/>
    </row>
    <row r="555" spans="1:7" ht="15.75">
      <c r="A555" s="3252">
        <v>24550</v>
      </c>
      <c r="B555" s="3252">
        <v>24600</v>
      </c>
      <c r="C555" s="3252">
        <v>3233</v>
      </c>
      <c r="D555" s="3252">
        <v>2779</v>
      </c>
      <c r="E555" s="3252">
        <v>3233</v>
      </c>
      <c r="F555" s="3252">
        <v>3039</v>
      </c>
      <c r="G555" s="1698"/>
    </row>
    <row r="556" spans="1:7" ht="15.75">
      <c r="A556" s="3252">
        <v>24600</v>
      </c>
      <c r="B556" s="3252">
        <v>24650</v>
      </c>
      <c r="C556" s="3252">
        <v>3240</v>
      </c>
      <c r="D556" s="3252">
        <v>2786</v>
      </c>
      <c r="E556" s="3252">
        <v>3240</v>
      </c>
      <c r="F556" s="3252">
        <v>3046</v>
      </c>
      <c r="G556" s="1698"/>
    </row>
    <row r="557" spans="1:7" ht="15.75">
      <c r="A557" s="3252">
        <v>24650</v>
      </c>
      <c r="B557" s="3252">
        <v>24700</v>
      </c>
      <c r="C557" s="3252">
        <v>3248</v>
      </c>
      <c r="D557" s="3252">
        <v>2794</v>
      </c>
      <c r="E557" s="3252">
        <v>3248</v>
      </c>
      <c r="F557" s="3252">
        <v>3054</v>
      </c>
      <c r="G557" s="1698"/>
    </row>
    <row r="558" spans="1:7" ht="15.75">
      <c r="A558" s="3252">
        <v>24700</v>
      </c>
      <c r="B558" s="3252">
        <v>24750</v>
      </c>
      <c r="C558" s="3252">
        <v>3255</v>
      </c>
      <c r="D558" s="3252">
        <v>2801</v>
      </c>
      <c r="E558" s="3252">
        <v>3255</v>
      </c>
      <c r="F558" s="3252">
        <v>3061</v>
      </c>
      <c r="G558" s="1698"/>
    </row>
    <row r="559" spans="1:7" ht="15.75">
      <c r="A559" s="3252">
        <v>24750</v>
      </c>
      <c r="B559" s="3252">
        <v>24800</v>
      </c>
      <c r="C559" s="3252">
        <v>3263</v>
      </c>
      <c r="D559" s="3252">
        <v>2809</v>
      </c>
      <c r="E559" s="3252">
        <v>3263</v>
      </c>
      <c r="F559" s="3252">
        <v>3069</v>
      </c>
      <c r="G559" s="1698"/>
    </row>
    <row r="560" spans="1:7" ht="15.75">
      <c r="A560" s="3252">
        <v>24800</v>
      </c>
      <c r="B560" s="3252">
        <v>24850</v>
      </c>
      <c r="C560" s="3252">
        <v>3270</v>
      </c>
      <c r="D560" s="3252">
        <v>2816</v>
      </c>
      <c r="E560" s="3252">
        <v>3270</v>
      </c>
      <c r="F560" s="3252">
        <v>3076</v>
      </c>
      <c r="G560" s="1698"/>
    </row>
    <row r="561" spans="1:7" ht="15.75">
      <c r="A561" s="3252">
        <v>24850</v>
      </c>
      <c r="B561" s="3252">
        <v>24900</v>
      </c>
      <c r="C561" s="3252">
        <v>3278</v>
      </c>
      <c r="D561" s="3252">
        <v>2824</v>
      </c>
      <c r="E561" s="3252">
        <v>3278</v>
      </c>
      <c r="F561" s="3252">
        <v>3084</v>
      </c>
      <c r="G561" s="1698"/>
    </row>
    <row r="562" spans="1:7" ht="15.75">
      <c r="A562" s="3252">
        <v>24900</v>
      </c>
      <c r="B562" s="3252">
        <v>24950</v>
      </c>
      <c r="C562" s="3252">
        <v>3285</v>
      </c>
      <c r="D562" s="3252">
        <v>2831</v>
      </c>
      <c r="E562" s="3252">
        <v>3285</v>
      </c>
      <c r="F562" s="3252">
        <v>3091</v>
      </c>
      <c r="G562" s="1698"/>
    </row>
    <row r="563" spans="1:7" ht="15.75">
      <c r="A563" s="3252">
        <v>24950</v>
      </c>
      <c r="B563" s="3252">
        <v>25000</v>
      </c>
      <c r="C563" s="3252">
        <v>3293</v>
      </c>
      <c r="D563" s="3252">
        <v>2839</v>
      </c>
      <c r="E563" s="3252">
        <v>3293</v>
      </c>
      <c r="F563" s="3252">
        <v>3099</v>
      </c>
      <c r="G563" s="1698"/>
    </row>
    <row r="564" spans="1:7" ht="15.75">
      <c r="A564" s="3252">
        <v>25000</v>
      </c>
      <c r="B564" s="3252">
        <v>25050</v>
      </c>
      <c r="C564" s="3252">
        <v>3300</v>
      </c>
      <c r="D564" s="3252">
        <v>2846</v>
      </c>
      <c r="E564" s="3252">
        <v>3300</v>
      </c>
      <c r="F564" s="3252">
        <v>3106</v>
      </c>
      <c r="G564" s="1698"/>
    </row>
    <row r="565" spans="1:7" ht="15.75">
      <c r="A565" s="3252">
        <v>25050</v>
      </c>
      <c r="B565" s="3252">
        <v>25100</v>
      </c>
      <c r="C565" s="3252">
        <v>3308</v>
      </c>
      <c r="D565" s="3252">
        <v>2854</v>
      </c>
      <c r="E565" s="3252">
        <v>3308</v>
      </c>
      <c r="F565" s="3252">
        <v>3114</v>
      </c>
      <c r="G565" s="1698"/>
    </row>
    <row r="566" spans="1:7" ht="15.75">
      <c r="A566" s="3252">
        <v>25100</v>
      </c>
      <c r="B566" s="3252">
        <v>25150</v>
      </c>
      <c r="C566" s="3252">
        <v>3315</v>
      </c>
      <c r="D566" s="3252">
        <v>2861</v>
      </c>
      <c r="E566" s="3252">
        <v>3315</v>
      </c>
      <c r="F566" s="3252">
        <v>3121</v>
      </c>
      <c r="G566" s="1698"/>
    </row>
    <row r="567" spans="1:7" ht="15.75">
      <c r="A567" s="3252">
        <v>25150</v>
      </c>
      <c r="B567" s="3252">
        <v>25200</v>
      </c>
      <c r="C567" s="3252">
        <v>3323</v>
      </c>
      <c r="D567" s="3252">
        <v>2869</v>
      </c>
      <c r="E567" s="3252">
        <v>3323</v>
      </c>
      <c r="F567" s="3252">
        <v>3129</v>
      </c>
      <c r="G567" s="1698"/>
    </row>
    <row r="568" spans="1:7" ht="15.75">
      <c r="A568" s="3252">
        <v>25200</v>
      </c>
      <c r="B568" s="3252">
        <v>25250</v>
      </c>
      <c r="C568" s="3252">
        <v>3330</v>
      </c>
      <c r="D568" s="3252">
        <v>2876</v>
      </c>
      <c r="E568" s="3252">
        <v>3330</v>
      </c>
      <c r="F568" s="3252">
        <v>3136</v>
      </c>
      <c r="G568" s="1698"/>
    </row>
    <row r="569" spans="1:7" ht="15.75">
      <c r="A569" s="3252">
        <v>25250</v>
      </c>
      <c r="B569" s="3252">
        <v>25300</v>
      </c>
      <c r="C569" s="3252">
        <v>3338</v>
      </c>
      <c r="D569" s="3252">
        <v>2884</v>
      </c>
      <c r="E569" s="3252">
        <v>3338</v>
      </c>
      <c r="F569" s="3252">
        <v>3144</v>
      </c>
      <c r="G569" s="1698"/>
    </row>
    <row r="570" spans="1:7" ht="15.75">
      <c r="A570" s="3252">
        <v>25300</v>
      </c>
      <c r="B570" s="3252">
        <v>25350</v>
      </c>
      <c r="C570" s="3252">
        <v>3345</v>
      </c>
      <c r="D570" s="3252">
        <v>2891</v>
      </c>
      <c r="E570" s="3252">
        <v>3345</v>
      </c>
      <c r="F570" s="3252">
        <v>3151</v>
      </c>
      <c r="G570" s="1698"/>
    </row>
    <row r="571" spans="1:7" ht="15.75">
      <c r="A571" s="3252">
        <v>25350</v>
      </c>
      <c r="B571" s="3252">
        <v>25400</v>
      </c>
      <c r="C571" s="3252">
        <v>3353</v>
      </c>
      <c r="D571" s="3252">
        <v>2899</v>
      </c>
      <c r="E571" s="3252">
        <v>3353</v>
      </c>
      <c r="F571" s="3252">
        <v>3159</v>
      </c>
      <c r="G571" s="1698"/>
    </row>
    <row r="572" spans="1:7" ht="15.75">
      <c r="A572" s="3252">
        <v>25400</v>
      </c>
      <c r="B572" s="3252">
        <v>25450</v>
      </c>
      <c r="C572" s="3252">
        <v>3360</v>
      </c>
      <c r="D572" s="3252">
        <v>2906</v>
      </c>
      <c r="E572" s="3252">
        <v>3360</v>
      </c>
      <c r="F572" s="3252">
        <v>3166</v>
      </c>
      <c r="G572" s="1698"/>
    </row>
    <row r="573" spans="1:7" ht="15.75">
      <c r="A573" s="3252">
        <v>25450</v>
      </c>
      <c r="B573" s="3252">
        <v>25500</v>
      </c>
      <c r="C573" s="3252">
        <v>3368</v>
      </c>
      <c r="D573" s="3252">
        <v>2914</v>
      </c>
      <c r="E573" s="3252">
        <v>3368</v>
      </c>
      <c r="F573" s="3252">
        <v>3174</v>
      </c>
      <c r="G573" s="1698"/>
    </row>
    <row r="574" spans="1:7" ht="15.75">
      <c r="A574" s="3252">
        <v>25500</v>
      </c>
      <c r="B574" s="3252">
        <v>25550</v>
      </c>
      <c r="C574" s="3252">
        <v>3375</v>
      </c>
      <c r="D574" s="3252">
        <v>2921</v>
      </c>
      <c r="E574" s="3252">
        <v>3375</v>
      </c>
      <c r="F574" s="3252">
        <v>3181</v>
      </c>
      <c r="G574" s="1698"/>
    </row>
    <row r="575" spans="1:7" ht="15.75">
      <c r="A575" s="3252">
        <v>25550</v>
      </c>
      <c r="B575" s="3252">
        <v>25600</v>
      </c>
      <c r="C575" s="3252">
        <v>3383</v>
      </c>
      <c r="D575" s="3252">
        <v>2929</v>
      </c>
      <c r="E575" s="3252">
        <v>3383</v>
      </c>
      <c r="F575" s="3252">
        <v>3189</v>
      </c>
      <c r="G575" s="1698"/>
    </row>
    <row r="576" spans="1:7" ht="15.75">
      <c r="A576" s="3252">
        <v>25600</v>
      </c>
      <c r="B576" s="3252">
        <v>25650</v>
      </c>
      <c r="C576" s="3252">
        <v>3390</v>
      </c>
      <c r="D576" s="3252">
        <v>2936</v>
      </c>
      <c r="E576" s="3252">
        <v>3390</v>
      </c>
      <c r="F576" s="3252">
        <v>3196</v>
      </c>
      <c r="G576" s="1698"/>
    </row>
    <row r="577" spans="1:7" ht="15.75">
      <c r="A577" s="3252">
        <v>25650</v>
      </c>
      <c r="B577" s="3252">
        <v>25700</v>
      </c>
      <c r="C577" s="3252">
        <v>3398</v>
      </c>
      <c r="D577" s="3252">
        <v>2944</v>
      </c>
      <c r="E577" s="3252">
        <v>3398</v>
      </c>
      <c r="F577" s="3252">
        <v>3204</v>
      </c>
      <c r="G577" s="1698"/>
    </row>
    <row r="578" spans="1:7" ht="15.75">
      <c r="A578" s="3252">
        <v>25700</v>
      </c>
      <c r="B578" s="3252">
        <v>25750</v>
      </c>
      <c r="C578" s="3252">
        <v>3405</v>
      </c>
      <c r="D578" s="3252">
        <v>2951</v>
      </c>
      <c r="E578" s="3252">
        <v>3405</v>
      </c>
      <c r="F578" s="3252">
        <v>3211</v>
      </c>
      <c r="G578" s="1698"/>
    </row>
    <row r="579" spans="1:7" ht="15.75">
      <c r="A579" s="3252">
        <v>25750</v>
      </c>
      <c r="B579" s="3252">
        <v>25800</v>
      </c>
      <c r="C579" s="3252">
        <v>3413</v>
      </c>
      <c r="D579" s="3252">
        <v>2959</v>
      </c>
      <c r="E579" s="3252">
        <v>3413</v>
      </c>
      <c r="F579" s="3252">
        <v>3219</v>
      </c>
      <c r="G579" s="1698"/>
    </row>
    <row r="580" spans="1:7" ht="15.75">
      <c r="A580" s="3252">
        <v>25800</v>
      </c>
      <c r="B580" s="3252">
        <v>25850</v>
      </c>
      <c r="C580" s="3252">
        <v>3420</v>
      </c>
      <c r="D580" s="3252">
        <v>2966</v>
      </c>
      <c r="E580" s="3252">
        <v>3420</v>
      </c>
      <c r="F580" s="3252">
        <v>3226</v>
      </c>
      <c r="G580" s="1698"/>
    </row>
    <row r="581" spans="1:7" ht="15.75">
      <c r="A581" s="3252">
        <v>25850</v>
      </c>
      <c r="B581" s="3252">
        <v>25900</v>
      </c>
      <c r="C581" s="3252">
        <v>3428</v>
      </c>
      <c r="D581" s="3252">
        <v>2974</v>
      </c>
      <c r="E581" s="3252">
        <v>3428</v>
      </c>
      <c r="F581" s="3252">
        <v>3234</v>
      </c>
      <c r="G581" s="1698"/>
    </row>
    <row r="582" spans="1:7" ht="15.75">
      <c r="A582" s="3252">
        <v>25900</v>
      </c>
      <c r="B582" s="3252">
        <v>25950</v>
      </c>
      <c r="C582" s="3252">
        <v>3435</v>
      </c>
      <c r="D582" s="3252">
        <v>2981</v>
      </c>
      <c r="E582" s="3252">
        <v>3435</v>
      </c>
      <c r="F582" s="3252">
        <v>3241</v>
      </c>
      <c r="G582" s="1698"/>
    </row>
    <row r="583" spans="1:7" ht="15.75">
      <c r="A583" s="3252">
        <v>25950</v>
      </c>
      <c r="B583" s="3252">
        <v>26000</v>
      </c>
      <c r="C583" s="3252">
        <v>3443</v>
      </c>
      <c r="D583" s="3252">
        <v>2989</v>
      </c>
      <c r="E583" s="3252">
        <v>3443</v>
      </c>
      <c r="F583" s="3252">
        <v>3249</v>
      </c>
      <c r="G583" s="1698"/>
    </row>
    <row r="584" spans="1:7" ht="15.75">
      <c r="A584" s="3252">
        <v>26000</v>
      </c>
      <c r="B584" s="3252">
        <v>26050</v>
      </c>
      <c r="C584" s="3252">
        <v>3450</v>
      </c>
      <c r="D584" s="3252">
        <v>2996</v>
      </c>
      <c r="E584" s="3252">
        <v>3450</v>
      </c>
      <c r="F584" s="3252">
        <v>3256</v>
      </c>
      <c r="G584" s="1698"/>
    </row>
    <row r="585" spans="1:7" ht="15.75">
      <c r="A585" s="3252">
        <v>26050</v>
      </c>
      <c r="B585" s="3252">
        <v>26100</v>
      </c>
      <c r="C585" s="3252">
        <v>3458</v>
      </c>
      <c r="D585" s="3252">
        <v>3004</v>
      </c>
      <c r="E585" s="3252">
        <v>3458</v>
      </c>
      <c r="F585" s="3252">
        <v>3264</v>
      </c>
      <c r="G585" s="1698"/>
    </row>
    <row r="586" spans="1:7" ht="15.75">
      <c r="A586" s="3252">
        <v>26100</v>
      </c>
      <c r="B586" s="3252">
        <v>26150</v>
      </c>
      <c r="C586" s="3252">
        <v>3465</v>
      </c>
      <c r="D586" s="3252">
        <v>3011</v>
      </c>
      <c r="E586" s="3252">
        <v>3465</v>
      </c>
      <c r="F586" s="3252">
        <v>3271</v>
      </c>
      <c r="G586" s="1698"/>
    </row>
    <row r="587" spans="1:7" ht="15.75">
      <c r="A587" s="3252">
        <v>26150</v>
      </c>
      <c r="B587" s="3252">
        <v>26200</v>
      </c>
      <c r="C587" s="3252">
        <v>3473</v>
      </c>
      <c r="D587" s="3252">
        <v>3019</v>
      </c>
      <c r="E587" s="3252">
        <v>3473</v>
      </c>
      <c r="F587" s="3252">
        <v>3279</v>
      </c>
      <c r="G587" s="1698"/>
    </row>
    <row r="588" spans="1:7" ht="15.75">
      <c r="A588" s="3252">
        <v>26200</v>
      </c>
      <c r="B588" s="3252">
        <v>26250</v>
      </c>
      <c r="C588" s="3252">
        <v>3480</v>
      </c>
      <c r="D588" s="3252">
        <v>3026</v>
      </c>
      <c r="E588" s="3252">
        <v>3480</v>
      </c>
      <c r="F588" s="3252">
        <v>3286</v>
      </c>
      <c r="G588" s="1698"/>
    </row>
    <row r="589" spans="1:7" ht="15.75">
      <c r="A589" s="3252">
        <v>26250</v>
      </c>
      <c r="B589" s="3252">
        <v>26300</v>
      </c>
      <c r="C589" s="3252">
        <v>3488</v>
      </c>
      <c r="D589" s="3252">
        <v>3034</v>
      </c>
      <c r="E589" s="3252">
        <v>3488</v>
      </c>
      <c r="F589" s="3252">
        <v>3294</v>
      </c>
      <c r="G589" s="1698"/>
    </row>
    <row r="590" spans="1:7" ht="15.75">
      <c r="A590" s="3252">
        <v>26300</v>
      </c>
      <c r="B590" s="3252">
        <v>26350</v>
      </c>
      <c r="C590" s="3252">
        <v>3495</v>
      </c>
      <c r="D590" s="3252">
        <v>3041</v>
      </c>
      <c r="E590" s="3252">
        <v>3495</v>
      </c>
      <c r="F590" s="3252">
        <v>3301</v>
      </c>
      <c r="G590" s="1698"/>
    </row>
    <row r="591" spans="1:7" ht="15.75">
      <c r="A591" s="3252">
        <v>26350</v>
      </c>
      <c r="B591" s="3252">
        <v>26400</v>
      </c>
      <c r="C591" s="3252">
        <v>3503</v>
      </c>
      <c r="D591" s="3252">
        <v>3049</v>
      </c>
      <c r="E591" s="3252">
        <v>3503</v>
      </c>
      <c r="F591" s="3252">
        <v>3309</v>
      </c>
      <c r="G591" s="1698"/>
    </row>
    <row r="592" spans="1:7" ht="15.75">
      <c r="A592" s="3252">
        <v>26400</v>
      </c>
      <c r="B592" s="3252">
        <v>26450</v>
      </c>
      <c r="C592" s="3252">
        <v>3510</v>
      </c>
      <c r="D592" s="3252">
        <v>3056</v>
      </c>
      <c r="E592" s="3252">
        <v>3510</v>
      </c>
      <c r="F592" s="3252">
        <v>3316</v>
      </c>
      <c r="G592" s="1698"/>
    </row>
    <row r="593" spans="1:7" ht="15.75">
      <c r="A593" s="3252">
        <v>26450</v>
      </c>
      <c r="B593" s="3252">
        <v>26500</v>
      </c>
      <c r="C593" s="3252">
        <v>3518</v>
      </c>
      <c r="D593" s="3252">
        <v>3064</v>
      </c>
      <c r="E593" s="3252">
        <v>3518</v>
      </c>
      <c r="F593" s="3252">
        <v>3324</v>
      </c>
      <c r="G593" s="1698"/>
    </row>
    <row r="594" spans="1:7" ht="15.75">
      <c r="A594" s="3252">
        <v>26500</v>
      </c>
      <c r="B594" s="3252">
        <v>26550</v>
      </c>
      <c r="C594" s="3252">
        <v>3525</v>
      </c>
      <c r="D594" s="3252">
        <v>3071</v>
      </c>
      <c r="E594" s="3252">
        <v>3525</v>
      </c>
      <c r="F594" s="3252">
        <v>3331</v>
      </c>
      <c r="G594" s="1698"/>
    </row>
    <row r="595" spans="1:7" ht="15.75">
      <c r="A595" s="3252">
        <v>26550</v>
      </c>
      <c r="B595" s="3252">
        <v>26600</v>
      </c>
      <c r="C595" s="3252">
        <v>3533</v>
      </c>
      <c r="D595" s="3252">
        <v>3079</v>
      </c>
      <c r="E595" s="3252">
        <v>3533</v>
      </c>
      <c r="F595" s="3252">
        <v>3339</v>
      </c>
      <c r="G595" s="1698"/>
    </row>
    <row r="596" spans="1:7" ht="15.75">
      <c r="A596" s="3252">
        <v>26600</v>
      </c>
      <c r="B596" s="3252">
        <v>26650</v>
      </c>
      <c r="C596" s="3252">
        <v>3540</v>
      </c>
      <c r="D596" s="3252">
        <v>3086</v>
      </c>
      <c r="E596" s="3252">
        <v>3540</v>
      </c>
      <c r="F596" s="3252">
        <v>3346</v>
      </c>
      <c r="G596" s="1698"/>
    </row>
    <row r="597" spans="1:7" ht="15.75">
      <c r="A597" s="3252">
        <v>26650</v>
      </c>
      <c r="B597" s="3252">
        <v>26700</v>
      </c>
      <c r="C597" s="3252">
        <v>3548</v>
      </c>
      <c r="D597" s="3252">
        <v>3094</v>
      </c>
      <c r="E597" s="3252">
        <v>3548</v>
      </c>
      <c r="F597" s="3252">
        <v>3354</v>
      </c>
      <c r="G597" s="1698"/>
    </row>
    <row r="598" spans="1:7" ht="15.75">
      <c r="A598" s="3252">
        <v>26700</v>
      </c>
      <c r="B598" s="3252">
        <v>26750</v>
      </c>
      <c r="C598" s="3252">
        <v>3555</v>
      </c>
      <c r="D598" s="3252">
        <v>3101</v>
      </c>
      <c r="E598" s="3252">
        <v>3555</v>
      </c>
      <c r="F598" s="3252">
        <v>3361</v>
      </c>
      <c r="G598" s="1698"/>
    </row>
    <row r="599" spans="1:7" ht="15.75">
      <c r="A599" s="3252">
        <v>26750</v>
      </c>
      <c r="B599" s="3252">
        <v>26800</v>
      </c>
      <c r="C599" s="3252">
        <v>3563</v>
      </c>
      <c r="D599" s="3252">
        <v>3109</v>
      </c>
      <c r="E599" s="3252">
        <v>3563</v>
      </c>
      <c r="F599" s="3252">
        <v>3369</v>
      </c>
      <c r="G599" s="1698"/>
    </row>
    <row r="600" spans="1:7" ht="15.75">
      <c r="A600" s="3252">
        <v>26800</v>
      </c>
      <c r="B600" s="3252">
        <v>26850</v>
      </c>
      <c r="C600" s="3252">
        <v>3570</v>
      </c>
      <c r="D600" s="3252">
        <v>3116</v>
      </c>
      <c r="E600" s="3252">
        <v>3570</v>
      </c>
      <c r="F600" s="3252">
        <v>3376</v>
      </c>
      <c r="G600" s="1698"/>
    </row>
    <row r="601" spans="1:7" ht="15.75">
      <c r="A601" s="3252">
        <v>26850</v>
      </c>
      <c r="B601" s="3252">
        <v>26900</v>
      </c>
      <c r="C601" s="3252">
        <v>3578</v>
      </c>
      <c r="D601" s="3252">
        <v>3124</v>
      </c>
      <c r="E601" s="3252">
        <v>3578</v>
      </c>
      <c r="F601" s="3252">
        <v>3384</v>
      </c>
      <c r="G601" s="1698"/>
    </row>
    <row r="602" spans="1:7" ht="15.75">
      <c r="A602" s="3252">
        <v>26900</v>
      </c>
      <c r="B602" s="3252">
        <v>26950</v>
      </c>
      <c r="C602" s="3252">
        <v>3585</v>
      </c>
      <c r="D602" s="3252">
        <v>3131</v>
      </c>
      <c r="E602" s="3252">
        <v>3585</v>
      </c>
      <c r="F602" s="3252">
        <v>3391</v>
      </c>
      <c r="G602" s="1698"/>
    </row>
    <row r="603" spans="1:7" ht="15.75">
      <c r="A603" s="3252">
        <v>26950</v>
      </c>
      <c r="B603" s="3252">
        <v>27000</v>
      </c>
      <c r="C603" s="3252">
        <v>3593</v>
      </c>
      <c r="D603" s="3252">
        <v>3139</v>
      </c>
      <c r="E603" s="3252">
        <v>3593</v>
      </c>
      <c r="F603" s="3252">
        <v>3399</v>
      </c>
      <c r="G603" s="1698"/>
    </row>
    <row r="604" spans="1:7" ht="15.75">
      <c r="A604" s="3252">
        <v>27000</v>
      </c>
      <c r="B604" s="3252">
        <v>27050</v>
      </c>
      <c r="C604" s="3252">
        <v>3600</v>
      </c>
      <c r="D604" s="3252">
        <v>3146</v>
      </c>
      <c r="E604" s="3252">
        <v>3600</v>
      </c>
      <c r="F604" s="3252">
        <v>3406</v>
      </c>
      <c r="G604" s="1698"/>
    </row>
    <row r="605" spans="1:7" ht="15.75">
      <c r="A605" s="3252">
        <v>27050</v>
      </c>
      <c r="B605" s="3252">
        <v>27100</v>
      </c>
      <c r="C605" s="3252">
        <v>3608</v>
      </c>
      <c r="D605" s="3252">
        <v>3154</v>
      </c>
      <c r="E605" s="3252">
        <v>3608</v>
      </c>
      <c r="F605" s="3252">
        <v>3414</v>
      </c>
      <c r="G605" s="1698"/>
    </row>
    <row r="606" spans="1:7" ht="15.75">
      <c r="A606" s="3252">
        <v>27100</v>
      </c>
      <c r="B606" s="3252">
        <v>27150</v>
      </c>
      <c r="C606" s="3252">
        <v>3615</v>
      </c>
      <c r="D606" s="3252">
        <v>3161</v>
      </c>
      <c r="E606" s="3252">
        <v>3615</v>
      </c>
      <c r="F606" s="3252">
        <v>3421</v>
      </c>
      <c r="G606" s="1698"/>
    </row>
    <row r="607" spans="1:7" ht="15.75">
      <c r="A607" s="3252">
        <v>27150</v>
      </c>
      <c r="B607" s="3252">
        <v>27200</v>
      </c>
      <c r="C607" s="3252">
        <v>3623</v>
      </c>
      <c r="D607" s="3252">
        <v>3169</v>
      </c>
      <c r="E607" s="3252">
        <v>3623</v>
      </c>
      <c r="F607" s="3252">
        <v>3429</v>
      </c>
      <c r="G607" s="1698"/>
    </row>
    <row r="608" spans="1:7" ht="15.75">
      <c r="A608" s="3252">
        <v>27200</v>
      </c>
      <c r="B608" s="3252">
        <v>27250</v>
      </c>
      <c r="C608" s="3252">
        <v>3630</v>
      </c>
      <c r="D608" s="3252">
        <v>3176</v>
      </c>
      <c r="E608" s="3252">
        <v>3630</v>
      </c>
      <c r="F608" s="3252">
        <v>3436</v>
      </c>
      <c r="G608" s="1698"/>
    </row>
    <row r="609" spans="1:7" ht="15.75">
      <c r="A609" s="3252">
        <v>27250</v>
      </c>
      <c r="B609" s="3252">
        <v>27300</v>
      </c>
      <c r="C609" s="3252">
        <v>3638</v>
      </c>
      <c r="D609" s="3252">
        <v>3184</v>
      </c>
      <c r="E609" s="3252">
        <v>3638</v>
      </c>
      <c r="F609" s="3252">
        <v>3444</v>
      </c>
      <c r="G609" s="1698"/>
    </row>
    <row r="610" spans="1:7" ht="15.75">
      <c r="A610" s="3252">
        <v>27300</v>
      </c>
      <c r="B610" s="3252">
        <v>27350</v>
      </c>
      <c r="C610" s="3252">
        <v>3645</v>
      </c>
      <c r="D610" s="3252">
        <v>3191</v>
      </c>
      <c r="E610" s="3252">
        <v>3645</v>
      </c>
      <c r="F610" s="3252">
        <v>3451</v>
      </c>
      <c r="G610" s="1698"/>
    </row>
    <row r="611" spans="1:7" ht="15.75">
      <c r="A611" s="3252">
        <v>27350</v>
      </c>
      <c r="B611" s="3252">
        <v>27400</v>
      </c>
      <c r="C611" s="3252">
        <v>3653</v>
      </c>
      <c r="D611" s="3252">
        <v>3199</v>
      </c>
      <c r="E611" s="3252">
        <v>3653</v>
      </c>
      <c r="F611" s="3252">
        <v>3459</v>
      </c>
      <c r="G611" s="1698"/>
    </row>
    <row r="612" spans="1:7" ht="15.75">
      <c r="A612" s="3252">
        <v>27400</v>
      </c>
      <c r="B612" s="3252">
        <v>27450</v>
      </c>
      <c r="C612" s="3252">
        <v>3660</v>
      </c>
      <c r="D612" s="3252">
        <v>3206</v>
      </c>
      <c r="E612" s="3252">
        <v>3660</v>
      </c>
      <c r="F612" s="3252">
        <v>3466</v>
      </c>
      <c r="G612" s="1698"/>
    </row>
    <row r="613" spans="1:7" ht="15.75">
      <c r="A613" s="3252">
        <v>27450</v>
      </c>
      <c r="B613" s="3252">
        <v>27500</v>
      </c>
      <c r="C613" s="3252">
        <v>3668</v>
      </c>
      <c r="D613" s="3252">
        <v>3214</v>
      </c>
      <c r="E613" s="3252">
        <v>3668</v>
      </c>
      <c r="F613" s="3252">
        <v>3474</v>
      </c>
      <c r="G613" s="1698"/>
    </row>
    <row r="614" spans="1:7" ht="15.75">
      <c r="A614" s="3252">
        <v>27500</v>
      </c>
      <c r="B614" s="3252">
        <v>27550</v>
      </c>
      <c r="C614" s="3252">
        <v>3675</v>
      </c>
      <c r="D614" s="3252">
        <v>3221</v>
      </c>
      <c r="E614" s="3252">
        <v>3675</v>
      </c>
      <c r="F614" s="3252">
        <v>3481</v>
      </c>
      <c r="G614" s="1698"/>
    </row>
    <row r="615" spans="1:7" ht="15.75">
      <c r="A615" s="3252">
        <v>27550</v>
      </c>
      <c r="B615" s="3252">
        <v>27600</v>
      </c>
      <c r="C615" s="3252">
        <v>3683</v>
      </c>
      <c r="D615" s="3252">
        <v>3229</v>
      </c>
      <c r="E615" s="3252">
        <v>3683</v>
      </c>
      <c r="F615" s="3252">
        <v>3489</v>
      </c>
      <c r="G615" s="1698"/>
    </row>
    <row r="616" spans="1:7" ht="15.75">
      <c r="A616" s="3252">
        <v>27600</v>
      </c>
      <c r="B616" s="3252">
        <v>27650</v>
      </c>
      <c r="C616" s="3252">
        <v>3690</v>
      </c>
      <c r="D616" s="3252">
        <v>3236</v>
      </c>
      <c r="E616" s="3252">
        <v>3690</v>
      </c>
      <c r="F616" s="3252">
        <v>3496</v>
      </c>
      <c r="G616" s="1698"/>
    </row>
    <row r="617" spans="1:7" ht="15.75">
      <c r="A617" s="3252">
        <v>27650</v>
      </c>
      <c r="B617" s="3252">
        <v>27700</v>
      </c>
      <c r="C617" s="3252">
        <v>3698</v>
      </c>
      <c r="D617" s="3252">
        <v>3244</v>
      </c>
      <c r="E617" s="3252">
        <v>3698</v>
      </c>
      <c r="F617" s="3252">
        <v>3504</v>
      </c>
      <c r="G617" s="1698"/>
    </row>
    <row r="618" spans="1:7" ht="15.75">
      <c r="A618" s="3252">
        <v>27700</v>
      </c>
      <c r="B618" s="3252">
        <v>27750</v>
      </c>
      <c r="C618" s="3252">
        <v>3705</v>
      </c>
      <c r="D618" s="3252">
        <v>3251</v>
      </c>
      <c r="E618" s="3252">
        <v>3705</v>
      </c>
      <c r="F618" s="3252">
        <v>3511</v>
      </c>
      <c r="G618" s="1698"/>
    </row>
    <row r="619" spans="1:7" ht="15.75">
      <c r="A619" s="3252">
        <v>27750</v>
      </c>
      <c r="B619" s="3252">
        <v>27800</v>
      </c>
      <c r="C619" s="3252">
        <v>3713</v>
      </c>
      <c r="D619" s="3252">
        <v>3259</v>
      </c>
      <c r="E619" s="3252">
        <v>3713</v>
      </c>
      <c r="F619" s="3252">
        <v>3519</v>
      </c>
      <c r="G619" s="1698"/>
    </row>
    <row r="620" spans="1:7" ht="15.75">
      <c r="A620" s="3252">
        <v>27800</v>
      </c>
      <c r="B620" s="3252">
        <v>27850</v>
      </c>
      <c r="C620" s="3252">
        <v>3720</v>
      </c>
      <c r="D620" s="3252">
        <v>3266</v>
      </c>
      <c r="E620" s="3252">
        <v>3720</v>
      </c>
      <c r="F620" s="3252">
        <v>3526</v>
      </c>
      <c r="G620" s="1698"/>
    </row>
    <row r="621" spans="1:7" ht="15.75">
      <c r="A621" s="3252">
        <v>27850</v>
      </c>
      <c r="B621" s="3252">
        <v>27900</v>
      </c>
      <c r="C621" s="3252">
        <v>3728</v>
      </c>
      <c r="D621" s="3252">
        <v>3274</v>
      </c>
      <c r="E621" s="3252">
        <v>3728</v>
      </c>
      <c r="F621" s="3252">
        <v>3534</v>
      </c>
      <c r="G621" s="1698"/>
    </row>
    <row r="622" spans="1:7" ht="15.75">
      <c r="A622" s="3252">
        <v>27900</v>
      </c>
      <c r="B622" s="3252">
        <v>27950</v>
      </c>
      <c r="C622" s="3252">
        <v>3735</v>
      </c>
      <c r="D622" s="3252">
        <v>3281</v>
      </c>
      <c r="E622" s="3252">
        <v>3735</v>
      </c>
      <c r="F622" s="3252">
        <v>3541</v>
      </c>
      <c r="G622" s="1698"/>
    </row>
    <row r="623" spans="1:7" ht="15.75">
      <c r="A623" s="3252">
        <v>27950</v>
      </c>
      <c r="B623" s="3252">
        <v>28000</v>
      </c>
      <c r="C623" s="3252">
        <v>3743</v>
      </c>
      <c r="D623" s="3252">
        <v>3289</v>
      </c>
      <c r="E623" s="3252">
        <v>3743</v>
      </c>
      <c r="F623" s="3252">
        <v>3549</v>
      </c>
      <c r="G623" s="1698"/>
    </row>
    <row r="624" spans="1:7" ht="15.75">
      <c r="A624" s="3252">
        <v>28000</v>
      </c>
      <c r="B624" s="3252">
        <v>28050</v>
      </c>
      <c r="C624" s="3252">
        <v>3750</v>
      </c>
      <c r="D624" s="3252">
        <v>3296</v>
      </c>
      <c r="E624" s="3252">
        <v>3750</v>
      </c>
      <c r="F624" s="3252">
        <v>3556</v>
      </c>
      <c r="G624" s="1698"/>
    </row>
    <row r="625" spans="1:7" ht="15.75">
      <c r="A625" s="3252">
        <v>28050</v>
      </c>
      <c r="B625" s="3252">
        <v>28100</v>
      </c>
      <c r="C625" s="3252">
        <v>3758</v>
      </c>
      <c r="D625" s="3252">
        <v>3304</v>
      </c>
      <c r="E625" s="3252">
        <v>3758</v>
      </c>
      <c r="F625" s="3252">
        <v>3564</v>
      </c>
      <c r="G625" s="1698"/>
    </row>
    <row r="626" spans="1:7" ht="15.75">
      <c r="A626" s="3252">
        <v>28100</v>
      </c>
      <c r="B626" s="3252">
        <v>28150</v>
      </c>
      <c r="C626" s="3252">
        <v>3765</v>
      </c>
      <c r="D626" s="3252">
        <v>3311</v>
      </c>
      <c r="E626" s="3252">
        <v>3765</v>
      </c>
      <c r="F626" s="3252">
        <v>3571</v>
      </c>
      <c r="G626" s="1698"/>
    </row>
    <row r="627" spans="1:7" ht="15.75">
      <c r="A627" s="3252">
        <v>28150</v>
      </c>
      <c r="B627" s="3252">
        <v>28200</v>
      </c>
      <c r="C627" s="3252">
        <v>3773</v>
      </c>
      <c r="D627" s="3252">
        <v>3319</v>
      </c>
      <c r="E627" s="3252">
        <v>3773</v>
      </c>
      <c r="F627" s="3252">
        <v>3579</v>
      </c>
      <c r="G627" s="1698"/>
    </row>
    <row r="628" spans="1:7" ht="15.75">
      <c r="A628" s="3252">
        <v>28200</v>
      </c>
      <c r="B628" s="3252">
        <v>28250</v>
      </c>
      <c r="C628" s="3252">
        <v>3780</v>
      </c>
      <c r="D628" s="3252">
        <v>3326</v>
      </c>
      <c r="E628" s="3252">
        <v>3780</v>
      </c>
      <c r="F628" s="3252">
        <v>3586</v>
      </c>
      <c r="G628" s="1698"/>
    </row>
    <row r="629" spans="1:7" ht="15.75">
      <c r="A629" s="3252">
        <v>28250</v>
      </c>
      <c r="B629" s="3252">
        <v>28300</v>
      </c>
      <c r="C629" s="3252">
        <v>3788</v>
      </c>
      <c r="D629" s="3252">
        <v>3334</v>
      </c>
      <c r="E629" s="3252">
        <v>3788</v>
      </c>
      <c r="F629" s="3252">
        <v>3594</v>
      </c>
      <c r="G629" s="1698"/>
    </row>
    <row r="630" spans="1:7" ht="15.75">
      <c r="A630" s="3252">
        <v>28300</v>
      </c>
      <c r="B630" s="3252">
        <v>28350</v>
      </c>
      <c r="C630" s="3252">
        <v>3795</v>
      </c>
      <c r="D630" s="3252">
        <v>3341</v>
      </c>
      <c r="E630" s="3252">
        <v>3795</v>
      </c>
      <c r="F630" s="3252">
        <v>3601</v>
      </c>
      <c r="G630" s="1698"/>
    </row>
    <row r="631" spans="1:7" ht="15.75">
      <c r="A631" s="3252">
        <v>28350</v>
      </c>
      <c r="B631" s="3252">
        <v>28400</v>
      </c>
      <c r="C631" s="3252">
        <v>3803</v>
      </c>
      <c r="D631" s="3252">
        <v>3349</v>
      </c>
      <c r="E631" s="3252">
        <v>3803</v>
      </c>
      <c r="F631" s="3252">
        <v>3609</v>
      </c>
      <c r="G631" s="1698"/>
    </row>
    <row r="632" spans="1:7" ht="15.75">
      <c r="A632" s="3252">
        <v>28400</v>
      </c>
      <c r="B632" s="3252">
        <v>28450</v>
      </c>
      <c r="C632" s="3252">
        <v>3810</v>
      </c>
      <c r="D632" s="3252">
        <v>3356</v>
      </c>
      <c r="E632" s="3252">
        <v>3810</v>
      </c>
      <c r="F632" s="3252">
        <v>3616</v>
      </c>
      <c r="G632" s="1698"/>
    </row>
    <row r="633" spans="1:7" ht="15.75">
      <c r="A633" s="3252">
        <v>28450</v>
      </c>
      <c r="B633" s="3252">
        <v>28500</v>
      </c>
      <c r="C633" s="3252">
        <v>3818</v>
      </c>
      <c r="D633" s="3252">
        <v>3364</v>
      </c>
      <c r="E633" s="3252">
        <v>3818</v>
      </c>
      <c r="F633" s="3252">
        <v>3624</v>
      </c>
      <c r="G633" s="1698"/>
    </row>
    <row r="634" spans="1:7" ht="15.75">
      <c r="A634" s="3252">
        <v>28500</v>
      </c>
      <c r="B634" s="3252">
        <v>28550</v>
      </c>
      <c r="C634" s="3252">
        <v>3825</v>
      </c>
      <c r="D634" s="3252">
        <v>3371</v>
      </c>
      <c r="E634" s="3252">
        <v>3825</v>
      </c>
      <c r="F634" s="3252">
        <v>3631</v>
      </c>
      <c r="G634" s="1698"/>
    </row>
    <row r="635" spans="1:7" ht="15.75">
      <c r="A635" s="3252">
        <v>28550</v>
      </c>
      <c r="B635" s="3252">
        <v>28600</v>
      </c>
      <c r="C635" s="3252">
        <v>3833</v>
      </c>
      <c r="D635" s="3252">
        <v>3379</v>
      </c>
      <c r="E635" s="3252">
        <v>3833</v>
      </c>
      <c r="F635" s="3252">
        <v>3639</v>
      </c>
      <c r="G635" s="1698"/>
    </row>
    <row r="636" spans="1:7" ht="15.75">
      <c r="A636" s="3252">
        <v>28600</v>
      </c>
      <c r="B636" s="3252">
        <v>28650</v>
      </c>
      <c r="C636" s="3252">
        <v>3840</v>
      </c>
      <c r="D636" s="3252">
        <v>3386</v>
      </c>
      <c r="E636" s="3252">
        <v>3840</v>
      </c>
      <c r="F636" s="3252">
        <v>3646</v>
      </c>
      <c r="G636" s="1698"/>
    </row>
    <row r="637" spans="1:7" ht="15.75">
      <c r="A637" s="3252">
        <v>28650</v>
      </c>
      <c r="B637" s="3252">
        <v>28700</v>
      </c>
      <c r="C637" s="3252">
        <v>3848</v>
      </c>
      <c r="D637" s="3252">
        <v>3394</v>
      </c>
      <c r="E637" s="3252">
        <v>3848</v>
      </c>
      <c r="F637" s="3252">
        <v>3654</v>
      </c>
      <c r="G637" s="1698"/>
    </row>
    <row r="638" spans="1:7" ht="15.75">
      <c r="A638" s="3252">
        <v>28700</v>
      </c>
      <c r="B638" s="3252">
        <v>28750</v>
      </c>
      <c r="C638" s="3252">
        <v>3855</v>
      </c>
      <c r="D638" s="3252">
        <v>3401</v>
      </c>
      <c r="E638" s="3252">
        <v>3855</v>
      </c>
      <c r="F638" s="3252">
        <v>3661</v>
      </c>
      <c r="G638" s="1698"/>
    </row>
    <row r="639" spans="1:7" ht="15.75">
      <c r="A639" s="3252">
        <v>28750</v>
      </c>
      <c r="B639" s="3252">
        <v>28800</v>
      </c>
      <c r="C639" s="3252">
        <v>3863</v>
      </c>
      <c r="D639" s="3252">
        <v>3409</v>
      </c>
      <c r="E639" s="3252">
        <v>3863</v>
      </c>
      <c r="F639" s="3252">
        <v>3669</v>
      </c>
      <c r="G639" s="1698"/>
    </row>
    <row r="640" spans="1:7" ht="15.75">
      <c r="A640" s="3252">
        <v>28800</v>
      </c>
      <c r="B640" s="3252">
        <v>28850</v>
      </c>
      <c r="C640" s="3252">
        <v>3870</v>
      </c>
      <c r="D640" s="3252">
        <v>3416</v>
      </c>
      <c r="E640" s="3252">
        <v>3870</v>
      </c>
      <c r="F640" s="3252">
        <v>3676</v>
      </c>
      <c r="G640" s="1698"/>
    </row>
    <row r="641" spans="1:7" ht="15.75">
      <c r="A641" s="3252">
        <v>28850</v>
      </c>
      <c r="B641" s="3252">
        <v>28900</v>
      </c>
      <c r="C641" s="3252">
        <v>3878</v>
      </c>
      <c r="D641" s="3252">
        <v>3424</v>
      </c>
      <c r="E641" s="3252">
        <v>3878</v>
      </c>
      <c r="F641" s="3252">
        <v>3684</v>
      </c>
      <c r="G641" s="1698"/>
    </row>
    <row r="642" spans="1:7" ht="15.75">
      <c r="A642" s="3252">
        <v>28900</v>
      </c>
      <c r="B642" s="3252">
        <v>28950</v>
      </c>
      <c r="C642" s="3252">
        <v>3885</v>
      </c>
      <c r="D642" s="3252">
        <v>3431</v>
      </c>
      <c r="E642" s="3252">
        <v>3885</v>
      </c>
      <c r="F642" s="3252">
        <v>3691</v>
      </c>
      <c r="G642" s="1698"/>
    </row>
    <row r="643" spans="1:7" ht="15.75">
      <c r="A643" s="3252">
        <v>28950</v>
      </c>
      <c r="B643" s="3252">
        <v>29000</v>
      </c>
      <c r="C643" s="3252">
        <v>3893</v>
      </c>
      <c r="D643" s="3252">
        <v>3439</v>
      </c>
      <c r="E643" s="3252">
        <v>3893</v>
      </c>
      <c r="F643" s="3252">
        <v>3699</v>
      </c>
      <c r="G643" s="1698"/>
    </row>
    <row r="644" spans="1:7" ht="15.75">
      <c r="A644" s="3252">
        <v>29000</v>
      </c>
      <c r="B644" s="3252">
        <v>29050</v>
      </c>
      <c r="C644" s="3252">
        <v>3900</v>
      </c>
      <c r="D644" s="3252">
        <v>3446</v>
      </c>
      <c r="E644" s="3252">
        <v>3900</v>
      </c>
      <c r="F644" s="3252">
        <v>3706</v>
      </c>
      <c r="G644" s="1698"/>
    </row>
    <row r="645" spans="1:7" ht="15.75">
      <c r="A645" s="3252">
        <v>29050</v>
      </c>
      <c r="B645" s="3252">
        <v>29100</v>
      </c>
      <c r="C645" s="3252">
        <v>3908</v>
      </c>
      <c r="D645" s="3252">
        <v>3454</v>
      </c>
      <c r="E645" s="3252">
        <v>3908</v>
      </c>
      <c r="F645" s="3252">
        <v>3714</v>
      </c>
      <c r="G645" s="1698"/>
    </row>
    <row r="646" spans="1:7" ht="15.75">
      <c r="A646" s="3252">
        <v>29100</v>
      </c>
      <c r="B646" s="3252">
        <v>29150</v>
      </c>
      <c r="C646" s="3252">
        <v>3915</v>
      </c>
      <c r="D646" s="3252">
        <v>3461</v>
      </c>
      <c r="E646" s="3252">
        <v>3915</v>
      </c>
      <c r="F646" s="3252">
        <v>3721</v>
      </c>
      <c r="G646" s="1698"/>
    </row>
    <row r="647" spans="1:7" ht="15.75">
      <c r="A647" s="3252">
        <v>29150</v>
      </c>
      <c r="B647" s="3252">
        <v>29200</v>
      </c>
      <c r="C647" s="3252">
        <v>3923</v>
      </c>
      <c r="D647" s="3252">
        <v>3469</v>
      </c>
      <c r="E647" s="3252">
        <v>3923</v>
      </c>
      <c r="F647" s="3252">
        <v>3729</v>
      </c>
      <c r="G647" s="1698"/>
    </row>
    <row r="648" spans="1:7" ht="15.75">
      <c r="A648" s="3252">
        <v>29200</v>
      </c>
      <c r="B648" s="3252">
        <v>29250</v>
      </c>
      <c r="C648" s="3252">
        <v>3930</v>
      </c>
      <c r="D648" s="3252">
        <v>3476</v>
      </c>
      <c r="E648" s="3252">
        <v>3930</v>
      </c>
      <c r="F648" s="3252">
        <v>3736</v>
      </c>
      <c r="G648" s="1698"/>
    </row>
    <row r="649" spans="1:7" ht="15.75">
      <c r="A649" s="3252">
        <v>29250</v>
      </c>
      <c r="B649" s="3252">
        <v>29300</v>
      </c>
      <c r="C649" s="3252">
        <v>3938</v>
      </c>
      <c r="D649" s="3252">
        <v>3484</v>
      </c>
      <c r="E649" s="3252">
        <v>3938</v>
      </c>
      <c r="F649" s="3252">
        <v>3744</v>
      </c>
      <c r="G649" s="1698"/>
    </row>
    <row r="650" spans="1:7" ht="15.75">
      <c r="A650" s="3252">
        <v>29300</v>
      </c>
      <c r="B650" s="3252">
        <v>29350</v>
      </c>
      <c r="C650" s="3252">
        <v>3945</v>
      </c>
      <c r="D650" s="3252">
        <v>3491</v>
      </c>
      <c r="E650" s="3252">
        <v>3945</v>
      </c>
      <c r="F650" s="3252">
        <v>3751</v>
      </c>
      <c r="G650" s="1698"/>
    </row>
    <row r="651" spans="1:7" ht="15.75">
      <c r="A651" s="3252">
        <v>29350</v>
      </c>
      <c r="B651" s="3252">
        <v>29400</v>
      </c>
      <c r="C651" s="3252">
        <v>3953</v>
      </c>
      <c r="D651" s="3252">
        <v>3499</v>
      </c>
      <c r="E651" s="3252">
        <v>3953</v>
      </c>
      <c r="F651" s="3252">
        <v>3759</v>
      </c>
      <c r="G651" s="1698"/>
    </row>
    <row r="652" spans="1:7" ht="15.75">
      <c r="A652" s="3252">
        <v>29400</v>
      </c>
      <c r="B652" s="3252">
        <v>29450</v>
      </c>
      <c r="C652" s="3252">
        <v>3960</v>
      </c>
      <c r="D652" s="3252">
        <v>3506</v>
      </c>
      <c r="E652" s="3252">
        <v>3960</v>
      </c>
      <c r="F652" s="3252">
        <v>3766</v>
      </c>
      <c r="G652" s="1698"/>
    </row>
    <row r="653" spans="1:7" ht="15.75">
      <c r="A653" s="3252">
        <v>29450</v>
      </c>
      <c r="B653" s="3252">
        <v>29500</v>
      </c>
      <c r="C653" s="3252">
        <v>3968</v>
      </c>
      <c r="D653" s="3252">
        <v>3514</v>
      </c>
      <c r="E653" s="3252">
        <v>3968</v>
      </c>
      <c r="F653" s="3252">
        <v>3774</v>
      </c>
      <c r="G653" s="1698"/>
    </row>
    <row r="654" spans="1:7" ht="15.75">
      <c r="A654" s="3252">
        <v>29500</v>
      </c>
      <c r="B654" s="3252">
        <v>29550</v>
      </c>
      <c r="C654" s="3252">
        <v>3975</v>
      </c>
      <c r="D654" s="3252">
        <v>3521</v>
      </c>
      <c r="E654" s="3252">
        <v>3975</v>
      </c>
      <c r="F654" s="3252">
        <v>3781</v>
      </c>
      <c r="G654" s="1698"/>
    </row>
    <row r="655" spans="1:7" ht="15.75">
      <c r="A655" s="3252">
        <v>29550</v>
      </c>
      <c r="B655" s="3252">
        <v>29600</v>
      </c>
      <c r="C655" s="3252">
        <v>3983</v>
      </c>
      <c r="D655" s="3252">
        <v>3529</v>
      </c>
      <c r="E655" s="3252">
        <v>3983</v>
      </c>
      <c r="F655" s="3252">
        <v>3789</v>
      </c>
      <c r="G655" s="1698"/>
    </row>
    <row r="656" spans="1:7" ht="15.75">
      <c r="A656" s="3252">
        <v>29600</v>
      </c>
      <c r="B656" s="3252">
        <v>29650</v>
      </c>
      <c r="C656" s="3252">
        <v>3990</v>
      </c>
      <c r="D656" s="3252">
        <v>3536</v>
      </c>
      <c r="E656" s="3252">
        <v>3990</v>
      </c>
      <c r="F656" s="3252">
        <v>3796</v>
      </c>
      <c r="G656" s="1698"/>
    </row>
    <row r="657" spans="1:7" ht="15.75">
      <c r="A657" s="3252">
        <v>29650</v>
      </c>
      <c r="B657" s="3252">
        <v>29700</v>
      </c>
      <c r="C657" s="3252">
        <v>3998</v>
      </c>
      <c r="D657" s="3252">
        <v>3544</v>
      </c>
      <c r="E657" s="3252">
        <v>3998</v>
      </c>
      <c r="F657" s="3252">
        <v>3804</v>
      </c>
      <c r="G657" s="1698"/>
    </row>
    <row r="658" spans="1:7" ht="15.75">
      <c r="A658" s="3252">
        <v>29700</v>
      </c>
      <c r="B658" s="3252">
        <v>29750</v>
      </c>
      <c r="C658" s="3252">
        <v>4005</v>
      </c>
      <c r="D658" s="3252">
        <v>3551</v>
      </c>
      <c r="E658" s="3252">
        <v>4005</v>
      </c>
      <c r="F658" s="3252">
        <v>3811</v>
      </c>
      <c r="G658" s="1698"/>
    </row>
    <row r="659" spans="1:7" ht="15.75">
      <c r="A659" s="3252">
        <v>29750</v>
      </c>
      <c r="B659" s="3252">
        <v>29800</v>
      </c>
      <c r="C659" s="3252">
        <v>4013</v>
      </c>
      <c r="D659" s="3252">
        <v>3559</v>
      </c>
      <c r="E659" s="3252">
        <v>4013</v>
      </c>
      <c r="F659" s="3252">
        <v>3819</v>
      </c>
      <c r="G659" s="1698"/>
    </row>
    <row r="660" spans="1:7" ht="15.75">
      <c r="A660" s="3252">
        <v>29800</v>
      </c>
      <c r="B660" s="3252">
        <v>29850</v>
      </c>
      <c r="C660" s="3252">
        <v>4020</v>
      </c>
      <c r="D660" s="3252">
        <v>3566</v>
      </c>
      <c r="E660" s="3252">
        <v>4020</v>
      </c>
      <c r="F660" s="3252">
        <v>3826</v>
      </c>
      <c r="G660" s="1698"/>
    </row>
    <row r="661" spans="1:7" ht="15.75">
      <c r="A661" s="3252">
        <v>29850</v>
      </c>
      <c r="B661" s="3252">
        <v>29900</v>
      </c>
      <c r="C661" s="3252">
        <v>4028</v>
      </c>
      <c r="D661" s="3252">
        <v>3574</v>
      </c>
      <c r="E661" s="3252">
        <v>4028</v>
      </c>
      <c r="F661" s="3252">
        <v>3834</v>
      </c>
      <c r="G661" s="1698"/>
    </row>
    <row r="662" spans="1:7" ht="15.75">
      <c r="A662" s="3252">
        <v>29900</v>
      </c>
      <c r="B662" s="3252">
        <v>29950</v>
      </c>
      <c r="C662" s="3252">
        <v>4035</v>
      </c>
      <c r="D662" s="3252">
        <v>3581</v>
      </c>
      <c r="E662" s="3252">
        <v>4035</v>
      </c>
      <c r="F662" s="3252">
        <v>3841</v>
      </c>
      <c r="G662" s="1698"/>
    </row>
    <row r="663" spans="1:7" ht="15.75">
      <c r="A663" s="3252">
        <v>29950</v>
      </c>
      <c r="B663" s="3252">
        <v>30000</v>
      </c>
      <c r="C663" s="3252">
        <v>4043</v>
      </c>
      <c r="D663" s="3252">
        <v>3589</v>
      </c>
      <c r="E663" s="3252">
        <v>4043</v>
      </c>
      <c r="F663" s="3252">
        <v>3849</v>
      </c>
      <c r="G663" s="1698"/>
    </row>
    <row r="664" spans="1:7" ht="15.75">
      <c r="A664" s="3252">
        <v>30000</v>
      </c>
      <c r="B664" s="3252">
        <v>30050</v>
      </c>
      <c r="C664" s="3252">
        <v>4050</v>
      </c>
      <c r="D664" s="3252">
        <v>3596</v>
      </c>
      <c r="E664" s="3252">
        <v>4050</v>
      </c>
      <c r="F664" s="3252">
        <v>3856</v>
      </c>
      <c r="G664" s="1698"/>
    </row>
    <row r="665" spans="1:7" ht="15.75">
      <c r="A665" s="3252">
        <v>30050</v>
      </c>
      <c r="B665" s="3252">
        <v>30100</v>
      </c>
      <c r="C665" s="3252">
        <v>4058</v>
      </c>
      <c r="D665" s="3252">
        <v>3604</v>
      </c>
      <c r="E665" s="3252">
        <v>4058</v>
      </c>
      <c r="F665" s="3252">
        <v>3864</v>
      </c>
      <c r="G665" s="1698"/>
    </row>
    <row r="666" spans="1:7" ht="15.75">
      <c r="A666" s="3252">
        <v>30100</v>
      </c>
      <c r="B666" s="3252">
        <v>30150</v>
      </c>
      <c r="C666" s="3252">
        <v>4065</v>
      </c>
      <c r="D666" s="3252">
        <v>3611</v>
      </c>
      <c r="E666" s="3252">
        <v>4065</v>
      </c>
      <c r="F666" s="3252">
        <v>3871</v>
      </c>
      <c r="G666" s="1698"/>
    </row>
    <row r="667" spans="1:7" ht="15.75">
      <c r="A667" s="3252">
        <v>30150</v>
      </c>
      <c r="B667" s="3252">
        <v>30200</v>
      </c>
      <c r="C667" s="3252">
        <v>4073</v>
      </c>
      <c r="D667" s="3252">
        <v>3619</v>
      </c>
      <c r="E667" s="3252">
        <v>4073</v>
      </c>
      <c r="F667" s="3252">
        <v>3879</v>
      </c>
      <c r="G667" s="1698"/>
    </row>
    <row r="668" spans="1:7" ht="15.75">
      <c r="A668" s="3252">
        <v>30200</v>
      </c>
      <c r="B668" s="3252">
        <v>30250</v>
      </c>
      <c r="C668" s="3252">
        <v>4080</v>
      </c>
      <c r="D668" s="3252">
        <v>3626</v>
      </c>
      <c r="E668" s="3252">
        <v>4080</v>
      </c>
      <c r="F668" s="3252">
        <v>3886</v>
      </c>
      <c r="G668" s="1698"/>
    </row>
    <row r="669" spans="1:7" ht="15.75">
      <c r="A669" s="3252">
        <v>30250</v>
      </c>
      <c r="B669" s="3252">
        <v>30300</v>
      </c>
      <c r="C669" s="3252">
        <v>4088</v>
      </c>
      <c r="D669" s="3252">
        <v>3634</v>
      </c>
      <c r="E669" s="3252">
        <v>4088</v>
      </c>
      <c r="F669" s="3252">
        <v>3894</v>
      </c>
      <c r="G669" s="1698"/>
    </row>
    <row r="670" spans="1:7" ht="15.75">
      <c r="A670" s="3252">
        <v>30300</v>
      </c>
      <c r="B670" s="3252">
        <v>30350</v>
      </c>
      <c r="C670" s="3252">
        <v>4095</v>
      </c>
      <c r="D670" s="3252">
        <v>3641</v>
      </c>
      <c r="E670" s="3252">
        <v>4095</v>
      </c>
      <c r="F670" s="3252">
        <v>3901</v>
      </c>
      <c r="G670" s="1698"/>
    </row>
    <row r="671" spans="1:7" ht="15.75">
      <c r="A671" s="3252">
        <v>30350</v>
      </c>
      <c r="B671" s="3252">
        <v>30400</v>
      </c>
      <c r="C671" s="3252">
        <v>4103</v>
      </c>
      <c r="D671" s="3252">
        <v>3649</v>
      </c>
      <c r="E671" s="3252">
        <v>4103</v>
      </c>
      <c r="F671" s="3252">
        <v>3909</v>
      </c>
      <c r="G671" s="1698"/>
    </row>
    <row r="672" spans="1:7" ht="15.75">
      <c r="A672" s="3252">
        <v>30400</v>
      </c>
      <c r="B672" s="3252">
        <v>30450</v>
      </c>
      <c r="C672" s="3252">
        <v>4110</v>
      </c>
      <c r="D672" s="3252">
        <v>3656</v>
      </c>
      <c r="E672" s="3252">
        <v>4110</v>
      </c>
      <c r="F672" s="3252">
        <v>3916</v>
      </c>
      <c r="G672" s="1698"/>
    </row>
    <row r="673" spans="1:7" ht="15.75">
      <c r="A673" s="3252">
        <v>30450</v>
      </c>
      <c r="B673" s="3252">
        <v>30500</v>
      </c>
      <c r="C673" s="3252">
        <v>4118</v>
      </c>
      <c r="D673" s="3252">
        <v>3664</v>
      </c>
      <c r="E673" s="3252">
        <v>4118</v>
      </c>
      <c r="F673" s="3252">
        <v>3924</v>
      </c>
      <c r="G673" s="1698"/>
    </row>
    <row r="674" spans="1:7" ht="15.75">
      <c r="A674" s="3252">
        <v>30500</v>
      </c>
      <c r="B674" s="3252">
        <v>30550</v>
      </c>
      <c r="C674" s="3252">
        <v>4125</v>
      </c>
      <c r="D674" s="3252">
        <v>3671</v>
      </c>
      <c r="E674" s="3252">
        <v>4125</v>
      </c>
      <c r="F674" s="3252">
        <v>3931</v>
      </c>
      <c r="G674" s="1698"/>
    </row>
    <row r="675" spans="1:7" ht="15.75">
      <c r="A675" s="3252">
        <v>30550</v>
      </c>
      <c r="B675" s="3252">
        <v>30600</v>
      </c>
      <c r="C675" s="3252">
        <v>4133</v>
      </c>
      <c r="D675" s="3252">
        <v>3679</v>
      </c>
      <c r="E675" s="3252">
        <v>4133</v>
      </c>
      <c r="F675" s="3252">
        <v>3939</v>
      </c>
      <c r="G675" s="1698"/>
    </row>
    <row r="676" spans="1:7" ht="15.75">
      <c r="A676" s="3252">
        <v>30600</v>
      </c>
      <c r="B676" s="3252">
        <v>30650</v>
      </c>
      <c r="C676" s="3252">
        <v>4140</v>
      </c>
      <c r="D676" s="3252">
        <v>3686</v>
      </c>
      <c r="E676" s="3252">
        <v>4140</v>
      </c>
      <c r="F676" s="3252">
        <v>3946</v>
      </c>
      <c r="G676" s="1698"/>
    </row>
    <row r="677" spans="1:7" ht="15.75">
      <c r="A677" s="3252">
        <v>30650</v>
      </c>
      <c r="B677" s="3252">
        <v>30700</v>
      </c>
      <c r="C677" s="3252">
        <v>4148</v>
      </c>
      <c r="D677" s="3252">
        <v>3694</v>
      </c>
      <c r="E677" s="3252">
        <v>4148</v>
      </c>
      <c r="F677" s="3252">
        <v>3954</v>
      </c>
      <c r="G677" s="1698"/>
    </row>
    <row r="678" spans="1:7" ht="15.75">
      <c r="A678" s="3252">
        <v>30700</v>
      </c>
      <c r="B678" s="3252">
        <v>30750</v>
      </c>
      <c r="C678" s="3252">
        <v>4155</v>
      </c>
      <c r="D678" s="3252">
        <v>3701</v>
      </c>
      <c r="E678" s="3252">
        <v>4155</v>
      </c>
      <c r="F678" s="3252">
        <v>3961</v>
      </c>
      <c r="G678" s="1698"/>
    </row>
    <row r="679" spans="1:7" ht="15.75">
      <c r="A679" s="3252">
        <v>30750</v>
      </c>
      <c r="B679" s="3252">
        <v>30800</v>
      </c>
      <c r="C679" s="3252">
        <v>4163</v>
      </c>
      <c r="D679" s="3252">
        <v>3709</v>
      </c>
      <c r="E679" s="3252">
        <v>4163</v>
      </c>
      <c r="F679" s="3252">
        <v>3969</v>
      </c>
      <c r="G679" s="1698"/>
    </row>
    <row r="680" spans="1:7" ht="15.75">
      <c r="A680" s="3252">
        <v>30800</v>
      </c>
      <c r="B680" s="3252">
        <v>30850</v>
      </c>
      <c r="C680" s="3252">
        <v>4170</v>
      </c>
      <c r="D680" s="3252">
        <v>3716</v>
      </c>
      <c r="E680" s="3252">
        <v>4170</v>
      </c>
      <c r="F680" s="3252">
        <v>3976</v>
      </c>
      <c r="G680" s="1698"/>
    </row>
    <row r="681" spans="1:7" ht="15.75">
      <c r="A681" s="3252">
        <v>30850</v>
      </c>
      <c r="B681" s="3252">
        <v>30900</v>
      </c>
      <c r="C681" s="3252">
        <v>4178</v>
      </c>
      <c r="D681" s="3252">
        <v>3724</v>
      </c>
      <c r="E681" s="3252">
        <v>4178</v>
      </c>
      <c r="F681" s="3252">
        <v>3984</v>
      </c>
      <c r="G681" s="1698"/>
    </row>
    <row r="682" spans="1:7" ht="15.75">
      <c r="A682" s="3252">
        <v>30900</v>
      </c>
      <c r="B682" s="3252">
        <v>30950</v>
      </c>
      <c r="C682" s="3252">
        <v>4185</v>
      </c>
      <c r="D682" s="3252">
        <v>3731</v>
      </c>
      <c r="E682" s="3252">
        <v>4185</v>
      </c>
      <c r="F682" s="3252">
        <v>3991</v>
      </c>
      <c r="G682" s="1698"/>
    </row>
    <row r="683" spans="1:7" ht="15.75">
      <c r="A683" s="3252">
        <v>30950</v>
      </c>
      <c r="B683" s="3252">
        <v>31000</v>
      </c>
      <c r="C683" s="3252">
        <v>4193</v>
      </c>
      <c r="D683" s="3252">
        <v>3739</v>
      </c>
      <c r="E683" s="3252">
        <v>4193</v>
      </c>
      <c r="F683" s="3252">
        <v>3999</v>
      </c>
      <c r="G683" s="1698"/>
    </row>
    <row r="684" spans="1:7" ht="15.75">
      <c r="A684" s="3252">
        <v>31000</v>
      </c>
      <c r="B684" s="3252">
        <v>31050</v>
      </c>
      <c r="C684" s="3252">
        <v>4200</v>
      </c>
      <c r="D684" s="3252">
        <v>3746</v>
      </c>
      <c r="E684" s="3252">
        <v>4200</v>
      </c>
      <c r="F684" s="3252">
        <v>4006</v>
      </c>
      <c r="G684" s="1698"/>
    </row>
    <row r="685" spans="1:7" ht="15.75">
      <c r="A685" s="3252">
        <v>31050</v>
      </c>
      <c r="B685" s="3252">
        <v>31100</v>
      </c>
      <c r="C685" s="3252">
        <v>4208</v>
      </c>
      <c r="D685" s="3252">
        <v>3754</v>
      </c>
      <c r="E685" s="3252">
        <v>4208</v>
      </c>
      <c r="F685" s="3252">
        <v>4014</v>
      </c>
      <c r="G685" s="1698"/>
    </row>
    <row r="686" spans="1:7" ht="15.75">
      <c r="A686" s="3252">
        <v>31100</v>
      </c>
      <c r="B686" s="3252">
        <v>31150</v>
      </c>
      <c r="C686" s="3252">
        <v>4215</v>
      </c>
      <c r="D686" s="3252">
        <v>3761</v>
      </c>
      <c r="E686" s="3252">
        <v>4215</v>
      </c>
      <c r="F686" s="3252">
        <v>4021</v>
      </c>
      <c r="G686" s="1698"/>
    </row>
    <row r="687" spans="1:7" ht="15.75">
      <c r="A687" s="3252">
        <v>31150</v>
      </c>
      <c r="B687" s="3252">
        <v>31200</v>
      </c>
      <c r="C687" s="3252">
        <v>4223</v>
      </c>
      <c r="D687" s="3252">
        <v>3769</v>
      </c>
      <c r="E687" s="3252">
        <v>4223</v>
      </c>
      <c r="F687" s="3252">
        <v>4029</v>
      </c>
      <c r="G687" s="1698"/>
    </row>
    <row r="688" spans="1:7" ht="15.75">
      <c r="A688" s="3252">
        <v>31200</v>
      </c>
      <c r="B688" s="3252">
        <v>31250</v>
      </c>
      <c r="C688" s="3252">
        <v>4230</v>
      </c>
      <c r="D688" s="3252">
        <v>3776</v>
      </c>
      <c r="E688" s="3252">
        <v>4230</v>
      </c>
      <c r="F688" s="3252">
        <v>4036</v>
      </c>
      <c r="G688" s="1698"/>
    </row>
    <row r="689" spans="1:7" ht="15.75">
      <c r="A689" s="3252">
        <v>31250</v>
      </c>
      <c r="B689" s="3252">
        <v>31300</v>
      </c>
      <c r="C689" s="3252">
        <v>4238</v>
      </c>
      <c r="D689" s="3252">
        <v>3784</v>
      </c>
      <c r="E689" s="3252">
        <v>4238</v>
      </c>
      <c r="F689" s="3252">
        <v>4044</v>
      </c>
      <c r="G689" s="1698"/>
    </row>
    <row r="690" spans="1:7" ht="15.75">
      <c r="A690" s="3252">
        <v>31300</v>
      </c>
      <c r="B690" s="3252">
        <v>31350</v>
      </c>
      <c r="C690" s="3252">
        <v>4245</v>
      </c>
      <c r="D690" s="3252">
        <v>3791</v>
      </c>
      <c r="E690" s="3252">
        <v>4245</v>
      </c>
      <c r="F690" s="3252">
        <v>4051</v>
      </c>
      <c r="G690" s="1698"/>
    </row>
    <row r="691" spans="1:7" ht="15.75">
      <c r="A691" s="3252">
        <v>31350</v>
      </c>
      <c r="B691" s="3252">
        <v>31400</v>
      </c>
      <c r="C691" s="3252">
        <v>4253</v>
      </c>
      <c r="D691" s="3252">
        <v>3799</v>
      </c>
      <c r="E691" s="3252">
        <v>4253</v>
      </c>
      <c r="F691" s="3252">
        <v>4059</v>
      </c>
      <c r="G691" s="1698"/>
    </row>
    <row r="692" spans="1:7" ht="15.75">
      <c r="A692" s="3252">
        <v>31400</v>
      </c>
      <c r="B692" s="3252">
        <v>31450</v>
      </c>
      <c r="C692" s="3252">
        <v>4260</v>
      </c>
      <c r="D692" s="3252">
        <v>3806</v>
      </c>
      <c r="E692" s="3252">
        <v>4260</v>
      </c>
      <c r="F692" s="3252">
        <v>4066</v>
      </c>
      <c r="G692" s="1698"/>
    </row>
    <row r="693" spans="1:7" ht="15.75">
      <c r="A693" s="3252">
        <v>31450</v>
      </c>
      <c r="B693" s="3252">
        <v>31500</v>
      </c>
      <c r="C693" s="3252">
        <v>4268</v>
      </c>
      <c r="D693" s="3252">
        <v>3814</v>
      </c>
      <c r="E693" s="3252">
        <v>4268</v>
      </c>
      <c r="F693" s="3252">
        <v>4074</v>
      </c>
      <c r="G693" s="1698"/>
    </row>
    <row r="694" spans="1:7" ht="15.75">
      <c r="A694" s="3252">
        <v>31500</v>
      </c>
      <c r="B694" s="3252">
        <v>31550</v>
      </c>
      <c r="C694" s="3252">
        <v>4275</v>
      </c>
      <c r="D694" s="3252">
        <v>3821</v>
      </c>
      <c r="E694" s="3252">
        <v>4275</v>
      </c>
      <c r="F694" s="3252">
        <v>4081</v>
      </c>
      <c r="G694" s="1698"/>
    </row>
    <row r="695" spans="1:7" ht="15.75">
      <c r="A695" s="3252">
        <v>31550</v>
      </c>
      <c r="B695" s="3252">
        <v>31600</v>
      </c>
      <c r="C695" s="3252">
        <v>4283</v>
      </c>
      <c r="D695" s="3252">
        <v>3829</v>
      </c>
      <c r="E695" s="3252">
        <v>4283</v>
      </c>
      <c r="F695" s="3252">
        <v>4089</v>
      </c>
      <c r="G695" s="1698"/>
    </row>
    <row r="696" spans="1:7" ht="15.75">
      <c r="A696" s="3252">
        <v>31600</v>
      </c>
      <c r="B696" s="3252">
        <v>31650</v>
      </c>
      <c r="C696" s="3252">
        <v>4290</v>
      </c>
      <c r="D696" s="3252">
        <v>3836</v>
      </c>
      <c r="E696" s="3252">
        <v>4290</v>
      </c>
      <c r="F696" s="3252">
        <v>4096</v>
      </c>
      <c r="G696" s="1698"/>
    </row>
    <row r="697" spans="1:7" ht="15.75">
      <c r="A697" s="3252">
        <v>31650</v>
      </c>
      <c r="B697" s="3252">
        <v>31700</v>
      </c>
      <c r="C697" s="3252">
        <v>4298</v>
      </c>
      <c r="D697" s="3252">
        <v>3844</v>
      </c>
      <c r="E697" s="3252">
        <v>4298</v>
      </c>
      <c r="F697" s="3252">
        <v>4104</v>
      </c>
      <c r="G697" s="1698"/>
    </row>
    <row r="698" spans="1:7" ht="15.75">
      <c r="A698" s="3252">
        <v>31700</v>
      </c>
      <c r="B698" s="3252">
        <v>31750</v>
      </c>
      <c r="C698" s="3252">
        <v>4305</v>
      </c>
      <c r="D698" s="3252">
        <v>3851</v>
      </c>
      <c r="E698" s="3252">
        <v>4305</v>
      </c>
      <c r="F698" s="3252">
        <v>4111</v>
      </c>
      <c r="G698" s="1698"/>
    </row>
    <row r="699" spans="1:7" ht="15.75">
      <c r="A699" s="3252">
        <v>31750</v>
      </c>
      <c r="B699" s="3252">
        <v>31800</v>
      </c>
      <c r="C699" s="3252">
        <v>4313</v>
      </c>
      <c r="D699" s="3252">
        <v>3859</v>
      </c>
      <c r="E699" s="3252">
        <v>4313</v>
      </c>
      <c r="F699" s="3252">
        <v>4119</v>
      </c>
      <c r="G699" s="1698"/>
    </row>
    <row r="700" spans="1:7" ht="15.75">
      <c r="A700" s="3252">
        <v>31800</v>
      </c>
      <c r="B700" s="3252">
        <v>31850</v>
      </c>
      <c r="C700" s="3252">
        <v>4320</v>
      </c>
      <c r="D700" s="3252">
        <v>3866</v>
      </c>
      <c r="E700" s="3252">
        <v>4320</v>
      </c>
      <c r="F700" s="3252">
        <v>4126</v>
      </c>
      <c r="G700" s="1698"/>
    </row>
    <row r="701" spans="1:7" ht="15.75">
      <c r="A701" s="3252">
        <v>31850</v>
      </c>
      <c r="B701" s="3252">
        <v>31900</v>
      </c>
      <c r="C701" s="3252">
        <v>4328</v>
      </c>
      <c r="D701" s="3252">
        <v>3874</v>
      </c>
      <c r="E701" s="3252">
        <v>4328</v>
      </c>
      <c r="F701" s="3252">
        <v>4134</v>
      </c>
      <c r="G701" s="1698"/>
    </row>
    <row r="702" spans="1:7" ht="15.75">
      <c r="A702" s="3252">
        <v>31900</v>
      </c>
      <c r="B702" s="3252">
        <v>31950</v>
      </c>
      <c r="C702" s="3252">
        <v>4335</v>
      </c>
      <c r="D702" s="3252">
        <v>3881</v>
      </c>
      <c r="E702" s="3252">
        <v>4335</v>
      </c>
      <c r="F702" s="3252">
        <v>4141</v>
      </c>
      <c r="G702" s="1698"/>
    </row>
    <row r="703" spans="1:7" ht="15.75">
      <c r="A703" s="3252">
        <v>31950</v>
      </c>
      <c r="B703" s="3252">
        <v>32000</v>
      </c>
      <c r="C703" s="3252">
        <v>4343</v>
      </c>
      <c r="D703" s="3252">
        <v>3889</v>
      </c>
      <c r="E703" s="3252">
        <v>4343</v>
      </c>
      <c r="F703" s="3252">
        <v>4149</v>
      </c>
      <c r="G703" s="1698"/>
    </row>
    <row r="704" spans="1:7" ht="15.75">
      <c r="A704" s="3252">
        <v>32000</v>
      </c>
      <c r="B704" s="3252">
        <v>32050</v>
      </c>
      <c r="C704" s="3252">
        <v>4350</v>
      </c>
      <c r="D704" s="3252">
        <v>3896</v>
      </c>
      <c r="E704" s="3252">
        <v>4350</v>
      </c>
      <c r="F704" s="3252">
        <v>4156</v>
      </c>
      <c r="G704" s="1698"/>
    </row>
    <row r="705" spans="1:7" ht="15.75">
      <c r="A705" s="3252">
        <v>32050</v>
      </c>
      <c r="B705" s="3252">
        <v>32100</v>
      </c>
      <c r="C705" s="3252">
        <v>4358</v>
      </c>
      <c r="D705" s="3252">
        <v>3904</v>
      </c>
      <c r="E705" s="3252">
        <v>4358</v>
      </c>
      <c r="F705" s="3252">
        <v>4164</v>
      </c>
      <c r="G705" s="1698"/>
    </row>
    <row r="706" spans="1:7" ht="15.75">
      <c r="A706" s="3252">
        <v>32100</v>
      </c>
      <c r="B706" s="3252">
        <v>32150</v>
      </c>
      <c r="C706" s="3252">
        <v>4365</v>
      </c>
      <c r="D706" s="3252">
        <v>3911</v>
      </c>
      <c r="E706" s="3252">
        <v>4365</v>
      </c>
      <c r="F706" s="3252">
        <v>4171</v>
      </c>
      <c r="G706" s="1698"/>
    </row>
    <row r="707" spans="1:7" ht="15.75">
      <c r="A707" s="3252">
        <v>32150</v>
      </c>
      <c r="B707" s="3252">
        <v>32200</v>
      </c>
      <c r="C707" s="3252">
        <v>4373</v>
      </c>
      <c r="D707" s="3252">
        <v>3919</v>
      </c>
      <c r="E707" s="3252">
        <v>4373</v>
      </c>
      <c r="F707" s="3252">
        <v>4179</v>
      </c>
      <c r="G707" s="1698"/>
    </row>
    <row r="708" spans="1:7" ht="15.75">
      <c r="A708" s="3252">
        <v>32200</v>
      </c>
      <c r="B708" s="3252">
        <v>32250</v>
      </c>
      <c r="C708" s="3252">
        <v>4380</v>
      </c>
      <c r="D708" s="3252">
        <v>3926</v>
      </c>
      <c r="E708" s="3252">
        <v>4380</v>
      </c>
      <c r="F708" s="3252">
        <v>4186</v>
      </c>
      <c r="G708" s="1698"/>
    </row>
    <row r="709" spans="1:7" ht="15.75">
      <c r="A709" s="3252">
        <v>32250</v>
      </c>
      <c r="B709" s="3252">
        <v>32300</v>
      </c>
      <c r="C709" s="3252">
        <v>4388</v>
      </c>
      <c r="D709" s="3252">
        <v>3934</v>
      </c>
      <c r="E709" s="3252">
        <v>4388</v>
      </c>
      <c r="F709" s="3252">
        <v>4194</v>
      </c>
      <c r="G709" s="1698"/>
    </row>
    <row r="710" spans="1:7" ht="15.75">
      <c r="A710" s="3252">
        <v>32300</v>
      </c>
      <c r="B710" s="3252">
        <v>32350</v>
      </c>
      <c r="C710" s="3252">
        <v>4395</v>
      </c>
      <c r="D710" s="3252">
        <v>3941</v>
      </c>
      <c r="E710" s="3252">
        <v>4395</v>
      </c>
      <c r="F710" s="3252">
        <v>4201</v>
      </c>
      <c r="G710" s="1698"/>
    </row>
    <row r="711" spans="1:7" ht="15.75">
      <c r="A711" s="3252">
        <v>32350</v>
      </c>
      <c r="B711" s="3252">
        <v>32400</v>
      </c>
      <c r="C711" s="3252">
        <v>4403</v>
      </c>
      <c r="D711" s="3252">
        <v>3949</v>
      </c>
      <c r="E711" s="3252">
        <v>4403</v>
      </c>
      <c r="F711" s="3252">
        <v>4209</v>
      </c>
      <c r="G711" s="1698"/>
    </row>
    <row r="712" spans="1:7" ht="15.75">
      <c r="A712" s="3252">
        <v>32400</v>
      </c>
      <c r="B712" s="3252">
        <v>32450</v>
      </c>
      <c r="C712" s="3252">
        <v>4410</v>
      </c>
      <c r="D712" s="3252">
        <v>3956</v>
      </c>
      <c r="E712" s="3252">
        <v>4410</v>
      </c>
      <c r="F712" s="3252">
        <v>4216</v>
      </c>
      <c r="G712" s="1698"/>
    </row>
    <row r="713" spans="1:7" ht="15.75">
      <c r="A713" s="3252">
        <v>32450</v>
      </c>
      <c r="B713" s="3252">
        <v>32500</v>
      </c>
      <c r="C713" s="3252">
        <v>4418</v>
      </c>
      <c r="D713" s="3252">
        <v>3964</v>
      </c>
      <c r="E713" s="3252">
        <v>4418</v>
      </c>
      <c r="F713" s="3252">
        <v>4224</v>
      </c>
      <c r="G713" s="1698"/>
    </row>
    <row r="714" spans="1:7" ht="15.75">
      <c r="A714" s="3252">
        <v>32500</v>
      </c>
      <c r="B714" s="3252">
        <v>32550</v>
      </c>
      <c r="C714" s="3252">
        <v>4425</v>
      </c>
      <c r="D714" s="3252">
        <v>3971</v>
      </c>
      <c r="E714" s="3252">
        <v>4425</v>
      </c>
      <c r="F714" s="3252">
        <v>4231</v>
      </c>
      <c r="G714" s="1698"/>
    </row>
    <row r="715" spans="1:7" ht="15.75">
      <c r="A715" s="3252">
        <v>32550</v>
      </c>
      <c r="B715" s="3252">
        <v>32600</v>
      </c>
      <c r="C715" s="3252">
        <v>4433</v>
      </c>
      <c r="D715" s="3252">
        <v>3979</v>
      </c>
      <c r="E715" s="3252">
        <v>4433</v>
      </c>
      <c r="F715" s="3252">
        <v>4239</v>
      </c>
      <c r="G715" s="1698"/>
    </row>
    <row r="716" spans="1:7" ht="15.75">
      <c r="A716" s="3252">
        <v>32600</v>
      </c>
      <c r="B716" s="3252">
        <v>32650</v>
      </c>
      <c r="C716" s="3252">
        <v>4440</v>
      </c>
      <c r="D716" s="3252">
        <v>3986</v>
      </c>
      <c r="E716" s="3252">
        <v>4440</v>
      </c>
      <c r="F716" s="3252">
        <v>4246</v>
      </c>
      <c r="G716" s="1698"/>
    </row>
    <row r="717" spans="1:7" ht="15.75">
      <c r="A717" s="3252">
        <v>32650</v>
      </c>
      <c r="B717" s="3252">
        <v>32700</v>
      </c>
      <c r="C717" s="3252">
        <v>4448</v>
      </c>
      <c r="D717" s="3252">
        <v>3994</v>
      </c>
      <c r="E717" s="3252">
        <v>4448</v>
      </c>
      <c r="F717" s="3252">
        <v>4254</v>
      </c>
      <c r="G717" s="1698"/>
    </row>
    <row r="718" spans="1:7" ht="15.75">
      <c r="A718" s="3252">
        <v>32700</v>
      </c>
      <c r="B718" s="3252">
        <v>32750</v>
      </c>
      <c r="C718" s="3252">
        <v>4455</v>
      </c>
      <c r="D718" s="3252">
        <v>4001</v>
      </c>
      <c r="E718" s="3252">
        <v>4455</v>
      </c>
      <c r="F718" s="3252">
        <v>4261</v>
      </c>
      <c r="G718" s="1698"/>
    </row>
    <row r="719" spans="1:7" ht="15.75">
      <c r="A719" s="3252">
        <v>32750</v>
      </c>
      <c r="B719" s="3252">
        <v>32800</v>
      </c>
      <c r="C719" s="3252">
        <v>4463</v>
      </c>
      <c r="D719" s="3252">
        <v>4009</v>
      </c>
      <c r="E719" s="3252">
        <v>4463</v>
      </c>
      <c r="F719" s="3252">
        <v>4269</v>
      </c>
      <c r="G719" s="1698"/>
    </row>
    <row r="720" spans="1:7" ht="15.75">
      <c r="A720" s="3252">
        <v>32800</v>
      </c>
      <c r="B720" s="3252">
        <v>32850</v>
      </c>
      <c r="C720" s="3252">
        <v>4470</v>
      </c>
      <c r="D720" s="3252">
        <v>4016</v>
      </c>
      <c r="E720" s="3252">
        <v>4470</v>
      </c>
      <c r="F720" s="3252">
        <v>4276</v>
      </c>
      <c r="G720" s="1698"/>
    </row>
    <row r="721" spans="1:7" ht="15.75">
      <c r="A721" s="3252">
        <v>32850</v>
      </c>
      <c r="B721" s="3252">
        <v>32900</v>
      </c>
      <c r="C721" s="3252">
        <v>4478</v>
      </c>
      <c r="D721" s="3252">
        <v>4024</v>
      </c>
      <c r="E721" s="3252">
        <v>4478</v>
      </c>
      <c r="F721" s="3252">
        <v>4284</v>
      </c>
      <c r="G721" s="1698"/>
    </row>
    <row r="722" spans="1:7" ht="15.75">
      <c r="A722" s="3252">
        <v>32900</v>
      </c>
      <c r="B722" s="3252">
        <v>32950</v>
      </c>
      <c r="C722" s="3252">
        <v>4485</v>
      </c>
      <c r="D722" s="3252">
        <v>4031</v>
      </c>
      <c r="E722" s="3252">
        <v>4485</v>
      </c>
      <c r="F722" s="3252">
        <v>4291</v>
      </c>
      <c r="G722" s="1698"/>
    </row>
    <row r="723" spans="1:7" ht="15.75">
      <c r="A723" s="3252">
        <v>32950</v>
      </c>
      <c r="B723" s="3252">
        <v>33000</v>
      </c>
      <c r="C723" s="3252">
        <v>4493</v>
      </c>
      <c r="D723" s="3252">
        <v>4039</v>
      </c>
      <c r="E723" s="3252">
        <v>4493</v>
      </c>
      <c r="F723" s="3252">
        <v>4299</v>
      </c>
      <c r="G723" s="1698"/>
    </row>
    <row r="724" spans="1:7" ht="15.75">
      <c r="A724" s="3252">
        <v>33000</v>
      </c>
      <c r="B724" s="3252">
        <v>33050</v>
      </c>
      <c r="C724" s="3252">
        <v>4500</v>
      </c>
      <c r="D724" s="3252">
        <v>4046</v>
      </c>
      <c r="E724" s="3252">
        <v>4500</v>
      </c>
      <c r="F724" s="3252">
        <v>4306</v>
      </c>
      <c r="G724" s="1698"/>
    </row>
    <row r="725" spans="1:7" ht="15.75">
      <c r="A725" s="3252">
        <v>33050</v>
      </c>
      <c r="B725" s="3252">
        <v>33100</v>
      </c>
      <c r="C725" s="3252">
        <v>4508</v>
      </c>
      <c r="D725" s="3252">
        <v>4054</v>
      </c>
      <c r="E725" s="3252">
        <v>4508</v>
      </c>
      <c r="F725" s="3252">
        <v>4314</v>
      </c>
      <c r="G725" s="1698"/>
    </row>
    <row r="726" spans="1:7" ht="15.75">
      <c r="A726" s="3252">
        <v>33100</v>
      </c>
      <c r="B726" s="3252">
        <v>33150</v>
      </c>
      <c r="C726" s="3252">
        <v>4515</v>
      </c>
      <c r="D726" s="3252">
        <v>4061</v>
      </c>
      <c r="E726" s="3252">
        <v>4515</v>
      </c>
      <c r="F726" s="3252">
        <v>4321</v>
      </c>
      <c r="G726" s="1698"/>
    </row>
    <row r="727" spans="1:7" ht="15.75">
      <c r="A727" s="3252">
        <v>33150</v>
      </c>
      <c r="B727" s="3252">
        <v>33200</v>
      </c>
      <c r="C727" s="3252">
        <v>4523</v>
      </c>
      <c r="D727" s="3252">
        <v>4069</v>
      </c>
      <c r="E727" s="3252">
        <v>4523</v>
      </c>
      <c r="F727" s="3252">
        <v>4329</v>
      </c>
      <c r="G727" s="1698"/>
    </row>
    <row r="728" spans="1:7" ht="15.75">
      <c r="A728" s="3252">
        <v>33200</v>
      </c>
      <c r="B728" s="3252">
        <v>33250</v>
      </c>
      <c r="C728" s="3252">
        <v>4530</v>
      </c>
      <c r="D728" s="3252">
        <v>4076</v>
      </c>
      <c r="E728" s="3252">
        <v>4530</v>
      </c>
      <c r="F728" s="3252">
        <v>4336</v>
      </c>
      <c r="G728" s="1698"/>
    </row>
    <row r="729" spans="1:7" ht="15.75">
      <c r="A729" s="3252">
        <v>33250</v>
      </c>
      <c r="B729" s="3252">
        <v>33300</v>
      </c>
      <c r="C729" s="3252">
        <v>4538</v>
      </c>
      <c r="D729" s="3252">
        <v>4084</v>
      </c>
      <c r="E729" s="3252">
        <v>4538</v>
      </c>
      <c r="F729" s="3252">
        <v>4344</v>
      </c>
      <c r="G729" s="1698"/>
    </row>
    <row r="730" spans="1:7" ht="15.75">
      <c r="A730" s="3252">
        <v>33300</v>
      </c>
      <c r="B730" s="3252">
        <v>33350</v>
      </c>
      <c r="C730" s="3252">
        <v>4545</v>
      </c>
      <c r="D730" s="3252">
        <v>4091</v>
      </c>
      <c r="E730" s="3252">
        <v>4545</v>
      </c>
      <c r="F730" s="3252">
        <v>4351</v>
      </c>
      <c r="G730" s="1698"/>
    </row>
    <row r="731" spans="1:7" ht="15.75">
      <c r="A731" s="3252">
        <v>33350</v>
      </c>
      <c r="B731" s="3252">
        <v>33400</v>
      </c>
      <c r="C731" s="3252">
        <v>4553</v>
      </c>
      <c r="D731" s="3252">
        <v>4099</v>
      </c>
      <c r="E731" s="3252">
        <v>4553</v>
      </c>
      <c r="F731" s="3252">
        <v>4359</v>
      </c>
      <c r="G731" s="1698"/>
    </row>
    <row r="732" spans="1:7" ht="15.75">
      <c r="A732" s="3252">
        <v>33400</v>
      </c>
      <c r="B732" s="3252">
        <v>33450</v>
      </c>
      <c r="C732" s="3252">
        <v>4560</v>
      </c>
      <c r="D732" s="3252">
        <v>4106</v>
      </c>
      <c r="E732" s="3252">
        <v>4560</v>
      </c>
      <c r="F732" s="3252">
        <v>4366</v>
      </c>
      <c r="G732" s="1698"/>
    </row>
    <row r="733" spans="1:7" ht="15.75">
      <c r="A733" s="3252">
        <v>33450</v>
      </c>
      <c r="B733" s="3252">
        <v>33500</v>
      </c>
      <c r="C733" s="3252">
        <v>4568</v>
      </c>
      <c r="D733" s="3252">
        <v>4114</v>
      </c>
      <c r="E733" s="3252">
        <v>4568</v>
      </c>
      <c r="F733" s="3252">
        <v>4374</v>
      </c>
      <c r="G733" s="1698"/>
    </row>
    <row r="734" spans="1:7" ht="15.75">
      <c r="A734" s="3252">
        <v>33500</v>
      </c>
      <c r="B734" s="3252">
        <v>33550</v>
      </c>
      <c r="C734" s="3252">
        <v>4575</v>
      </c>
      <c r="D734" s="3252">
        <v>4121</v>
      </c>
      <c r="E734" s="3252">
        <v>4575</v>
      </c>
      <c r="F734" s="3252">
        <v>4381</v>
      </c>
      <c r="G734" s="1698"/>
    </row>
    <row r="735" spans="1:7" ht="15.75">
      <c r="A735" s="3252">
        <v>33550</v>
      </c>
      <c r="B735" s="3252">
        <v>33600</v>
      </c>
      <c r="C735" s="3252">
        <v>4583</v>
      </c>
      <c r="D735" s="3252">
        <v>4129</v>
      </c>
      <c r="E735" s="3252">
        <v>4583</v>
      </c>
      <c r="F735" s="3252">
        <v>4389</v>
      </c>
      <c r="G735" s="1698"/>
    </row>
    <row r="736" spans="1:7" ht="15.75">
      <c r="A736" s="3252">
        <v>33600</v>
      </c>
      <c r="B736" s="3252">
        <v>33650</v>
      </c>
      <c r="C736" s="3252">
        <v>4590</v>
      </c>
      <c r="D736" s="3252">
        <v>4136</v>
      </c>
      <c r="E736" s="3252">
        <v>4590</v>
      </c>
      <c r="F736" s="3252">
        <v>4396</v>
      </c>
      <c r="G736" s="1698"/>
    </row>
    <row r="737" spans="1:7" ht="15.75">
      <c r="A737" s="3252">
        <v>33650</v>
      </c>
      <c r="B737" s="3252">
        <v>33700</v>
      </c>
      <c r="C737" s="3252">
        <v>4598</v>
      </c>
      <c r="D737" s="3252">
        <v>4144</v>
      </c>
      <c r="E737" s="3252">
        <v>4598</v>
      </c>
      <c r="F737" s="3252">
        <v>4404</v>
      </c>
      <c r="G737" s="1698"/>
    </row>
    <row r="738" spans="1:7" ht="15.75">
      <c r="A738" s="3252">
        <v>33700</v>
      </c>
      <c r="B738" s="3252">
        <v>33750</v>
      </c>
      <c r="C738" s="3252">
        <v>4605</v>
      </c>
      <c r="D738" s="3252">
        <v>4151</v>
      </c>
      <c r="E738" s="3252">
        <v>4605</v>
      </c>
      <c r="F738" s="3252">
        <v>4411</v>
      </c>
      <c r="G738" s="1698"/>
    </row>
    <row r="739" spans="1:7" ht="15.75">
      <c r="A739" s="3252">
        <v>33750</v>
      </c>
      <c r="B739" s="3252">
        <v>33800</v>
      </c>
      <c r="C739" s="3252">
        <v>4613</v>
      </c>
      <c r="D739" s="3252">
        <v>4159</v>
      </c>
      <c r="E739" s="3252">
        <v>4613</v>
      </c>
      <c r="F739" s="3252">
        <v>4419</v>
      </c>
      <c r="G739" s="1698"/>
    </row>
    <row r="740" spans="1:7" ht="15.75">
      <c r="A740" s="3252">
        <v>33800</v>
      </c>
      <c r="B740" s="3252">
        <v>33850</v>
      </c>
      <c r="C740" s="3252">
        <v>4620</v>
      </c>
      <c r="D740" s="3252">
        <v>4166</v>
      </c>
      <c r="E740" s="3252">
        <v>4620</v>
      </c>
      <c r="F740" s="3252">
        <v>4426</v>
      </c>
      <c r="G740" s="1698"/>
    </row>
    <row r="741" spans="1:7" ht="15.75">
      <c r="A741" s="3252">
        <v>33850</v>
      </c>
      <c r="B741" s="3252">
        <v>33900</v>
      </c>
      <c r="C741" s="3252">
        <v>4628</v>
      </c>
      <c r="D741" s="3252">
        <v>4174</v>
      </c>
      <c r="E741" s="3252">
        <v>4628</v>
      </c>
      <c r="F741" s="3252">
        <v>4434</v>
      </c>
      <c r="G741" s="1698"/>
    </row>
    <row r="742" spans="1:7" ht="15.75">
      <c r="A742" s="3252">
        <v>33900</v>
      </c>
      <c r="B742" s="3252">
        <v>33950</v>
      </c>
      <c r="C742" s="3252">
        <v>4635</v>
      </c>
      <c r="D742" s="3252">
        <v>4181</v>
      </c>
      <c r="E742" s="3252">
        <v>4635</v>
      </c>
      <c r="F742" s="3252">
        <v>4441</v>
      </c>
      <c r="G742" s="1698"/>
    </row>
    <row r="743" spans="1:7" ht="15.75">
      <c r="A743" s="3252">
        <v>33950</v>
      </c>
      <c r="B743" s="3252">
        <v>34000</v>
      </c>
      <c r="C743" s="3252">
        <v>4643</v>
      </c>
      <c r="D743" s="3252">
        <v>4189</v>
      </c>
      <c r="E743" s="3252">
        <v>4643</v>
      </c>
      <c r="F743" s="3252">
        <v>4449</v>
      </c>
      <c r="G743" s="1698"/>
    </row>
    <row r="744" spans="1:7" ht="15.75">
      <c r="A744" s="3252">
        <v>34000</v>
      </c>
      <c r="B744" s="3252">
        <v>34050</v>
      </c>
      <c r="C744" s="3252">
        <v>4650</v>
      </c>
      <c r="D744" s="3252">
        <v>4196</v>
      </c>
      <c r="E744" s="3252">
        <v>4650</v>
      </c>
      <c r="F744" s="3252">
        <v>4456</v>
      </c>
      <c r="G744" s="1698"/>
    </row>
    <row r="745" spans="1:7" ht="15.75">
      <c r="A745" s="3252">
        <v>34050</v>
      </c>
      <c r="B745" s="3252">
        <v>34100</v>
      </c>
      <c r="C745" s="3252">
        <v>4658</v>
      </c>
      <c r="D745" s="3252">
        <v>4204</v>
      </c>
      <c r="E745" s="3252">
        <v>4658</v>
      </c>
      <c r="F745" s="3252">
        <v>4464</v>
      </c>
      <c r="G745" s="1698"/>
    </row>
    <row r="746" spans="1:7" ht="15.75">
      <c r="A746" s="3252">
        <v>34100</v>
      </c>
      <c r="B746" s="3252">
        <v>34150</v>
      </c>
      <c r="C746" s="3252">
        <v>4665</v>
      </c>
      <c r="D746" s="3252">
        <v>4211</v>
      </c>
      <c r="E746" s="3252">
        <v>4665</v>
      </c>
      <c r="F746" s="3252">
        <v>4471</v>
      </c>
      <c r="G746" s="1698"/>
    </row>
    <row r="747" spans="1:7" ht="15.75">
      <c r="A747" s="3252">
        <v>34150</v>
      </c>
      <c r="B747" s="3252">
        <v>34200</v>
      </c>
      <c r="C747" s="3252">
        <v>4673</v>
      </c>
      <c r="D747" s="3252">
        <v>4219</v>
      </c>
      <c r="E747" s="3252">
        <v>4673</v>
      </c>
      <c r="F747" s="3252">
        <v>4479</v>
      </c>
      <c r="G747" s="1698"/>
    </row>
    <row r="748" spans="1:7" ht="15.75">
      <c r="A748" s="3252">
        <v>34200</v>
      </c>
      <c r="B748" s="3252">
        <v>34250</v>
      </c>
      <c r="C748" s="3252">
        <v>4680</v>
      </c>
      <c r="D748" s="3252">
        <v>4226</v>
      </c>
      <c r="E748" s="3252">
        <v>4680</v>
      </c>
      <c r="F748" s="3252">
        <v>4486</v>
      </c>
      <c r="G748" s="1698"/>
    </row>
    <row r="749" spans="1:7" ht="15.75">
      <c r="A749" s="3252">
        <v>34250</v>
      </c>
      <c r="B749" s="3252">
        <v>34300</v>
      </c>
      <c r="C749" s="3252">
        <v>4688</v>
      </c>
      <c r="D749" s="3252">
        <v>4234</v>
      </c>
      <c r="E749" s="3252">
        <v>4688</v>
      </c>
      <c r="F749" s="3252">
        <v>4494</v>
      </c>
      <c r="G749" s="1698"/>
    </row>
    <row r="750" spans="1:7" ht="15.75">
      <c r="A750" s="3252">
        <v>34300</v>
      </c>
      <c r="B750" s="3252">
        <v>34350</v>
      </c>
      <c r="C750" s="3252">
        <v>4695</v>
      </c>
      <c r="D750" s="3252">
        <v>4241</v>
      </c>
      <c r="E750" s="3252">
        <v>4695</v>
      </c>
      <c r="F750" s="3252">
        <v>4501</v>
      </c>
      <c r="G750" s="1698"/>
    </row>
    <row r="751" spans="1:7" ht="15.75">
      <c r="A751" s="3252">
        <v>34350</v>
      </c>
      <c r="B751" s="3252">
        <v>34400</v>
      </c>
      <c r="C751" s="3252">
        <v>4703</v>
      </c>
      <c r="D751" s="3252">
        <v>4249</v>
      </c>
      <c r="E751" s="3252">
        <v>4703</v>
      </c>
      <c r="F751" s="3252">
        <v>4509</v>
      </c>
      <c r="G751" s="1698"/>
    </row>
    <row r="752" spans="1:7" ht="15.75">
      <c r="A752" s="3252">
        <v>34400</v>
      </c>
      <c r="B752" s="3252">
        <v>34450</v>
      </c>
      <c r="C752" s="3252">
        <v>4710</v>
      </c>
      <c r="D752" s="3252">
        <v>4256</v>
      </c>
      <c r="E752" s="3252">
        <v>4710</v>
      </c>
      <c r="F752" s="3252">
        <v>4516</v>
      </c>
      <c r="G752" s="1698"/>
    </row>
    <row r="753" spans="1:7" ht="15.75">
      <c r="A753" s="3252">
        <v>34450</v>
      </c>
      <c r="B753" s="3252">
        <v>34500</v>
      </c>
      <c r="C753" s="3252">
        <v>4718</v>
      </c>
      <c r="D753" s="3252">
        <v>4264</v>
      </c>
      <c r="E753" s="3252">
        <v>4718</v>
      </c>
      <c r="F753" s="3252">
        <v>4524</v>
      </c>
      <c r="G753" s="1698"/>
    </row>
    <row r="754" spans="1:7" ht="15.75">
      <c r="A754" s="3252">
        <v>34500</v>
      </c>
      <c r="B754" s="3252">
        <v>34550</v>
      </c>
      <c r="C754" s="3252">
        <v>4725</v>
      </c>
      <c r="D754" s="3252">
        <v>4271</v>
      </c>
      <c r="E754" s="3252">
        <v>4725</v>
      </c>
      <c r="F754" s="3252">
        <v>4531</v>
      </c>
      <c r="G754" s="1698"/>
    </row>
    <row r="755" spans="1:7" ht="15.75">
      <c r="A755" s="3252">
        <v>34550</v>
      </c>
      <c r="B755" s="3252">
        <v>34600</v>
      </c>
      <c r="C755" s="3252">
        <v>4733</v>
      </c>
      <c r="D755" s="3252">
        <v>4279</v>
      </c>
      <c r="E755" s="3252">
        <v>4733</v>
      </c>
      <c r="F755" s="3252">
        <v>4539</v>
      </c>
      <c r="G755" s="1698"/>
    </row>
    <row r="756" spans="1:7" ht="15.75">
      <c r="A756" s="3252">
        <v>34600</v>
      </c>
      <c r="B756" s="3252">
        <v>34650</v>
      </c>
      <c r="C756" s="3252">
        <v>4740</v>
      </c>
      <c r="D756" s="3252">
        <v>4286</v>
      </c>
      <c r="E756" s="3252">
        <v>4740</v>
      </c>
      <c r="F756" s="3252">
        <v>4546</v>
      </c>
      <c r="G756" s="1698"/>
    </row>
    <row r="757" spans="1:7" ht="15.75">
      <c r="A757" s="3252">
        <v>34650</v>
      </c>
      <c r="B757" s="3252">
        <v>34700</v>
      </c>
      <c r="C757" s="3252">
        <v>4748</v>
      </c>
      <c r="D757" s="3252">
        <v>4294</v>
      </c>
      <c r="E757" s="3252">
        <v>4748</v>
      </c>
      <c r="F757" s="3252">
        <v>4554</v>
      </c>
      <c r="G757" s="1698"/>
    </row>
    <row r="758" spans="1:7" ht="15.75">
      <c r="A758" s="3252">
        <v>34700</v>
      </c>
      <c r="B758" s="3252">
        <v>34750</v>
      </c>
      <c r="C758" s="3252">
        <v>4755</v>
      </c>
      <c r="D758" s="3252">
        <v>4301</v>
      </c>
      <c r="E758" s="3252">
        <v>4755</v>
      </c>
      <c r="F758" s="3252">
        <v>4561</v>
      </c>
      <c r="G758" s="1698"/>
    </row>
    <row r="759" spans="1:7" ht="15.75">
      <c r="A759" s="3252">
        <v>34750</v>
      </c>
      <c r="B759" s="3252">
        <v>34800</v>
      </c>
      <c r="C759" s="3252">
        <v>4763</v>
      </c>
      <c r="D759" s="3252">
        <v>4309</v>
      </c>
      <c r="E759" s="3252">
        <v>4763</v>
      </c>
      <c r="F759" s="3252">
        <v>4569</v>
      </c>
      <c r="G759" s="1698"/>
    </row>
    <row r="760" spans="1:7" ht="15.75">
      <c r="A760" s="3252">
        <v>34800</v>
      </c>
      <c r="B760" s="3252">
        <v>34850</v>
      </c>
      <c r="C760" s="3252">
        <v>4770</v>
      </c>
      <c r="D760" s="3252">
        <v>4316</v>
      </c>
      <c r="E760" s="3252">
        <v>4770</v>
      </c>
      <c r="F760" s="3252">
        <v>4576</v>
      </c>
      <c r="G760" s="1698"/>
    </row>
    <row r="761" spans="1:7" ht="15.75">
      <c r="A761" s="3252">
        <v>34850</v>
      </c>
      <c r="B761" s="3252">
        <v>34900</v>
      </c>
      <c r="C761" s="3252">
        <v>4778</v>
      </c>
      <c r="D761" s="3252">
        <v>4324</v>
      </c>
      <c r="E761" s="3252">
        <v>4778</v>
      </c>
      <c r="F761" s="3252">
        <v>4584</v>
      </c>
      <c r="G761" s="1698"/>
    </row>
    <row r="762" spans="1:7" ht="15.75">
      <c r="A762" s="3252">
        <v>34900</v>
      </c>
      <c r="B762" s="3252">
        <v>34950</v>
      </c>
      <c r="C762" s="3252">
        <v>4785</v>
      </c>
      <c r="D762" s="3252">
        <v>4331</v>
      </c>
      <c r="E762" s="3252">
        <v>4785</v>
      </c>
      <c r="F762" s="3252">
        <v>4591</v>
      </c>
      <c r="G762" s="1698"/>
    </row>
    <row r="763" spans="1:7" ht="15.75">
      <c r="A763" s="3252">
        <v>34950</v>
      </c>
      <c r="B763" s="3252">
        <v>35000</v>
      </c>
      <c r="C763" s="3252">
        <v>4793</v>
      </c>
      <c r="D763" s="3252">
        <v>4339</v>
      </c>
      <c r="E763" s="3252">
        <v>4793</v>
      </c>
      <c r="F763" s="3252">
        <v>4599</v>
      </c>
      <c r="G763" s="1698"/>
    </row>
    <row r="764" spans="1:7" ht="15.75">
      <c r="A764" s="3252">
        <v>35000</v>
      </c>
      <c r="B764" s="3252">
        <v>35050</v>
      </c>
      <c r="C764" s="3252">
        <v>4800</v>
      </c>
      <c r="D764" s="3252">
        <v>4346</v>
      </c>
      <c r="E764" s="3252">
        <v>4800</v>
      </c>
      <c r="F764" s="3252">
        <v>4606</v>
      </c>
      <c r="G764" s="1698"/>
    </row>
    <row r="765" spans="1:7" ht="15.75">
      <c r="A765" s="3252">
        <v>35050</v>
      </c>
      <c r="B765" s="3252">
        <v>35100</v>
      </c>
      <c r="C765" s="3252">
        <v>4808</v>
      </c>
      <c r="D765" s="3252">
        <v>4354</v>
      </c>
      <c r="E765" s="3252">
        <v>4808</v>
      </c>
      <c r="F765" s="3252">
        <v>4614</v>
      </c>
      <c r="G765" s="1698"/>
    </row>
    <row r="766" spans="1:7" ht="15.75">
      <c r="A766" s="3252">
        <v>35100</v>
      </c>
      <c r="B766" s="3252">
        <v>35150</v>
      </c>
      <c r="C766" s="3252">
        <v>4815</v>
      </c>
      <c r="D766" s="3252">
        <v>4361</v>
      </c>
      <c r="E766" s="3252">
        <v>4815</v>
      </c>
      <c r="F766" s="3252">
        <v>4621</v>
      </c>
      <c r="G766" s="1698"/>
    </row>
    <row r="767" spans="1:7" ht="15.75">
      <c r="A767" s="3252">
        <v>35150</v>
      </c>
      <c r="B767" s="3252">
        <v>35200</v>
      </c>
      <c r="C767" s="3252">
        <v>4823</v>
      </c>
      <c r="D767" s="3252">
        <v>4369</v>
      </c>
      <c r="E767" s="3252">
        <v>4823</v>
      </c>
      <c r="F767" s="3252">
        <v>4629</v>
      </c>
      <c r="G767" s="1698"/>
    </row>
    <row r="768" spans="1:7" ht="15.75">
      <c r="A768" s="3252">
        <v>35200</v>
      </c>
      <c r="B768" s="3252">
        <v>35250</v>
      </c>
      <c r="C768" s="3252">
        <v>4830</v>
      </c>
      <c r="D768" s="3252">
        <v>4376</v>
      </c>
      <c r="E768" s="3252">
        <v>4830</v>
      </c>
      <c r="F768" s="3252">
        <v>4636</v>
      </c>
      <c r="G768" s="1698"/>
    </row>
    <row r="769" spans="1:7" ht="15.75">
      <c r="A769" s="3252">
        <v>35250</v>
      </c>
      <c r="B769" s="3252">
        <v>35300</v>
      </c>
      <c r="C769" s="3252">
        <v>4838</v>
      </c>
      <c r="D769" s="3252">
        <v>4384</v>
      </c>
      <c r="E769" s="3252">
        <v>4838</v>
      </c>
      <c r="F769" s="3252">
        <v>4644</v>
      </c>
      <c r="G769" s="1698"/>
    </row>
    <row r="770" spans="1:7" ht="15.75">
      <c r="A770" s="3252">
        <v>35300</v>
      </c>
      <c r="B770" s="3252">
        <v>35350</v>
      </c>
      <c r="C770" s="3252">
        <v>4845</v>
      </c>
      <c r="D770" s="3252">
        <v>4391</v>
      </c>
      <c r="E770" s="3252">
        <v>4845</v>
      </c>
      <c r="F770" s="3252">
        <v>4651</v>
      </c>
      <c r="G770" s="1698"/>
    </row>
    <row r="771" spans="1:7" ht="15.75">
      <c r="A771" s="3252">
        <v>35350</v>
      </c>
      <c r="B771" s="3252">
        <v>35400</v>
      </c>
      <c r="C771" s="3252">
        <v>4853</v>
      </c>
      <c r="D771" s="3252">
        <v>4399</v>
      </c>
      <c r="E771" s="3252">
        <v>4853</v>
      </c>
      <c r="F771" s="3252">
        <v>4659</v>
      </c>
      <c r="G771" s="1698"/>
    </row>
    <row r="772" spans="1:7" ht="15.75">
      <c r="A772" s="3252">
        <v>35400</v>
      </c>
      <c r="B772" s="3252">
        <v>35450</v>
      </c>
      <c r="C772" s="3252">
        <v>4860</v>
      </c>
      <c r="D772" s="3252">
        <v>4406</v>
      </c>
      <c r="E772" s="3252">
        <v>4860</v>
      </c>
      <c r="F772" s="3252">
        <v>4666</v>
      </c>
      <c r="G772" s="1698"/>
    </row>
    <row r="773" spans="1:7" ht="15.75">
      <c r="A773" s="3252">
        <v>35450</v>
      </c>
      <c r="B773" s="3252">
        <v>35500</v>
      </c>
      <c r="C773" s="3252">
        <v>4868</v>
      </c>
      <c r="D773" s="3252">
        <v>4414</v>
      </c>
      <c r="E773" s="3252">
        <v>4868</v>
      </c>
      <c r="F773" s="3252">
        <v>4674</v>
      </c>
      <c r="G773" s="1698"/>
    </row>
    <row r="774" spans="1:7" ht="15.75">
      <c r="A774" s="3252">
        <v>35500</v>
      </c>
      <c r="B774" s="3252">
        <v>35550</v>
      </c>
      <c r="C774" s="3252">
        <v>4875</v>
      </c>
      <c r="D774" s="3252">
        <v>4421</v>
      </c>
      <c r="E774" s="3252">
        <v>4875</v>
      </c>
      <c r="F774" s="3252">
        <v>4681</v>
      </c>
      <c r="G774" s="1698"/>
    </row>
    <row r="775" spans="1:7" ht="15.75">
      <c r="A775" s="3252">
        <v>35550</v>
      </c>
      <c r="B775" s="3252">
        <v>35600</v>
      </c>
      <c r="C775" s="3252">
        <v>4883</v>
      </c>
      <c r="D775" s="3252">
        <v>4429</v>
      </c>
      <c r="E775" s="3252">
        <v>4883</v>
      </c>
      <c r="F775" s="3252">
        <v>4689</v>
      </c>
      <c r="G775" s="1698"/>
    </row>
    <row r="776" spans="1:7" ht="15.75">
      <c r="A776" s="3252">
        <v>35600</v>
      </c>
      <c r="B776" s="3252">
        <v>35650</v>
      </c>
      <c r="C776" s="3252">
        <v>4890</v>
      </c>
      <c r="D776" s="3252">
        <v>4436</v>
      </c>
      <c r="E776" s="3252">
        <v>4890</v>
      </c>
      <c r="F776" s="3252">
        <v>4696</v>
      </c>
      <c r="G776" s="1698"/>
    </row>
    <row r="777" spans="1:7" ht="15.75">
      <c r="A777" s="3252">
        <v>35650</v>
      </c>
      <c r="B777" s="3252">
        <v>35700</v>
      </c>
      <c r="C777" s="3252">
        <v>4898</v>
      </c>
      <c r="D777" s="3252">
        <v>4444</v>
      </c>
      <c r="E777" s="3252">
        <v>4898</v>
      </c>
      <c r="F777" s="3252">
        <v>4704</v>
      </c>
      <c r="G777" s="1698"/>
    </row>
    <row r="778" spans="1:7" ht="15.75">
      <c r="A778" s="3252">
        <v>35700</v>
      </c>
      <c r="B778" s="3252">
        <v>35750</v>
      </c>
      <c r="C778" s="3252">
        <v>4905</v>
      </c>
      <c r="D778" s="3252">
        <v>4451</v>
      </c>
      <c r="E778" s="3252">
        <v>4905</v>
      </c>
      <c r="F778" s="3252">
        <v>4711</v>
      </c>
      <c r="G778" s="1698"/>
    </row>
    <row r="779" spans="1:7" ht="15.75">
      <c r="A779" s="3252">
        <v>35750</v>
      </c>
      <c r="B779" s="3252">
        <v>35800</v>
      </c>
      <c r="C779" s="3252">
        <v>4913</v>
      </c>
      <c r="D779" s="3252">
        <v>4459</v>
      </c>
      <c r="E779" s="3252">
        <v>4913</v>
      </c>
      <c r="F779" s="3252">
        <v>4719</v>
      </c>
      <c r="G779" s="1698"/>
    </row>
    <row r="780" spans="1:7" ht="15.75">
      <c r="A780" s="3252">
        <v>35800</v>
      </c>
      <c r="B780" s="3252">
        <v>35850</v>
      </c>
      <c r="C780" s="3252">
        <v>4920</v>
      </c>
      <c r="D780" s="3252">
        <v>4466</v>
      </c>
      <c r="E780" s="3252">
        <v>4920</v>
      </c>
      <c r="F780" s="3252">
        <v>4726</v>
      </c>
      <c r="G780" s="1698"/>
    </row>
    <row r="781" spans="1:7" ht="15.75">
      <c r="A781" s="3252">
        <v>35850</v>
      </c>
      <c r="B781" s="3252">
        <v>35900</v>
      </c>
      <c r="C781" s="3252">
        <v>4928</v>
      </c>
      <c r="D781" s="3252">
        <v>4474</v>
      </c>
      <c r="E781" s="3252">
        <v>4928</v>
      </c>
      <c r="F781" s="3252">
        <v>4734</v>
      </c>
      <c r="G781" s="1698"/>
    </row>
    <row r="782" spans="1:7" ht="15.75">
      <c r="A782" s="3252">
        <v>35900</v>
      </c>
      <c r="B782" s="3252">
        <v>35950</v>
      </c>
      <c r="C782" s="3252">
        <v>4935</v>
      </c>
      <c r="D782" s="3252">
        <v>4481</v>
      </c>
      <c r="E782" s="3252">
        <v>4935</v>
      </c>
      <c r="F782" s="3252">
        <v>4741</v>
      </c>
      <c r="G782" s="1698"/>
    </row>
    <row r="783" spans="1:7" ht="15.75">
      <c r="A783" s="3252">
        <v>35950</v>
      </c>
      <c r="B783" s="3252">
        <v>36000</v>
      </c>
      <c r="C783" s="3252">
        <v>4943</v>
      </c>
      <c r="D783" s="3252">
        <v>4489</v>
      </c>
      <c r="E783" s="3252">
        <v>4943</v>
      </c>
      <c r="F783" s="3252">
        <v>4749</v>
      </c>
      <c r="G783" s="1698"/>
    </row>
    <row r="784" spans="1:7" ht="15.75">
      <c r="A784" s="3252">
        <v>36000</v>
      </c>
      <c r="B784" s="3252">
        <v>36050</v>
      </c>
      <c r="C784" s="3252">
        <v>4950</v>
      </c>
      <c r="D784" s="3252">
        <v>4496</v>
      </c>
      <c r="E784" s="3252">
        <v>4950</v>
      </c>
      <c r="F784" s="3252">
        <v>4756</v>
      </c>
      <c r="G784" s="1698"/>
    </row>
    <row r="785" spans="1:7" ht="15.75">
      <c r="A785" s="3252">
        <v>36050</v>
      </c>
      <c r="B785" s="3252">
        <v>36100</v>
      </c>
      <c r="C785" s="3252">
        <v>4958</v>
      </c>
      <c r="D785" s="3252">
        <v>4504</v>
      </c>
      <c r="E785" s="3252">
        <v>4958</v>
      </c>
      <c r="F785" s="3252">
        <v>4764</v>
      </c>
      <c r="G785" s="1698"/>
    </row>
    <row r="786" spans="1:7" ht="15.75">
      <c r="A786" s="3252">
        <v>36100</v>
      </c>
      <c r="B786" s="3252">
        <v>36150</v>
      </c>
      <c r="C786" s="3252">
        <v>4965</v>
      </c>
      <c r="D786" s="3252">
        <v>4511</v>
      </c>
      <c r="E786" s="3252">
        <v>4965</v>
      </c>
      <c r="F786" s="3252">
        <v>4771</v>
      </c>
      <c r="G786" s="1698"/>
    </row>
    <row r="787" spans="1:7" ht="15.75">
      <c r="A787" s="3252">
        <v>36150</v>
      </c>
      <c r="B787" s="3252">
        <v>36200</v>
      </c>
      <c r="C787" s="3252">
        <v>4973</v>
      </c>
      <c r="D787" s="3252">
        <v>4519</v>
      </c>
      <c r="E787" s="3252">
        <v>4973</v>
      </c>
      <c r="F787" s="3252">
        <v>4779</v>
      </c>
      <c r="G787" s="1698"/>
    </row>
    <row r="788" spans="1:7" ht="15.75">
      <c r="A788" s="3252">
        <v>36200</v>
      </c>
      <c r="B788" s="3252">
        <v>36250</v>
      </c>
      <c r="C788" s="3252">
        <v>4980</v>
      </c>
      <c r="D788" s="3252">
        <v>4526</v>
      </c>
      <c r="E788" s="3252">
        <v>4980</v>
      </c>
      <c r="F788" s="3252">
        <v>4786</v>
      </c>
      <c r="G788" s="1698"/>
    </row>
    <row r="789" spans="1:7" ht="15.75">
      <c r="A789" s="3252">
        <v>36250</v>
      </c>
      <c r="B789" s="3252">
        <v>36300</v>
      </c>
      <c r="C789" s="3252">
        <v>4988</v>
      </c>
      <c r="D789" s="3252">
        <v>4534</v>
      </c>
      <c r="E789" s="3252">
        <v>4988</v>
      </c>
      <c r="F789" s="3252">
        <v>4794</v>
      </c>
      <c r="G789" s="1698"/>
    </row>
    <row r="790" spans="1:7" ht="15.75">
      <c r="A790" s="3252">
        <v>36300</v>
      </c>
      <c r="B790" s="3252">
        <v>36350</v>
      </c>
      <c r="C790" s="3252">
        <v>4995</v>
      </c>
      <c r="D790" s="3252">
        <v>4541</v>
      </c>
      <c r="E790" s="3252">
        <v>4995</v>
      </c>
      <c r="F790" s="3252">
        <v>4801</v>
      </c>
      <c r="G790" s="1698"/>
    </row>
    <row r="791" spans="1:7" ht="15.75">
      <c r="A791" s="3252">
        <v>36350</v>
      </c>
      <c r="B791" s="3252">
        <v>36400</v>
      </c>
      <c r="C791" s="3252">
        <v>5003</v>
      </c>
      <c r="D791" s="3252">
        <v>4549</v>
      </c>
      <c r="E791" s="3252">
        <v>5003</v>
      </c>
      <c r="F791" s="3252">
        <v>4809</v>
      </c>
      <c r="G791" s="1698"/>
    </row>
    <row r="792" spans="1:7" ht="15.75">
      <c r="A792" s="3252">
        <v>36400</v>
      </c>
      <c r="B792" s="3252">
        <v>36450</v>
      </c>
      <c r="C792" s="3252">
        <v>5010</v>
      </c>
      <c r="D792" s="3252">
        <v>4556</v>
      </c>
      <c r="E792" s="3252">
        <v>5010</v>
      </c>
      <c r="F792" s="3252">
        <v>4816</v>
      </c>
      <c r="G792" s="1698"/>
    </row>
    <row r="793" spans="1:7" ht="15.75">
      <c r="A793" s="3252">
        <v>36450</v>
      </c>
      <c r="B793" s="3252">
        <v>36500</v>
      </c>
      <c r="C793" s="3252">
        <v>5018</v>
      </c>
      <c r="D793" s="3252">
        <v>4564</v>
      </c>
      <c r="E793" s="3252">
        <v>5018</v>
      </c>
      <c r="F793" s="3252">
        <v>4824</v>
      </c>
      <c r="G793" s="1698"/>
    </row>
    <row r="794" spans="1:7" ht="15.75">
      <c r="A794" s="3252">
        <v>36500</v>
      </c>
      <c r="B794" s="3252">
        <v>36550</v>
      </c>
      <c r="C794" s="3252">
        <v>5025</v>
      </c>
      <c r="D794" s="3252">
        <v>4571</v>
      </c>
      <c r="E794" s="3252">
        <v>5025</v>
      </c>
      <c r="F794" s="3252">
        <v>4831</v>
      </c>
      <c r="G794" s="1698"/>
    </row>
    <row r="795" spans="1:7" ht="15.75">
      <c r="A795" s="3252">
        <v>36550</v>
      </c>
      <c r="B795" s="3252">
        <v>36600</v>
      </c>
      <c r="C795" s="3252">
        <v>5033</v>
      </c>
      <c r="D795" s="3252">
        <v>4579</v>
      </c>
      <c r="E795" s="3252">
        <v>5033</v>
      </c>
      <c r="F795" s="3252">
        <v>4839</v>
      </c>
      <c r="G795" s="1698"/>
    </row>
    <row r="796" spans="1:7" ht="15.75">
      <c r="A796" s="3252">
        <v>36600</v>
      </c>
      <c r="B796" s="3252">
        <v>36650</v>
      </c>
      <c r="C796" s="3252">
        <v>5040</v>
      </c>
      <c r="D796" s="3252">
        <v>4586</v>
      </c>
      <c r="E796" s="3252">
        <v>5040</v>
      </c>
      <c r="F796" s="3252">
        <v>4846</v>
      </c>
      <c r="G796" s="1698"/>
    </row>
    <row r="797" spans="1:7" ht="15.75">
      <c r="A797" s="3252">
        <v>36650</v>
      </c>
      <c r="B797" s="3252">
        <v>36700</v>
      </c>
      <c r="C797" s="3252">
        <v>5048</v>
      </c>
      <c r="D797" s="3252">
        <v>4594</v>
      </c>
      <c r="E797" s="3252">
        <v>5048</v>
      </c>
      <c r="F797" s="3252">
        <v>4854</v>
      </c>
      <c r="G797" s="1698"/>
    </row>
    <row r="798" spans="1:7" ht="15.75">
      <c r="A798" s="3252">
        <v>36700</v>
      </c>
      <c r="B798" s="3252">
        <v>36750</v>
      </c>
      <c r="C798" s="3252">
        <v>5055</v>
      </c>
      <c r="D798" s="3252">
        <v>4601</v>
      </c>
      <c r="E798" s="3252">
        <v>5055</v>
      </c>
      <c r="F798" s="3252">
        <v>4861</v>
      </c>
      <c r="G798" s="1698"/>
    </row>
    <row r="799" spans="1:7" ht="15.75">
      <c r="A799" s="3252">
        <v>36750</v>
      </c>
      <c r="B799" s="3252">
        <v>36800</v>
      </c>
      <c r="C799" s="3252">
        <v>5063</v>
      </c>
      <c r="D799" s="3252">
        <v>4609</v>
      </c>
      <c r="E799" s="3252">
        <v>5063</v>
      </c>
      <c r="F799" s="3252">
        <v>4869</v>
      </c>
      <c r="G799" s="1698"/>
    </row>
    <row r="800" spans="1:7" ht="15.75">
      <c r="A800" s="3252">
        <v>36800</v>
      </c>
      <c r="B800" s="3252">
        <v>36850</v>
      </c>
      <c r="C800" s="3252">
        <v>5070</v>
      </c>
      <c r="D800" s="3252">
        <v>4616</v>
      </c>
      <c r="E800" s="3252">
        <v>5070</v>
      </c>
      <c r="F800" s="3252">
        <v>4876</v>
      </c>
      <c r="G800" s="1698"/>
    </row>
    <row r="801" spans="1:7" ht="15.75">
      <c r="A801" s="3252">
        <v>36850</v>
      </c>
      <c r="B801" s="3252">
        <v>36900</v>
      </c>
      <c r="C801" s="3252">
        <v>5078</v>
      </c>
      <c r="D801" s="3252">
        <v>4624</v>
      </c>
      <c r="E801" s="3252">
        <v>5078</v>
      </c>
      <c r="F801" s="3252">
        <v>4884</v>
      </c>
      <c r="G801" s="1698"/>
    </row>
    <row r="802" spans="1:7" ht="15.75">
      <c r="A802" s="3252">
        <v>36900</v>
      </c>
      <c r="B802" s="3252">
        <v>36950</v>
      </c>
      <c r="C802" s="3252">
        <v>5088</v>
      </c>
      <c r="D802" s="3252">
        <v>4631</v>
      </c>
      <c r="E802" s="3252">
        <v>5088</v>
      </c>
      <c r="F802" s="3252">
        <v>4891</v>
      </c>
      <c r="G802" s="1698"/>
    </row>
    <row r="803" spans="1:7" ht="15.75">
      <c r="A803" s="3252">
        <v>36950</v>
      </c>
      <c r="B803" s="3252">
        <v>37000</v>
      </c>
      <c r="C803" s="3252">
        <v>5100</v>
      </c>
      <c r="D803" s="3252">
        <v>4639</v>
      </c>
      <c r="E803" s="3252">
        <v>5100</v>
      </c>
      <c r="F803" s="3252">
        <v>4899</v>
      </c>
      <c r="G803" s="1698"/>
    </row>
    <row r="804" spans="1:7" ht="15.75">
      <c r="A804" s="3252">
        <v>37000</v>
      </c>
      <c r="B804" s="3252">
        <v>37050</v>
      </c>
      <c r="C804" s="3252">
        <v>5113</v>
      </c>
      <c r="D804" s="3252">
        <v>4646</v>
      </c>
      <c r="E804" s="3252">
        <v>5113</v>
      </c>
      <c r="F804" s="3252">
        <v>4906</v>
      </c>
      <c r="G804" s="1698"/>
    </row>
    <row r="805" spans="1:7" ht="15.75">
      <c r="A805" s="3252">
        <v>37050</v>
      </c>
      <c r="B805" s="3252">
        <v>37100</v>
      </c>
      <c r="C805" s="3252">
        <v>5125</v>
      </c>
      <c r="D805" s="3252">
        <v>4654</v>
      </c>
      <c r="E805" s="3252">
        <v>5125</v>
      </c>
      <c r="F805" s="3252">
        <v>4914</v>
      </c>
      <c r="G805" s="1698"/>
    </row>
    <row r="806" spans="1:7" ht="15.75">
      <c r="A806" s="3252">
        <v>37100</v>
      </c>
      <c r="B806" s="3252">
        <v>37150</v>
      </c>
      <c r="C806" s="3252">
        <v>5138</v>
      </c>
      <c r="D806" s="3252">
        <v>4661</v>
      </c>
      <c r="E806" s="3252">
        <v>5138</v>
      </c>
      <c r="F806" s="3252">
        <v>4921</v>
      </c>
      <c r="G806" s="1698"/>
    </row>
    <row r="807" spans="1:7" ht="15.75">
      <c r="A807" s="3252">
        <v>37150</v>
      </c>
      <c r="B807" s="3252">
        <v>37200</v>
      </c>
      <c r="C807" s="3252">
        <v>5150</v>
      </c>
      <c r="D807" s="3252">
        <v>4669</v>
      </c>
      <c r="E807" s="3252">
        <v>5150</v>
      </c>
      <c r="F807" s="3252">
        <v>4929</v>
      </c>
      <c r="G807" s="1698"/>
    </row>
    <row r="808" spans="1:7" ht="15.75">
      <c r="A808" s="3252">
        <v>37200</v>
      </c>
      <c r="B808" s="3252">
        <v>37250</v>
      </c>
      <c r="C808" s="3252">
        <v>5163</v>
      </c>
      <c r="D808" s="3252">
        <v>4676</v>
      </c>
      <c r="E808" s="3252">
        <v>5163</v>
      </c>
      <c r="F808" s="3252">
        <v>4936</v>
      </c>
      <c r="G808" s="1698"/>
    </row>
    <row r="809" spans="1:7" ht="15.75">
      <c r="A809" s="3252">
        <v>37250</v>
      </c>
      <c r="B809" s="3252">
        <v>37300</v>
      </c>
      <c r="C809" s="3252">
        <v>5175</v>
      </c>
      <c r="D809" s="3252">
        <v>4684</v>
      </c>
      <c r="E809" s="3252">
        <v>5175</v>
      </c>
      <c r="F809" s="3252">
        <v>4944</v>
      </c>
      <c r="G809" s="1698"/>
    </row>
    <row r="810" spans="1:7" ht="15.75">
      <c r="A810" s="3252">
        <v>37300</v>
      </c>
      <c r="B810" s="3252">
        <v>37350</v>
      </c>
      <c r="C810" s="3252">
        <v>5188</v>
      </c>
      <c r="D810" s="3252">
        <v>4691</v>
      </c>
      <c r="E810" s="3252">
        <v>5188</v>
      </c>
      <c r="F810" s="3252">
        <v>4951</v>
      </c>
      <c r="G810" s="1698"/>
    </row>
    <row r="811" spans="1:7" ht="15.75">
      <c r="A811" s="3252">
        <v>37350</v>
      </c>
      <c r="B811" s="3252">
        <v>37400</v>
      </c>
      <c r="C811" s="3252">
        <v>5200</v>
      </c>
      <c r="D811" s="3252">
        <v>4699</v>
      </c>
      <c r="E811" s="3252">
        <v>5200</v>
      </c>
      <c r="F811" s="3252">
        <v>4959</v>
      </c>
      <c r="G811" s="1698"/>
    </row>
    <row r="812" spans="1:7" ht="15.75">
      <c r="A812" s="3252">
        <v>37400</v>
      </c>
      <c r="B812" s="3252">
        <v>37450</v>
      </c>
      <c r="C812" s="3252">
        <v>5213</v>
      </c>
      <c r="D812" s="3252">
        <v>4706</v>
      </c>
      <c r="E812" s="3252">
        <v>5213</v>
      </c>
      <c r="F812" s="3252">
        <v>4966</v>
      </c>
      <c r="G812" s="1698"/>
    </row>
    <row r="813" spans="1:7" ht="15.75">
      <c r="A813" s="3252">
        <v>37450</v>
      </c>
      <c r="B813" s="3252">
        <v>37500</v>
      </c>
      <c r="C813" s="3252">
        <v>5225</v>
      </c>
      <c r="D813" s="3252">
        <v>4714</v>
      </c>
      <c r="E813" s="3252">
        <v>5225</v>
      </c>
      <c r="F813" s="3252">
        <v>4974</v>
      </c>
      <c r="G813" s="1698"/>
    </row>
    <row r="814" spans="1:7" ht="15.75">
      <c r="A814" s="3252">
        <v>37500</v>
      </c>
      <c r="B814" s="3252">
        <v>37550</v>
      </c>
      <c r="C814" s="3252">
        <v>5238</v>
      </c>
      <c r="D814" s="3252">
        <v>4721</v>
      </c>
      <c r="E814" s="3252">
        <v>5238</v>
      </c>
      <c r="F814" s="3252">
        <v>4981</v>
      </c>
      <c r="G814" s="1698"/>
    </row>
    <row r="815" spans="1:7" ht="15.75">
      <c r="A815" s="3252">
        <v>37550</v>
      </c>
      <c r="B815" s="3252">
        <v>37600</v>
      </c>
      <c r="C815" s="3252">
        <v>5250</v>
      </c>
      <c r="D815" s="3252">
        <v>4729</v>
      </c>
      <c r="E815" s="3252">
        <v>5250</v>
      </c>
      <c r="F815" s="3252">
        <v>4989</v>
      </c>
      <c r="G815" s="1698"/>
    </row>
    <row r="816" spans="1:7" ht="15.75">
      <c r="A816" s="3252">
        <v>37600</v>
      </c>
      <c r="B816" s="3252">
        <v>37650</v>
      </c>
      <c r="C816" s="3252">
        <v>5263</v>
      </c>
      <c r="D816" s="3252">
        <v>4736</v>
      </c>
      <c r="E816" s="3252">
        <v>5263</v>
      </c>
      <c r="F816" s="3252">
        <v>4996</v>
      </c>
      <c r="G816" s="1698"/>
    </row>
    <row r="817" spans="1:7" ht="15.75">
      <c r="A817" s="3252">
        <v>37650</v>
      </c>
      <c r="B817" s="3252">
        <v>37700</v>
      </c>
      <c r="C817" s="3252">
        <v>5275</v>
      </c>
      <c r="D817" s="3252">
        <v>4744</v>
      </c>
      <c r="E817" s="3252">
        <v>5275</v>
      </c>
      <c r="F817" s="3252">
        <v>5004</v>
      </c>
      <c r="G817" s="1698"/>
    </row>
    <row r="818" spans="1:7" ht="15.75">
      <c r="A818" s="3252">
        <v>37700</v>
      </c>
      <c r="B818" s="3252">
        <v>37750</v>
      </c>
      <c r="C818" s="3252">
        <v>5288</v>
      </c>
      <c r="D818" s="3252">
        <v>4751</v>
      </c>
      <c r="E818" s="3252">
        <v>5288</v>
      </c>
      <c r="F818" s="3252">
        <v>5011</v>
      </c>
      <c r="G818" s="1698"/>
    </row>
    <row r="819" spans="1:7" ht="15.75">
      <c r="A819" s="3252">
        <v>37750</v>
      </c>
      <c r="B819" s="3252">
        <v>37800</v>
      </c>
      <c r="C819" s="3252">
        <v>5300</v>
      </c>
      <c r="D819" s="3252">
        <v>4759</v>
      </c>
      <c r="E819" s="3252">
        <v>5300</v>
      </c>
      <c r="F819" s="3252">
        <v>5019</v>
      </c>
      <c r="G819" s="1698"/>
    </row>
    <row r="820" spans="1:7" ht="15.75">
      <c r="A820" s="3252">
        <v>37800</v>
      </c>
      <c r="B820" s="3252">
        <v>37850</v>
      </c>
      <c r="C820" s="3252">
        <v>5313</v>
      </c>
      <c r="D820" s="3252">
        <v>4766</v>
      </c>
      <c r="E820" s="3252">
        <v>5313</v>
      </c>
      <c r="F820" s="3252">
        <v>5026</v>
      </c>
      <c r="G820" s="1698"/>
    </row>
    <row r="821" spans="1:7" ht="15.75">
      <c r="A821" s="3252">
        <v>37850</v>
      </c>
      <c r="B821" s="3252">
        <v>37900</v>
      </c>
      <c r="C821" s="3252">
        <v>5325</v>
      </c>
      <c r="D821" s="3252">
        <v>4774</v>
      </c>
      <c r="E821" s="3252">
        <v>5325</v>
      </c>
      <c r="F821" s="3252">
        <v>5034</v>
      </c>
      <c r="G821" s="1698"/>
    </row>
    <row r="822" spans="1:7" ht="15.75">
      <c r="A822" s="3252">
        <v>37900</v>
      </c>
      <c r="B822" s="3252">
        <v>37950</v>
      </c>
      <c r="C822" s="3252">
        <v>5338</v>
      </c>
      <c r="D822" s="3252">
        <v>4781</v>
      </c>
      <c r="E822" s="3252">
        <v>5338</v>
      </c>
      <c r="F822" s="3252">
        <v>5041</v>
      </c>
      <c r="G822" s="1698"/>
    </row>
    <row r="823" spans="1:7" ht="15.75">
      <c r="A823" s="3252">
        <v>37950</v>
      </c>
      <c r="B823" s="3252">
        <v>38000</v>
      </c>
      <c r="C823" s="3252">
        <v>5350</v>
      </c>
      <c r="D823" s="3252">
        <v>4789</v>
      </c>
      <c r="E823" s="3252">
        <v>5350</v>
      </c>
      <c r="F823" s="3252">
        <v>5049</v>
      </c>
      <c r="G823" s="1698"/>
    </row>
    <row r="824" spans="1:7" ht="15.75">
      <c r="A824" s="3252">
        <v>38000</v>
      </c>
      <c r="B824" s="3252">
        <v>38050</v>
      </c>
      <c r="C824" s="3252">
        <v>5363</v>
      </c>
      <c r="D824" s="3252">
        <v>4796</v>
      </c>
      <c r="E824" s="3252">
        <v>5363</v>
      </c>
      <c r="F824" s="3252">
        <v>5056</v>
      </c>
      <c r="G824" s="1698"/>
    </row>
    <row r="825" spans="1:7" ht="15.75">
      <c r="A825" s="3252">
        <v>38050</v>
      </c>
      <c r="B825" s="3252">
        <v>38100</v>
      </c>
      <c r="C825" s="3252">
        <v>5375</v>
      </c>
      <c r="D825" s="3252">
        <v>4804</v>
      </c>
      <c r="E825" s="3252">
        <v>5375</v>
      </c>
      <c r="F825" s="3252">
        <v>5064</v>
      </c>
      <c r="G825" s="1698"/>
    </row>
    <row r="826" spans="1:7" ht="15.75">
      <c r="A826" s="3252">
        <v>38100</v>
      </c>
      <c r="B826" s="3252">
        <v>38150</v>
      </c>
      <c r="C826" s="3252">
        <v>5388</v>
      </c>
      <c r="D826" s="3252">
        <v>4811</v>
      </c>
      <c r="E826" s="3252">
        <v>5388</v>
      </c>
      <c r="F826" s="3252">
        <v>5071</v>
      </c>
      <c r="G826" s="1698"/>
    </row>
    <row r="827" spans="1:7" ht="15.75">
      <c r="A827" s="3252">
        <v>38150</v>
      </c>
      <c r="B827" s="3252">
        <v>38200</v>
      </c>
      <c r="C827" s="3252">
        <v>5400</v>
      </c>
      <c r="D827" s="3252">
        <v>4819</v>
      </c>
      <c r="E827" s="3252">
        <v>5400</v>
      </c>
      <c r="F827" s="3252">
        <v>5079</v>
      </c>
      <c r="G827" s="1698"/>
    </row>
    <row r="828" spans="1:7" ht="15.75">
      <c r="A828" s="3252">
        <v>38200</v>
      </c>
      <c r="B828" s="3252">
        <v>38250</v>
      </c>
      <c r="C828" s="3252">
        <v>5413</v>
      </c>
      <c r="D828" s="3252">
        <v>4826</v>
      </c>
      <c r="E828" s="3252">
        <v>5413</v>
      </c>
      <c r="F828" s="3252">
        <v>5086</v>
      </c>
      <c r="G828" s="1698"/>
    </row>
    <row r="829" spans="1:7" ht="15.75">
      <c r="A829" s="3252">
        <v>38250</v>
      </c>
      <c r="B829" s="3252">
        <v>38300</v>
      </c>
      <c r="C829" s="3252">
        <v>5425</v>
      </c>
      <c r="D829" s="3252">
        <v>4834</v>
      </c>
      <c r="E829" s="3252">
        <v>5425</v>
      </c>
      <c r="F829" s="3252">
        <v>5094</v>
      </c>
      <c r="G829" s="1698"/>
    </row>
    <row r="830" spans="1:7" ht="15.75">
      <c r="A830" s="3252">
        <v>38300</v>
      </c>
      <c r="B830" s="3252">
        <v>38350</v>
      </c>
      <c r="C830" s="3252">
        <v>5438</v>
      </c>
      <c r="D830" s="3252">
        <v>4841</v>
      </c>
      <c r="E830" s="3252">
        <v>5438</v>
      </c>
      <c r="F830" s="3252">
        <v>5101</v>
      </c>
      <c r="G830" s="1698"/>
    </row>
    <row r="831" spans="1:7" ht="15.75">
      <c r="A831" s="3252">
        <v>38350</v>
      </c>
      <c r="B831" s="3252">
        <v>38400</v>
      </c>
      <c r="C831" s="3252">
        <v>5450</v>
      </c>
      <c r="D831" s="3252">
        <v>4849</v>
      </c>
      <c r="E831" s="3252">
        <v>5450</v>
      </c>
      <c r="F831" s="3252">
        <v>5109</v>
      </c>
      <c r="G831" s="1698"/>
    </row>
    <row r="832" spans="1:7" ht="15.75">
      <c r="A832" s="3252">
        <v>38400</v>
      </c>
      <c r="B832" s="3252">
        <v>38450</v>
      </c>
      <c r="C832" s="3252">
        <v>5463</v>
      </c>
      <c r="D832" s="3252">
        <v>4856</v>
      </c>
      <c r="E832" s="3252">
        <v>5463</v>
      </c>
      <c r="F832" s="3252">
        <v>5116</v>
      </c>
      <c r="G832" s="1698"/>
    </row>
    <row r="833" spans="1:7" ht="15.75">
      <c r="A833" s="3252">
        <v>38450</v>
      </c>
      <c r="B833" s="3252">
        <v>38500</v>
      </c>
      <c r="C833" s="3252">
        <v>5475</v>
      </c>
      <c r="D833" s="3252">
        <v>4864</v>
      </c>
      <c r="E833" s="3252">
        <v>5475</v>
      </c>
      <c r="F833" s="3252">
        <v>5124</v>
      </c>
      <c r="G833" s="1698"/>
    </row>
    <row r="834" spans="1:7" ht="15.75">
      <c r="A834" s="3252">
        <v>38500</v>
      </c>
      <c r="B834" s="3252">
        <v>38550</v>
      </c>
      <c r="C834" s="3252">
        <v>5488</v>
      </c>
      <c r="D834" s="3252">
        <v>4871</v>
      </c>
      <c r="E834" s="3252">
        <v>5488</v>
      </c>
      <c r="F834" s="3252">
        <v>5131</v>
      </c>
      <c r="G834" s="1698"/>
    </row>
    <row r="835" spans="1:7" ht="15.75">
      <c r="A835" s="3252">
        <v>38550</v>
      </c>
      <c r="B835" s="3252">
        <v>38600</v>
      </c>
      <c r="C835" s="3252">
        <v>5500</v>
      </c>
      <c r="D835" s="3252">
        <v>4879</v>
      </c>
      <c r="E835" s="3252">
        <v>5500</v>
      </c>
      <c r="F835" s="3252">
        <v>5139</v>
      </c>
      <c r="G835" s="1698"/>
    </row>
    <row r="836" spans="1:7" ht="15.75">
      <c r="A836" s="3252">
        <v>38600</v>
      </c>
      <c r="B836" s="3252">
        <v>38650</v>
      </c>
      <c r="C836" s="3252">
        <v>5513</v>
      </c>
      <c r="D836" s="3252">
        <v>4886</v>
      </c>
      <c r="E836" s="3252">
        <v>5513</v>
      </c>
      <c r="F836" s="3252">
        <v>5146</v>
      </c>
      <c r="G836" s="1698"/>
    </row>
    <row r="837" spans="1:7" ht="15.75">
      <c r="A837" s="3252">
        <v>38650</v>
      </c>
      <c r="B837" s="3252">
        <v>38700</v>
      </c>
      <c r="C837" s="3252">
        <v>5525</v>
      </c>
      <c r="D837" s="3252">
        <v>4894</v>
      </c>
      <c r="E837" s="3252">
        <v>5525</v>
      </c>
      <c r="F837" s="3252">
        <v>5154</v>
      </c>
      <c r="G837" s="1698"/>
    </row>
    <row r="838" spans="1:7" ht="15.75">
      <c r="A838" s="3252">
        <v>38700</v>
      </c>
      <c r="B838" s="3252">
        <v>38750</v>
      </c>
      <c r="C838" s="3252">
        <v>5538</v>
      </c>
      <c r="D838" s="3252">
        <v>4901</v>
      </c>
      <c r="E838" s="3252">
        <v>5538</v>
      </c>
      <c r="F838" s="3252">
        <v>5161</v>
      </c>
      <c r="G838" s="1698"/>
    </row>
    <row r="839" spans="1:7" ht="15.75">
      <c r="A839" s="3252">
        <v>38750</v>
      </c>
      <c r="B839" s="3252">
        <v>38800</v>
      </c>
      <c r="C839" s="3252">
        <v>5550</v>
      </c>
      <c r="D839" s="3252">
        <v>4909</v>
      </c>
      <c r="E839" s="3252">
        <v>5550</v>
      </c>
      <c r="F839" s="3252">
        <v>5169</v>
      </c>
      <c r="G839" s="1698"/>
    </row>
    <row r="840" spans="1:7" ht="15.75">
      <c r="A840" s="3252">
        <v>38800</v>
      </c>
      <c r="B840" s="3252">
        <v>38850</v>
      </c>
      <c r="C840" s="3252">
        <v>5563</v>
      </c>
      <c r="D840" s="3252">
        <v>4916</v>
      </c>
      <c r="E840" s="3252">
        <v>5563</v>
      </c>
      <c r="F840" s="3252">
        <v>5176</v>
      </c>
      <c r="G840" s="1698"/>
    </row>
    <row r="841" spans="1:7" ht="15.75">
      <c r="A841" s="3252">
        <v>38850</v>
      </c>
      <c r="B841" s="3252">
        <v>38900</v>
      </c>
      <c r="C841" s="3252">
        <v>5575</v>
      </c>
      <c r="D841" s="3252">
        <v>4924</v>
      </c>
      <c r="E841" s="3252">
        <v>5575</v>
      </c>
      <c r="F841" s="3252">
        <v>5184</v>
      </c>
      <c r="G841" s="1698"/>
    </row>
    <row r="842" spans="1:7" ht="15.75">
      <c r="A842" s="3252">
        <v>38900</v>
      </c>
      <c r="B842" s="3252">
        <v>38950</v>
      </c>
      <c r="C842" s="3252">
        <v>5588</v>
      </c>
      <c r="D842" s="3252">
        <v>4931</v>
      </c>
      <c r="E842" s="3252">
        <v>5588</v>
      </c>
      <c r="F842" s="3252">
        <v>5191</v>
      </c>
      <c r="G842" s="1698"/>
    </row>
    <row r="843" spans="1:7" ht="15.75">
      <c r="A843" s="3252">
        <v>38950</v>
      </c>
      <c r="B843" s="3252">
        <v>39000</v>
      </c>
      <c r="C843" s="3252">
        <v>5600</v>
      </c>
      <c r="D843" s="3252">
        <v>4939</v>
      </c>
      <c r="E843" s="3252">
        <v>5600</v>
      </c>
      <c r="F843" s="3252">
        <v>5199</v>
      </c>
      <c r="G843" s="1698"/>
    </row>
    <row r="844" spans="1:7" ht="15.75">
      <c r="A844" s="3252">
        <v>39000</v>
      </c>
      <c r="B844" s="3252">
        <v>39050</v>
      </c>
      <c r="C844" s="3252">
        <v>5613</v>
      </c>
      <c r="D844" s="3252">
        <v>4946</v>
      </c>
      <c r="E844" s="3252">
        <v>5613</v>
      </c>
      <c r="F844" s="3252">
        <v>5206</v>
      </c>
      <c r="G844" s="1698"/>
    </row>
    <row r="845" spans="1:7" ht="15.75">
      <c r="A845" s="3252">
        <v>39050</v>
      </c>
      <c r="B845" s="3252">
        <v>39100</v>
      </c>
      <c r="C845" s="3252">
        <v>5625</v>
      </c>
      <c r="D845" s="3252">
        <v>4954</v>
      </c>
      <c r="E845" s="3252">
        <v>5625</v>
      </c>
      <c r="F845" s="3252">
        <v>5214</v>
      </c>
      <c r="G845" s="1698"/>
    </row>
    <row r="846" spans="1:7" ht="15.75">
      <c r="A846" s="3252">
        <v>39100</v>
      </c>
      <c r="B846" s="3252">
        <v>39150</v>
      </c>
      <c r="C846" s="3252">
        <v>5638</v>
      </c>
      <c r="D846" s="3252">
        <v>4961</v>
      </c>
      <c r="E846" s="3252">
        <v>5638</v>
      </c>
      <c r="F846" s="3252">
        <v>5221</v>
      </c>
      <c r="G846" s="1698"/>
    </row>
    <row r="847" spans="1:7" ht="15.75">
      <c r="A847" s="3252">
        <v>39150</v>
      </c>
      <c r="B847" s="3252">
        <v>39200</v>
      </c>
      <c r="C847" s="3252">
        <v>5650</v>
      </c>
      <c r="D847" s="3252">
        <v>4969</v>
      </c>
      <c r="E847" s="3252">
        <v>5650</v>
      </c>
      <c r="F847" s="3252">
        <v>5229</v>
      </c>
      <c r="G847" s="1698"/>
    </row>
    <row r="848" spans="1:7" ht="15.75">
      <c r="A848" s="3252">
        <v>39200</v>
      </c>
      <c r="B848" s="3252">
        <v>39250</v>
      </c>
      <c r="C848" s="3252">
        <v>5663</v>
      </c>
      <c r="D848" s="3252">
        <v>4976</v>
      </c>
      <c r="E848" s="3252">
        <v>5663</v>
      </c>
      <c r="F848" s="3252">
        <v>5236</v>
      </c>
      <c r="G848" s="1698"/>
    </row>
    <row r="849" spans="1:7" ht="15.75">
      <c r="A849" s="3252">
        <v>39250</v>
      </c>
      <c r="B849" s="3252">
        <v>39300</v>
      </c>
      <c r="C849" s="3252">
        <v>5675</v>
      </c>
      <c r="D849" s="3252">
        <v>4984</v>
      </c>
      <c r="E849" s="3252">
        <v>5675</v>
      </c>
      <c r="F849" s="3252">
        <v>5244</v>
      </c>
      <c r="G849" s="1698"/>
    </row>
    <row r="850" spans="1:7" ht="15.75">
      <c r="A850" s="3252">
        <v>39300</v>
      </c>
      <c r="B850" s="3252">
        <v>39350</v>
      </c>
      <c r="C850" s="3252">
        <v>5688</v>
      </c>
      <c r="D850" s="3252">
        <v>4991</v>
      </c>
      <c r="E850" s="3252">
        <v>5688</v>
      </c>
      <c r="F850" s="3252">
        <v>5251</v>
      </c>
      <c r="G850" s="1698"/>
    </row>
    <row r="851" spans="1:7" ht="15.75">
      <c r="A851" s="3252">
        <v>39350</v>
      </c>
      <c r="B851" s="3252">
        <v>39400</v>
      </c>
      <c r="C851" s="3252">
        <v>5700</v>
      </c>
      <c r="D851" s="3252">
        <v>4999</v>
      </c>
      <c r="E851" s="3252">
        <v>5700</v>
      </c>
      <c r="F851" s="3252">
        <v>5259</v>
      </c>
      <c r="G851" s="1698"/>
    </row>
    <row r="852" spans="1:7" ht="15.75">
      <c r="A852" s="3252">
        <v>39400</v>
      </c>
      <c r="B852" s="3252">
        <v>39450</v>
      </c>
      <c r="C852" s="3252">
        <v>5713</v>
      </c>
      <c r="D852" s="3252">
        <v>5006</v>
      </c>
      <c r="E852" s="3252">
        <v>5713</v>
      </c>
      <c r="F852" s="3252">
        <v>5266</v>
      </c>
      <c r="G852" s="1698"/>
    </row>
    <row r="853" spans="1:7" ht="15.75">
      <c r="A853" s="3252">
        <v>39450</v>
      </c>
      <c r="B853" s="3252">
        <v>39500</v>
      </c>
      <c r="C853" s="3252">
        <v>5725</v>
      </c>
      <c r="D853" s="3252">
        <v>5014</v>
      </c>
      <c r="E853" s="3252">
        <v>5725</v>
      </c>
      <c r="F853" s="3252">
        <v>5274</v>
      </c>
      <c r="G853" s="1698"/>
    </row>
    <row r="854" spans="1:7" ht="15.75">
      <c r="A854" s="3252">
        <v>39500</v>
      </c>
      <c r="B854" s="3252">
        <v>39550</v>
      </c>
      <c r="C854" s="3252">
        <v>5738</v>
      </c>
      <c r="D854" s="3252">
        <v>5021</v>
      </c>
      <c r="E854" s="3252">
        <v>5738</v>
      </c>
      <c r="F854" s="3252">
        <v>5281</v>
      </c>
      <c r="G854" s="1698"/>
    </row>
    <row r="855" spans="1:7" ht="15.75">
      <c r="A855" s="3252">
        <v>39550</v>
      </c>
      <c r="B855" s="3252">
        <v>39600</v>
      </c>
      <c r="C855" s="3252">
        <v>5750</v>
      </c>
      <c r="D855" s="3252">
        <v>5029</v>
      </c>
      <c r="E855" s="3252">
        <v>5750</v>
      </c>
      <c r="F855" s="3252">
        <v>5289</v>
      </c>
      <c r="G855" s="1698"/>
    </row>
    <row r="856" spans="1:7" ht="15.75">
      <c r="A856" s="3252">
        <v>39600</v>
      </c>
      <c r="B856" s="3252">
        <v>39650</v>
      </c>
      <c r="C856" s="3252">
        <v>5763</v>
      </c>
      <c r="D856" s="3252">
        <v>5036</v>
      </c>
      <c r="E856" s="3252">
        <v>5763</v>
      </c>
      <c r="F856" s="3252">
        <v>5296</v>
      </c>
      <c r="G856" s="1698"/>
    </row>
    <row r="857" spans="1:7" ht="15.75">
      <c r="A857" s="3252">
        <v>39650</v>
      </c>
      <c r="B857" s="3252">
        <v>39700</v>
      </c>
      <c r="C857" s="3252">
        <v>5775</v>
      </c>
      <c r="D857" s="3252">
        <v>5044</v>
      </c>
      <c r="E857" s="3252">
        <v>5775</v>
      </c>
      <c r="F857" s="3252">
        <v>5304</v>
      </c>
      <c r="G857" s="1698"/>
    </row>
    <row r="858" spans="1:7" ht="15.75">
      <c r="A858" s="3252">
        <v>39700</v>
      </c>
      <c r="B858" s="3252">
        <v>39750</v>
      </c>
      <c r="C858" s="3252">
        <v>5788</v>
      </c>
      <c r="D858" s="3252">
        <v>5051</v>
      </c>
      <c r="E858" s="3252">
        <v>5788</v>
      </c>
      <c r="F858" s="3252">
        <v>5311</v>
      </c>
      <c r="G858" s="1698"/>
    </row>
    <row r="859" spans="1:7" ht="15.75">
      <c r="A859" s="3252">
        <v>39750</v>
      </c>
      <c r="B859" s="3252">
        <v>39800</v>
      </c>
      <c r="C859" s="3252">
        <v>5800</v>
      </c>
      <c r="D859" s="3252">
        <v>5059</v>
      </c>
      <c r="E859" s="3252">
        <v>5800</v>
      </c>
      <c r="F859" s="3252">
        <v>5319</v>
      </c>
      <c r="G859" s="1698"/>
    </row>
    <row r="860" spans="1:7" ht="15.75">
      <c r="A860" s="3252">
        <v>39800</v>
      </c>
      <c r="B860" s="3252">
        <v>39850</v>
      </c>
      <c r="C860" s="3252">
        <v>5813</v>
      </c>
      <c r="D860" s="3252">
        <v>5066</v>
      </c>
      <c r="E860" s="3252">
        <v>5813</v>
      </c>
      <c r="F860" s="3252">
        <v>5326</v>
      </c>
      <c r="G860" s="1698"/>
    </row>
    <row r="861" spans="1:7" ht="15.75">
      <c r="A861" s="3252">
        <v>39850</v>
      </c>
      <c r="B861" s="3252">
        <v>39900</v>
      </c>
      <c r="C861" s="3252">
        <v>5825</v>
      </c>
      <c r="D861" s="3252">
        <v>5074</v>
      </c>
      <c r="E861" s="3252">
        <v>5825</v>
      </c>
      <c r="F861" s="3252">
        <v>5334</v>
      </c>
      <c r="G861" s="1698"/>
    </row>
    <row r="862" spans="1:7" ht="15.75">
      <c r="A862" s="3252">
        <v>39900</v>
      </c>
      <c r="B862" s="3252">
        <v>39950</v>
      </c>
      <c r="C862" s="3252">
        <v>5838</v>
      </c>
      <c r="D862" s="3252">
        <v>5081</v>
      </c>
      <c r="E862" s="3252">
        <v>5838</v>
      </c>
      <c r="F862" s="3252">
        <v>5341</v>
      </c>
      <c r="G862" s="1698"/>
    </row>
    <row r="863" spans="1:7" ht="15.75">
      <c r="A863" s="3252">
        <v>39950</v>
      </c>
      <c r="B863" s="3252">
        <v>40000</v>
      </c>
      <c r="C863" s="3252">
        <v>5850</v>
      </c>
      <c r="D863" s="3252">
        <v>5089</v>
      </c>
      <c r="E863" s="3252">
        <v>5850</v>
      </c>
      <c r="F863" s="3252">
        <v>5349</v>
      </c>
      <c r="G863" s="1698"/>
    </row>
    <row r="864" spans="1:7" ht="15.75">
      <c r="A864" s="3252">
        <v>40000</v>
      </c>
      <c r="B864" s="3252">
        <v>40050</v>
      </c>
      <c r="C864" s="3252">
        <v>5863</v>
      </c>
      <c r="D864" s="3252">
        <v>5096</v>
      </c>
      <c r="E864" s="3252">
        <v>5863</v>
      </c>
      <c r="F864" s="3252">
        <v>5356</v>
      </c>
      <c r="G864" s="1698"/>
    </row>
    <row r="865" spans="1:7" ht="15.75">
      <c r="A865" s="3252">
        <v>40050</v>
      </c>
      <c r="B865" s="3252">
        <v>40100</v>
      </c>
      <c r="C865" s="3252">
        <v>5875</v>
      </c>
      <c r="D865" s="3252">
        <v>5104</v>
      </c>
      <c r="E865" s="3252">
        <v>5875</v>
      </c>
      <c r="F865" s="3252">
        <v>5364</v>
      </c>
      <c r="G865" s="1698"/>
    </row>
    <row r="866" spans="1:7" ht="15.75">
      <c r="A866" s="3252">
        <v>40100</v>
      </c>
      <c r="B866" s="3252">
        <v>40150</v>
      </c>
      <c r="C866" s="3252">
        <v>5888</v>
      </c>
      <c r="D866" s="3252">
        <v>5111</v>
      </c>
      <c r="E866" s="3252">
        <v>5888</v>
      </c>
      <c r="F866" s="3252">
        <v>5371</v>
      </c>
      <c r="G866" s="1698"/>
    </row>
    <row r="867" spans="1:7" ht="15.75">
      <c r="A867" s="3252">
        <v>40150</v>
      </c>
      <c r="B867" s="3252">
        <v>40200</v>
      </c>
      <c r="C867" s="3252">
        <v>5900</v>
      </c>
      <c r="D867" s="3252">
        <v>5119</v>
      </c>
      <c r="E867" s="3252">
        <v>5900</v>
      </c>
      <c r="F867" s="3252">
        <v>5379</v>
      </c>
      <c r="G867" s="1698"/>
    </row>
    <row r="868" spans="1:7" ht="15.75">
      <c r="A868" s="3252">
        <v>40200</v>
      </c>
      <c r="B868" s="3252">
        <v>40250</v>
      </c>
      <c r="C868" s="3252">
        <v>5913</v>
      </c>
      <c r="D868" s="3252">
        <v>5126</v>
      </c>
      <c r="E868" s="3252">
        <v>5913</v>
      </c>
      <c r="F868" s="3252">
        <v>5386</v>
      </c>
      <c r="G868" s="1698"/>
    </row>
    <row r="869" spans="1:7" ht="15.75">
      <c r="A869" s="3252">
        <v>40250</v>
      </c>
      <c r="B869" s="3252">
        <v>40300</v>
      </c>
      <c r="C869" s="3252">
        <v>5925</v>
      </c>
      <c r="D869" s="3252">
        <v>5134</v>
      </c>
      <c r="E869" s="3252">
        <v>5925</v>
      </c>
      <c r="F869" s="3252">
        <v>5394</v>
      </c>
      <c r="G869" s="1698"/>
    </row>
    <row r="870" spans="1:7" ht="15.75">
      <c r="A870" s="3252">
        <v>40300</v>
      </c>
      <c r="B870" s="3252">
        <v>40350</v>
      </c>
      <c r="C870" s="3252">
        <v>5938</v>
      </c>
      <c r="D870" s="3252">
        <v>5141</v>
      </c>
      <c r="E870" s="3252">
        <v>5938</v>
      </c>
      <c r="F870" s="3252">
        <v>5401</v>
      </c>
      <c r="G870" s="1698"/>
    </row>
    <row r="871" spans="1:7" ht="15.75">
      <c r="A871" s="3252">
        <v>40350</v>
      </c>
      <c r="B871" s="3252">
        <v>40400</v>
      </c>
      <c r="C871" s="3252">
        <v>5950</v>
      </c>
      <c r="D871" s="3252">
        <v>5149</v>
      </c>
      <c r="E871" s="3252">
        <v>5950</v>
      </c>
      <c r="F871" s="3252">
        <v>5409</v>
      </c>
      <c r="G871" s="1698"/>
    </row>
    <row r="872" spans="1:7" ht="15.75">
      <c r="A872" s="3252">
        <v>40400</v>
      </c>
      <c r="B872" s="3252">
        <v>40450</v>
      </c>
      <c r="C872" s="3252">
        <v>5963</v>
      </c>
      <c r="D872" s="3252">
        <v>5156</v>
      </c>
      <c r="E872" s="3252">
        <v>5963</v>
      </c>
      <c r="F872" s="3252">
        <v>5416</v>
      </c>
      <c r="G872" s="1698"/>
    </row>
    <row r="873" spans="1:7" ht="15.75">
      <c r="A873" s="3252">
        <v>40450</v>
      </c>
      <c r="B873" s="3252">
        <v>40500</v>
      </c>
      <c r="C873" s="3252">
        <v>5975</v>
      </c>
      <c r="D873" s="3252">
        <v>5164</v>
      </c>
      <c r="E873" s="3252">
        <v>5975</v>
      </c>
      <c r="F873" s="3252">
        <v>5424</v>
      </c>
      <c r="G873" s="1698"/>
    </row>
    <row r="874" spans="1:7" ht="15.75">
      <c r="A874" s="3252">
        <v>40500</v>
      </c>
      <c r="B874" s="3252">
        <v>40550</v>
      </c>
      <c r="C874" s="3252">
        <v>5988</v>
      </c>
      <c r="D874" s="3252">
        <v>5171</v>
      </c>
      <c r="E874" s="3252">
        <v>5988</v>
      </c>
      <c r="F874" s="3252">
        <v>5431</v>
      </c>
      <c r="G874" s="1698"/>
    </row>
    <row r="875" spans="1:7" ht="15.75">
      <c r="A875" s="3252">
        <v>40550</v>
      </c>
      <c r="B875" s="3252">
        <v>40600</v>
      </c>
      <c r="C875" s="3252">
        <v>6000</v>
      </c>
      <c r="D875" s="3252">
        <v>5179</v>
      </c>
      <c r="E875" s="3252">
        <v>6000</v>
      </c>
      <c r="F875" s="3252">
        <v>5439</v>
      </c>
      <c r="G875" s="1698"/>
    </row>
    <row r="876" spans="1:7" ht="15.75">
      <c r="A876" s="3252">
        <v>40600</v>
      </c>
      <c r="B876" s="3252">
        <v>40650</v>
      </c>
      <c r="C876" s="3252">
        <v>6013</v>
      </c>
      <c r="D876" s="3252">
        <v>5186</v>
      </c>
      <c r="E876" s="3252">
        <v>6013</v>
      </c>
      <c r="F876" s="3252">
        <v>5446</v>
      </c>
      <c r="G876" s="1698"/>
    </row>
    <row r="877" spans="1:7" ht="15.75">
      <c r="A877" s="3252">
        <v>40650</v>
      </c>
      <c r="B877" s="3252">
        <v>40700</v>
      </c>
      <c r="C877" s="3252">
        <v>6025</v>
      </c>
      <c r="D877" s="3252">
        <v>5194</v>
      </c>
      <c r="E877" s="3252">
        <v>6025</v>
      </c>
      <c r="F877" s="3252">
        <v>5454</v>
      </c>
      <c r="G877" s="1698"/>
    </row>
    <row r="878" spans="1:7" ht="15.75">
      <c r="A878" s="3252">
        <v>40700</v>
      </c>
      <c r="B878" s="3252">
        <v>40750</v>
      </c>
      <c r="C878" s="3252">
        <v>6038</v>
      </c>
      <c r="D878" s="3252">
        <v>5201</v>
      </c>
      <c r="E878" s="3252">
        <v>6038</v>
      </c>
      <c r="F878" s="3252">
        <v>5461</v>
      </c>
      <c r="G878" s="1698"/>
    </row>
    <row r="879" spans="1:7" ht="15.75">
      <c r="A879" s="3252">
        <v>40750</v>
      </c>
      <c r="B879" s="3252">
        <v>40800</v>
      </c>
      <c r="C879" s="3252">
        <v>6050</v>
      </c>
      <c r="D879" s="3252">
        <v>5209</v>
      </c>
      <c r="E879" s="3252">
        <v>6050</v>
      </c>
      <c r="F879" s="3252">
        <v>5469</v>
      </c>
      <c r="G879" s="1698"/>
    </row>
    <row r="880" spans="1:7" ht="15.75">
      <c r="A880" s="3252">
        <v>40800</v>
      </c>
      <c r="B880" s="3252">
        <v>40850</v>
      </c>
      <c r="C880" s="3252">
        <v>6063</v>
      </c>
      <c r="D880" s="3252">
        <v>5216</v>
      </c>
      <c r="E880" s="3252">
        <v>6063</v>
      </c>
      <c r="F880" s="3252">
        <v>5476</v>
      </c>
      <c r="G880" s="1698"/>
    </row>
    <row r="881" spans="1:7" ht="15.75">
      <c r="A881" s="3252">
        <v>40850</v>
      </c>
      <c r="B881" s="3252">
        <v>40900</v>
      </c>
      <c r="C881" s="3252">
        <v>6075</v>
      </c>
      <c r="D881" s="3252">
        <v>5224</v>
      </c>
      <c r="E881" s="3252">
        <v>6075</v>
      </c>
      <c r="F881" s="3252">
        <v>5484</v>
      </c>
      <c r="G881" s="1698"/>
    </row>
    <row r="882" spans="1:7" ht="15.75">
      <c r="A882" s="3252">
        <v>40900</v>
      </c>
      <c r="B882" s="3252">
        <v>40950</v>
      </c>
      <c r="C882" s="3252">
        <v>6088</v>
      </c>
      <c r="D882" s="3252">
        <v>5231</v>
      </c>
      <c r="E882" s="3252">
        <v>6088</v>
      </c>
      <c r="F882" s="3252">
        <v>5491</v>
      </c>
      <c r="G882" s="1698"/>
    </row>
    <row r="883" spans="1:7" ht="15.75">
      <c r="A883" s="3252">
        <v>40950</v>
      </c>
      <c r="B883" s="3252">
        <v>41000</v>
      </c>
      <c r="C883" s="3252">
        <v>6100</v>
      </c>
      <c r="D883" s="3252">
        <v>5239</v>
      </c>
      <c r="E883" s="3252">
        <v>6100</v>
      </c>
      <c r="F883" s="3252">
        <v>5499</v>
      </c>
      <c r="G883" s="1698"/>
    </row>
    <row r="884" spans="1:7" ht="15.75">
      <c r="A884" s="3252">
        <v>41000</v>
      </c>
      <c r="B884" s="3252">
        <v>41050</v>
      </c>
      <c r="C884" s="3252">
        <v>6113</v>
      </c>
      <c r="D884" s="3252">
        <v>5246</v>
      </c>
      <c r="E884" s="3252">
        <v>6113</v>
      </c>
      <c r="F884" s="3252">
        <v>5506</v>
      </c>
      <c r="G884" s="1698"/>
    </row>
    <row r="885" spans="1:7" ht="15.75">
      <c r="A885" s="3252">
        <v>41050</v>
      </c>
      <c r="B885" s="3252">
        <v>41100</v>
      </c>
      <c r="C885" s="3252">
        <v>6125</v>
      </c>
      <c r="D885" s="3252">
        <v>5254</v>
      </c>
      <c r="E885" s="3252">
        <v>6125</v>
      </c>
      <c r="F885" s="3252">
        <v>5514</v>
      </c>
      <c r="G885" s="1698"/>
    </row>
    <row r="886" spans="1:7" ht="15.75">
      <c r="A886" s="3252">
        <v>41100</v>
      </c>
      <c r="B886" s="3252">
        <v>41150</v>
      </c>
      <c r="C886" s="3252">
        <v>6138</v>
      </c>
      <c r="D886" s="3252">
        <v>5261</v>
      </c>
      <c r="E886" s="3252">
        <v>6138</v>
      </c>
      <c r="F886" s="3252">
        <v>5521</v>
      </c>
      <c r="G886" s="1698"/>
    </row>
    <row r="887" spans="1:7" ht="15.75">
      <c r="A887" s="3252">
        <v>41150</v>
      </c>
      <c r="B887" s="3252">
        <v>41200</v>
      </c>
      <c r="C887" s="3252">
        <v>6150</v>
      </c>
      <c r="D887" s="3252">
        <v>5269</v>
      </c>
      <c r="E887" s="3252">
        <v>6150</v>
      </c>
      <c r="F887" s="3252">
        <v>5529</v>
      </c>
      <c r="G887" s="1698"/>
    </row>
    <row r="888" spans="1:7" ht="15.75">
      <c r="A888" s="3252">
        <v>41200</v>
      </c>
      <c r="B888" s="3252">
        <v>41250</v>
      </c>
      <c r="C888" s="3252">
        <v>6163</v>
      </c>
      <c r="D888" s="3252">
        <v>5276</v>
      </c>
      <c r="E888" s="3252">
        <v>6163</v>
      </c>
      <c r="F888" s="3252">
        <v>5536</v>
      </c>
      <c r="G888" s="1698"/>
    </row>
    <row r="889" spans="1:7" ht="15.75">
      <c r="A889" s="3252">
        <v>41250</v>
      </c>
      <c r="B889" s="3252">
        <v>41300</v>
      </c>
      <c r="C889" s="3252">
        <v>6175</v>
      </c>
      <c r="D889" s="3252">
        <v>5284</v>
      </c>
      <c r="E889" s="3252">
        <v>6175</v>
      </c>
      <c r="F889" s="3252">
        <v>5544</v>
      </c>
      <c r="G889" s="1698"/>
    </row>
    <row r="890" spans="1:7" ht="15.75">
      <c r="A890" s="3252">
        <v>41300</v>
      </c>
      <c r="B890" s="3252">
        <v>41350</v>
      </c>
      <c r="C890" s="3252">
        <v>6188</v>
      </c>
      <c r="D890" s="3252">
        <v>5291</v>
      </c>
      <c r="E890" s="3252">
        <v>6188</v>
      </c>
      <c r="F890" s="3252">
        <v>5551</v>
      </c>
      <c r="G890" s="1698"/>
    </row>
    <row r="891" spans="1:7" ht="15.75">
      <c r="A891" s="3252">
        <v>41350</v>
      </c>
      <c r="B891" s="3252">
        <v>41400</v>
      </c>
      <c r="C891" s="3252">
        <v>6200</v>
      </c>
      <c r="D891" s="3252">
        <v>5299</v>
      </c>
      <c r="E891" s="3252">
        <v>6200</v>
      </c>
      <c r="F891" s="3252">
        <v>5559</v>
      </c>
      <c r="G891" s="1698"/>
    </row>
    <row r="892" spans="1:7" ht="15.75">
      <c r="A892" s="3252">
        <v>41400</v>
      </c>
      <c r="B892" s="3252">
        <v>41450</v>
      </c>
      <c r="C892" s="3252">
        <v>6213</v>
      </c>
      <c r="D892" s="3252">
        <v>5306</v>
      </c>
      <c r="E892" s="3252">
        <v>6213</v>
      </c>
      <c r="F892" s="3252">
        <v>5566</v>
      </c>
      <c r="G892" s="1698"/>
    </row>
    <row r="893" spans="1:7" ht="15.75">
      <c r="A893" s="3252">
        <v>41450</v>
      </c>
      <c r="B893" s="3252">
        <v>41500</v>
      </c>
      <c r="C893" s="3252">
        <v>6225</v>
      </c>
      <c r="D893" s="3252">
        <v>5314</v>
      </c>
      <c r="E893" s="3252">
        <v>6225</v>
      </c>
      <c r="F893" s="3252">
        <v>5574</v>
      </c>
      <c r="G893" s="1698"/>
    </row>
    <row r="894" spans="1:7" ht="15.75">
      <c r="A894" s="3252">
        <v>41500</v>
      </c>
      <c r="B894" s="3252">
        <v>41550</v>
      </c>
      <c r="C894" s="3252">
        <v>6238</v>
      </c>
      <c r="D894" s="3252">
        <v>5321</v>
      </c>
      <c r="E894" s="3252">
        <v>6238</v>
      </c>
      <c r="F894" s="3252">
        <v>5581</v>
      </c>
      <c r="G894" s="1698"/>
    </row>
    <row r="895" spans="1:7" ht="15.75">
      <c r="A895" s="3252">
        <v>41550</v>
      </c>
      <c r="B895" s="3252">
        <v>41600</v>
      </c>
      <c r="C895" s="3252">
        <v>6250</v>
      </c>
      <c r="D895" s="3252">
        <v>5329</v>
      </c>
      <c r="E895" s="3252">
        <v>6250</v>
      </c>
      <c r="F895" s="3252">
        <v>5589</v>
      </c>
      <c r="G895" s="1698"/>
    </row>
    <row r="896" spans="1:7" ht="15.75">
      <c r="A896" s="3252">
        <v>41600</v>
      </c>
      <c r="B896" s="3252">
        <v>41650</v>
      </c>
      <c r="C896" s="3252">
        <v>6263</v>
      </c>
      <c r="D896" s="3252">
        <v>5336</v>
      </c>
      <c r="E896" s="3252">
        <v>6263</v>
      </c>
      <c r="F896" s="3252">
        <v>5596</v>
      </c>
      <c r="G896" s="1698"/>
    </row>
    <row r="897" spans="1:7" ht="15.75">
      <c r="A897" s="3252">
        <v>41650</v>
      </c>
      <c r="B897" s="3252">
        <v>41700</v>
      </c>
      <c r="C897" s="3252">
        <v>6275</v>
      </c>
      <c r="D897" s="3252">
        <v>5344</v>
      </c>
      <c r="E897" s="3252">
        <v>6275</v>
      </c>
      <c r="F897" s="3252">
        <v>5604</v>
      </c>
      <c r="G897" s="1698"/>
    </row>
    <row r="898" spans="1:7" ht="15.75">
      <c r="A898" s="3252">
        <v>41700</v>
      </c>
      <c r="B898" s="3252">
        <v>41750</v>
      </c>
      <c r="C898" s="3252">
        <v>6288</v>
      </c>
      <c r="D898" s="3252">
        <v>5351</v>
      </c>
      <c r="E898" s="3252">
        <v>6288</v>
      </c>
      <c r="F898" s="3252">
        <v>5611</v>
      </c>
      <c r="G898" s="1698"/>
    </row>
    <row r="899" spans="1:7" ht="15.75">
      <c r="A899" s="3252">
        <v>41750</v>
      </c>
      <c r="B899" s="3252">
        <v>41800</v>
      </c>
      <c r="C899" s="3252">
        <v>6300</v>
      </c>
      <c r="D899" s="3252">
        <v>5359</v>
      </c>
      <c r="E899" s="3252">
        <v>6300</v>
      </c>
      <c r="F899" s="3252">
        <v>5619</v>
      </c>
      <c r="G899" s="1698"/>
    </row>
    <row r="900" spans="1:7" ht="15.75">
      <c r="A900" s="3252">
        <v>41800</v>
      </c>
      <c r="B900" s="3252">
        <v>41850</v>
      </c>
      <c r="C900" s="3252">
        <v>6313</v>
      </c>
      <c r="D900" s="3252">
        <v>5366</v>
      </c>
      <c r="E900" s="3252">
        <v>6313</v>
      </c>
      <c r="F900" s="3252">
        <v>5626</v>
      </c>
      <c r="G900" s="1698"/>
    </row>
    <row r="901" spans="1:7" ht="15.75">
      <c r="A901" s="3252">
        <v>41850</v>
      </c>
      <c r="B901" s="3252">
        <v>41900</v>
      </c>
      <c r="C901" s="3252">
        <v>6325</v>
      </c>
      <c r="D901" s="3252">
        <v>5374</v>
      </c>
      <c r="E901" s="3252">
        <v>6325</v>
      </c>
      <c r="F901" s="3252">
        <v>5634</v>
      </c>
      <c r="G901" s="1698"/>
    </row>
    <row r="902" spans="1:7" ht="15.75">
      <c r="A902" s="3252">
        <v>41900</v>
      </c>
      <c r="B902" s="3252">
        <v>41950</v>
      </c>
      <c r="C902" s="3252">
        <v>6338</v>
      </c>
      <c r="D902" s="3252">
        <v>5381</v>
      </c>
      <c r="E902" s="3252">
        <v>6338</v>
      </c>
      <c r="F902" s="3252">
        <v>5641</v>
      </c>
      <c r="G902" s="1698"/>
    </row>
    <row r="903" spans="1:7" ht="15.75">
      <c r="A903" s="3252">
        <v>41950</v>
      </c>
      <c r="B903" s="3252">
        <v>42000</v>
      </c>
      <c r="C903" s="3252">
        <v>6350</v>
      </c>
      <c r="D903" s="3252">
        <v>5389</v>
      </c>
      <c r="E903" s="3252">
        <v>6350</v>
      </c>
      <c r="F903" s="3252">
        <v>5649</v>
      </c>
      <c r="G903" s="1698"/>
    </row>
    <row r="904" spans="1:7" ht="15.75">
      <c r="A904" s="3252">
        <v>42000</v>
      </c>
      <c r="B904" s="3252">
        <v>42050</v>
      </c>
      <c r="C904" s="3252">
        <v>6363</v>
      </c>
      <c r="D904" s="3252">
        <v>5396</v>
      </c>
      <c r="E904" s="3252">
        <v>6363</v>
      </c>
      <c r="F904" s="3252">
        <v>5656</v>
      </c>
      <c r="G904" s="1698"/>
    </row>
    <row r="905" spans="1:7" ht="15.75">
      <c r="A905" s="3252">
        <v>42050</v>
      </c>
      <c r="B905" s="3252">
        <v>42100</v>
      </c>
      <c r="C905" s="3252">
        <v>6375</v>
      </c>
      <c r="D905" s="3252">
        <v>5404</v>
      </c>
      <c r="E905" s="3252">
        <v>6375</v>
      </c>
      <c r="F905" s="3252">
        <v>5664</v>
      </c>
      <c r="G905" s="1698"/>
    </row>
    <row r="906" spans="1:7" ht="15.75">
      <c r="A906" s="3252">
        <v>42100</v>
      </c>
      <c r="B906" s="3252">
        <v>42150</v>
      </c>
      <c r="C906" s="3252">
        <v>6388</v>
      </c>
      <c r="D906" s="3252">
        <v>5411</v>
      </c>
      <c r="E906" s="3252">
        <v>6388</v>
      </c>
      <c r="F906" s="3252">
        <v>5671</v>
      </c>
      <c r="G906" s="1698"/>
    </row>
    <row r="907" spans="1:7" ht="15.75">
      <c r="A907" s="3252">
        <v>42150</v>
      </c>
      <c r="B907" s="3252">
        <v>42200</v>
      </c>
      <c r="C907" s="3252">
        <v>6400</v>
      </c>
      <c r="D907" s="3252">
        <v>5419</v>
      </c>
      <c r="E907" s="3252">
        <v>6400</v>
      </c>
      <c r="F907" s="3252">
        <v>5679</v>
      </c>
      <c r="G907" s="1698"/>
    </row>
    <row r="908" spans="1:7" ht="15.75">
      <c r="A908" s="3252">
        <v>42200</v>
      </c>
      <c r="B908" s="3252">
        <v>42250</v>
      </c>
      <c r="C908" s="3252">
        <v>6413</v>
      </c>
      <c r="D908" s="3252">
        <v>5426</v>
      </c>
      <c r="E908" s="3252">
        <v>6413</v>
      </c>
      <c r="F908" s="3252">
        <v>5686</v>
      </c>
      <c r="G908" s="1698"/>
    </row>
    <row r="909" spans="1:7" ht="15.75">
      <c r="A909" s="3252">
        <v>42250</v>
      </c>
      <c r="B909" s="3252">
        <v>42300</v>
      </c>
      <c r="C909" s="3252">
        <v>6425</v>
      </c>
      <c r="D909" s="3252">
        <v>5434</v>
      </c>
      <c r="E909" s="3252">
        <v>6425</v>
      </c>
      <c r="F909" s="3252">
        <v>5694</v>
      </c>
      <c r="G909" s="1698"/>
    </row>
    <row r="910" spans="1:7" ht="15.75">
      <c r="A910" s="3252">
        <v>42300</v>
      </c>
      <c r="B910" s="3252">
        <v>42350</v>
      </c>
      <c r="C910" s="3252">
        <v>6438</v>
      </c>
      <c r="D910" s="3252">
        <v>5441</v>
      </c>
      <c r="E910" s="3252">
        <v>6438</v>
      </c>
      <c r="F910" s="3252">
        <v>5701</v>
      </c>
      <c r="G910" s="1698"/>
    </row>
    <row r="911" spans="1:7" ht="15.75">
      <c r="A911" s="3252">
        <v>42350</v>
      </c>
      <c r="B911" s="3252">
        <v>42400</v>
      </c>
      <c r="C911" s="3252">
        <v>6450</v>
      </c>
      <c r="D911" s="3252">
        <v>5449</v>
      </c>
      <c r="E911" s="3252">
        <v>6450</v>
      </c>
      <c r="F911" s="3252">
        <v>5709</v>
      </c>
      <c r="G911" s="1698"/>
    </row>
    <row r="912" spans="1:7" ht="15.75">
      <c r="A912" s="3252">
        <v>42400</v>
      </c>
      <c r="B912" s="3252">
        <v>42450</v>
      </c>
      <c r="C912" s="3252">
        <v>6463</v>
      </c>
      <c r="D912" s="3252">
        <v>5456</v>
      </c>
      <c r="E912" s="3252">
        <v>6463</v>
      </c>
      <c r="F912" s="3252">
        <v>5716</v>
      </c>
      <c r="G912" s="1698"/>
    </row>
    <row r="913" spans="1:7" ht="15.75">
      <c r="A913" s="3252">
        <v>42450</v>
      </c>
      <c r="B913" s="3252">
        <v>42500</v>
      </c>
      <c r="C913" s="3252">
        <v>6475</v>
      </c>
      <c r="D913" s="3252">
        <v>5464</v>
      </c>
      <c r="E913" s="3252">
        <v>6475</v>
      </c>
      <c r="F913" s="3252">
        <v>5724</v>
      </c>
      <c r="G913" s="1698"/>
    </row>
    <row r="914" spans="1:7" ht="15.75">
      <c r="A914" s="3252">
        <v>42500</v>
      </c>
      <c r="B914" s="3252">
        <v>42550</v>
      </c>
      <c r="C914" s="3252">
        <v>6488</v>
      </c>
      <c r="D914" s="3252">
        <v>5471</v>
      </c>
      <c r="E914" s="3252">
        <v>6488</v>
      </c>
      <c r="F914" s="3252">
        <v>5731</v>
      </c>
      <c r="G914" s="1698"/>
    </row>
    <row r="915" spans="1:7" ht="15.75">
      <c r="A915" s="3252">
        <v>42550</v>
      </c>
      <c r="B915" s="3252">
        <v>42600</v>
      </c>
      <c r="C915" s="3252">
        <v>6500</v>
      </c>
      <c r="D915" s="3252">
        <v>5479</v>
      </c>
      <c r="E915" s="3252">
        <v>6500</v>
      </c>
      <c r="F915" s="3252">
        <v>5739</v>
      </c>
      <c r="G915" s="1698"/>
    </row>
    <row r="916" spans="1:7" ht="15.75">
      <c r="A916" s="3252">
        <v>42600</v>
      </c>
      <c r="B916" s="3252">
        <v>42650</v>
      </c>
      <c r="C916" s="3252">
        <v>6513</v>
      </c>
      <c r="D916" s="3252">
        <v>5486</v>
      </c>
      <c r="E916" s="3252">
        <v>6513</v>
      </c>
      <c r="F916" s="3252">
        <v>5746</v>
      </c>
      <c r="G916" s="1698"/>
    </row>
    <row r="917" spans="1:7" ht="15.75">
      <c r="A917" s="3252">
        <v>42650</v>
      </c>
      <c r="B917" s="3252">
        <v>42700</v>
      </c>
      <c r="C917" s="3252">
        <v>6525</v>
      </c>
      <c r="D917" s="3252">
        <v>5494</v>
      </c>
      <c r="E917" s="3252">
        <v>6525</v>
      </c>
      <c r="F917" s="3252">
        <v>5754</v>
      </c>
      <c r="G917" s="1698"/>
    </row>
    <row r="918" spans="1:7" ht="15.75">
      <c r="A918" s="3252">
        <v>42700</v>
      </c>
      <c r="B918" s="3252">
        <v>42750</v>
      </c>
      <c r="C918" s="3252">
        <v>6538</v>
      </c>
      <c r="D918" s="3252">
        <v>5501</v>
      </c>
      <c r="E918" s="3252">
        <v>6538</v>
      </c>
      <c r="F918" s="3252">
        <v>5761</v>
      </c>
      <c r="G918" s="1698"/>
    </row>
    <row r="919" spans="1:7" ht="15.75">
      <c r="A919" s="3252">
        <v>42750</v>
      </c>
      <c r="B919" s="3252">
        <v>42800</v>
      </c>
      <c r="C919" s="3252">
        <v>6550</v>
      </c>
      <c r="D919" s="3252">
        <v>5509</v>
      </c>
      <c r="E919" s="3252">
        <v>6550</v>
      </c>
      <c r="F919" s="3252">
        <v>5769</v>
      </c>
      <c r="G919" s="1698"/>
    </row>
    <row r="920" spans="1:7" ht="15.75">
      <c r="A920" s="3252">
        <v>42800</v>
      </c>
      <c r="B920" s="3252">
        <v>42850</v>
      </c>
      <c r="C920" s="3252">
        <v>6563</v>
      </c>
      <c r="D920" s="3252">
        <v>5516</v>
      </c>
      <c r="E920" s="3252">
        <v>6563</v>
      </c>
      <c r="F920" s="3252">
        <v>5776</v>
      </c>
      <c r="G920" s="1698"/>
    </row>
    <row r="921" spans="1:7" ht="15.75">
      <c r="A921" s="3252">
        <v>42850</v>
      </c>
      <c r="B921" s="3252">
        <v>42900</v>
      </c>
      <c r="C921" s="3252">
        <v>6575</v>
      </c>
      <c r="D921" s="3252">
        <v>5524</v>
      </c>
      <c r="E921" s="3252">
        <v>6575</v>
      </c>
      <c r="F921" s="3252">
        <v>5784</v>
      </c>
      <c r="G921" s="1698"/>
    </row>
    <row r="922" spans="1:7" ht="15.75">
      <c r="A922" s="3252">
        <v>42900</v>
      </c>
      <c r="B922" s="3252">
        <v>42950</v>
      </c>
      <c r="C922" s="3252">
        <v>6588</v>
      </c>
      <c r="D922" s="3252">
        <v>5531</v>
      </c>
      <c r="E922" s="3252">
        <v>6588</v>
      </c>
      <c r="F922" s="3252">
        <v>5791</v>
      </c>
      <c r="G922" s="1698"/>
    </row>
    <row r="923" spans="1:7" ht="15.75">
      <c r="A923" s="3252">
        <v>42950</v>
      </c>
      <c r="B923" s="3252">
        <v>43000</v>
      </c>
      <c r="C923" s="3252">
        <v>6600</v>
      </c>
      <c r="D923" s="3252">
        <v>5539</v>
      </c>
      <c r="E923" s="3252">
        <v>6600</v>
      </c>
      <c r="F923" s="3252">
        <v>5799</v>
      </c>
      <c r="G923" s="1698"/>
    </row>
    <row r="924" spans="1:7" ht="15.75">
      <c r="A924" s="3252">
        <v>43000</v>
      </c>
      <c r="B924" s="3252">
        <v>43050</v>
      </c>
      <c r="C924" s="3252">
        <v>6613</v>
      </c>
      <c r="D924" s="3252">
        <v>5546</v>
      </c>
      <c r="E924" s="3252">
        <v>6613</v>
      </c>
      <c r="F924" s="3252">
        <v>5806</v>
      </c>
      <c r="G924" s="1698"/>
    </row>
    <row r="925" spans="1:7" ht="15.75">
      <c r="A925" s="3252">
        <v>43050</v>
      </c>
      <c r="B925" s="3252">
        <v>43100</v>
      </c>
      <c r="C925" s="3252">
        <v>6625</v>
      </c>
      <c r="D925" s="3252">
        <v>5554</v>
      </c>
      <c r="E925" s="3252">
        <v>6625</v>
      </c>
      <c r="F925" s="3252">
        <v>5814</v>
      </c>
      <c r="G925" s="1698"/>
    </row>
    <row r="926" spans="1:7" ht="15.75">
      <c r="A926" s="3252">
        <v>43100</v>
      </c>
      <c r="B926" s="3252">
        <v>43150</v>
      </c>
      <c r="C926" s="3252">
        <v>6638</v>
      </c>
      <c r="D926" s="3252">
        <v>5561</v>
      </c>
      <c r="E926" s="3252">
        <v>6638</v>
      </c>
      <c r="F926" s="3252">
        <v>5821</v>
      </c>
      <c r="G926" s="1698"/>
    </row>
    <row r="927" spans="1:7" ht="15.75">
      <c r="A927" s="3252">
        <v>43150</v>
      </c>
      <c r="B927" s="3252">
        <v>43200</v>
      </c>
      <c r="C927" s="3252">
        <v>6650</v>
      </c>
      <c r="D927" s="3252">
        <v>5569</v>
      </c>
      <c r="E927" s="3252">
        <v>6650</v>
      </c>
      <c r="F927" s="3252">
        <v>5829</v>
      </c>
      <c r="G927" s="1698"/>
    </row>
    <row r="928" spans="1:7" ht="15.75">
      <c r="A928" s="3252">
        <v>43200</v>
      </c>
      <c r="B928" s="3252">
        <v>43250</v>
      </c>
      <c r="C928" s="3252">
        <v>6663</v>
      </c>
      <c r="D928" s="3252">
        <v>5576</v>
      </c>
      <c r="E928" s="3252">
        <v>6663</v>
      </c>
      <c r="F928" s="3252">
        <v>5836</v>
      </c>
      <c r="G928" s="1698"/>
    </row>
    <row r="929" spans="1:7" ht="15.75">
      <c r="A929" s="3252">
        <v>43250</v>
      </c>
      <c r="B929" s="3252">
        <v>43300</v>
      </c>
      <c r="C929" s="3252">
        <v>6675</v>
      </c>
      <c r="D929" s="3252">
        <v>5584</v>
      </c>
      <c r="E929" s="3252">
        <v>6675</v>
      </c>
      <c r="F929" s="3252">
        <v>5844</v>
      </c>
      <c r="G929" s="1698"/>
    </row>
    <row r="930" spans="1:7" ht="15.75">
      <c r="A930" s="3252">
        <v>43300</v>
      </c>
      <c r="B930" s="3252">
        <v>43350</v>
      </c>
      <c r="C930" s="3252">
        <v>6688</v>
      </c>
      <c r="D930" s="3252">
        <v>5591</v>
      </c>
      <c r="E930" s="3252">
        <v>6688</v>
      </c>
      <c r="F930" s="3252">
        <v>5851</v>
      </c>
      <c r="G930" s="1698"/>
    </row>
    <row r="931" spans="1:7" ht="15.75">
      <c r="A931" s="3252">
        <v>43350</v>
      </c>
      <c r="B931" s="3252">
        <v>43400</v>
      </c>
      <c r="C931" s="3252">
        <v>6700</v>
      </c>
      <c r="D931" s="3252">
        <v>5599</v>
      </c>
      <c r="E931" s="3252">
        <v>6700</v>
      </c>
      <c r="F931" s="3252">
        <v>5859</v>
      </c>
      <c r="G931" s="1698"/>
    </row>
    <row r="932" spans="1:7" ht="15.75">
      <c r="A932" s="3252">
        <v>43400</v>
      </c>
      <c r="B932" s="3252">
        <v>43450</v>
      </c>
      <c r="C932" s="3252">
        <v>6713</v>
      </c>
      <c r="D932" s="3252">
        <v>5606</v>
      </c>
      <c r="E932" s="3252">
        <v>6713</v>
      </c>
      <c r="F932" s="3252">
        <v>5866</v>
      </c>
      <c r="G932" s="1698"/>
    </row>
    <row r="933" spans="1:7" ht="15.75">
      <c r="A933" s="3252">
        <v>43450</v>
      </c>
      <c r="B933" s="3252">
        <v>43500</v>
      </c>
      <c r="C933" s="3252">
        <v>6725</v>
      </c>
      <c r="D933" s="3252">
        <v>5614</v>
      </c>
      <c r="E933" s="3252">
        <v>6725</v>
      </c>
      <c r="F933" s="3252">
        <v>5874</v>
      </c>
      <c r="G933" s="1698"/>
    </row>
    <row r="934" spans="1:7" ht="15.75">
      <c r="A934" s="3252">
        <v>43500</v>
      </c>
      <c r="B934" s="3252">
        <v>43550</v>
      </c>
      <c r="C934" s="3252">
        <v>6738</v>
      </c>
      <c r="D934" s="3252">
        <v>5621</v>
      </c>
      <c r="E934" s="3252">
        <v>6738</v>
      </c>
      <c r="F934" s="3252">
        <v>5881</v>
      </c>
      <c r="G934" s="1698"/>
    </row>
    <row r="935" spans="1:7" ht="15.75">
      <c r="A935" s="3252">
        <v>43550</v>
      </c>
      <c r="B935" s="3252">
        <v>43600</v>
      </c>
      <c r="C935" s="3252">
        <v>6750</v>
      </c>
      <c r="D935" s="3252">
        <v>5629</v>
      </c>
      <c r="E935" s="3252">
        <v>6750</v>
      </c>
      <c r="F935" s="3252">
        <v>5889</v>
      </c>
      <c r="G935" s="1698"/>
    </row>
    <row r="936" spans="1:7" ht="15.75">
      <c r="A936" s="3252">
        <v>43600</v>
      </c>
      <c r="B936" s="3252">
        <v>43650</v>
      </c>
      <c r="C936" s="3252">
        <v>6763</v>
      </c>
      <c r="D936" s="3252">
        <v>5636</v>
      </c>
      <c r="E936" s="3252">
        <v>6763</v>
      </c>
      <c r="F936" s="3252">
        <v>5896</v>
      </c>
      <c r="G936" s="1698"/>
    </row>
    <row r="937" spans="1:7" ht="15.75">
      <c r="A937" s="3252">
        <v>43650</v>
      </c>
      <c r="B937" s="3252">
        <v>43700</v>
      </c>
      <c r="C937" s="3252">
        <v>6775</v>
      </c>
      <c r="D937" s="3252">
        <v>5644</v>
      </c>
      <c r="E937" s="3252">
        <v>6775</v>
      </c>
      <c r="F937" s="3252">
        <v>5904</v>
      </c>
      <c r="G937" s="1698"/>
    </row>
    <row r="938" spans="1:7" ht="15.75">
      <c r="A938" s="3252">
        <v>43700</v>
      </c>
      <c r="B938" s="3252">
        <v>43750</v>
      </c>
      <c r="C938" s="3252">
        <v>6788</v>
      </c>
      <c r="D938" s="3252">
        <v>5651</v>
      </c>
      <c r="E938" s="3252">
        <v>6788</v>
      </c>
      <c r="F938" s="3252">
        <v>5911</v>
      </c>
      <c r="G938" s="1698"/>
    </row>
    <row r="939" spans="1:7" ht="15.75">
      <c r="A939" s="3252">
        <v>43750</v>
      </c>
      <c r="B939" s="3252">
        <v>43800</v>
      </c>
      <c r="C939" s="3252">
        <v>6800</v>
      </c>
      <c r="D939" s="3252">
        <v>5659</v>
      </c>
      <c r="E939" s="3252">
        <v>6800</v>
      </c>
      <c r="F939" s="3252">
        <v>5919</v>
      </c>
      <c r="G939" s="1698"/>
    </row>
    <row r="940" spans="1:7" ht="15.75">
      <c r="A940" s="3252">
        <v>43800</v>
      </c>
      <c r="B940" s="3252">
        <v>43850</v>
      </c>
      <c r="C940" s="3252">
        <v>6813</v>
      </c>
      <c r="D940" s="3252">
        <v>5666</v>
      </c>
      <c r="E940" s="3252">
        <v>6813</v>
      </c>
      <c r="F940" s="3252">
        <v>5926</v>
      </c>
      <c r="G940" s="1698"/>
    </row>
    <row r="941" spans="1:7" ht="15.75">
      <c r="A941" s="3252">
        <v>43850</v>
      </c>
      <c r="B941" s="3252">
        <v>43900</v>
      </c>
      <c r="C941" s="3252">
        <v>6825</v>
      </c>
      <c r="D941" s="3252">
        <v>5674</v>
      </c>
      <c r="E941" s="3252">
        <v>6825</v>
      </c>
      <c r="F941" s="3252">
        <v>5934</v>
      </c>
      <c r="G941" s="1698"/>
    </row>
    <row r="942" spans="1:7" ht="15.75">
      <c r="A942" s="3252">
        <v>43900</v>
      </c>
      <c r="B942" s="3252">
        <v>43950</v>
      </c>
      <c r="C942" s="3252">
        <v>6838</v>
      </c>
      <c r="D942" s="3252">
        <v>5681</v>
      </c>
      <c r="E942" s="3252">
        <v>6838</v>
      </c>
      <c r="F942" s="3252">
        <v>5941</v>
      </c>
      <c r="G942" s="1698"/>
    </row>
    <row r="943" spans="1:7" ht="15.75">
      <c r="A943" s="3252">
        <v>43950</v>
      </c>
      <c r="B943" s="3252">
        <v>44000</v>
      </c>
      <c r="C943" s="3252">
        <v>6850</v>
      </c>
      <c r="D943" s="3252">
        <v>5689</v>
      </c>
      <c r="E943" s="3252">
        <v>6850</v>
      </c>
      <c r="F943" s="3252">
        <v>5949</v>
      </c>
      <c r="G943" s="1698"/>
    </row>
    <row r="944" spans="1:7" ht="15.75">
      <c r="A944" s="3252">
        <v>44000</v>
      </c>
      <c r="B944" s="3252">
        <v>44050</v>
      </c>
      <c r="C944" s="3252">
        <v>6863</v>
      </c>
      <c r="D944" s="3252">
        <v>5696</v>
      </c>
      <c r="E944" s="3252">
        <v>6863</v>
      </c>
      <c r="F944" s="3252">
        <v>5956</v>
      </c>
      <c r="G944" s="1698"/>
    </row>
    <row r="945" spans="1:7" ht="15.75">
      <c r="A945" s="3252">
        <v>44050</v>
      </c>
      <c r="B945" s="3252">
        <v>44100</v>
      </c>
      <c r="C945" s="3252">
        <v>6875</v>
      </c>
      <c r="D945" s="3252">
        <v>5704</v>
      </c>
      <c r="E945" s="3252">
        <v>6875</v>
      </c>
      <c r="F945" s="3252">
        <v>5964</v>
      </c>
      <c r="G945" s="1698"/>
    </row>
    <row r="946" spans="1:7" ht="15.75">
      <c r="A946" s="3252">
        <v>44100</v>
      </c>
      <c r="B946" s="3252">
        <v>44150</v>
      </c>
      <c r="C946" s="3252">
        <v>6888</v>
      </c>
      <c r="D946" s="3252">
        <v>5711</v>
      </c>
      <c r="E946" s="3252">
        <v>6888</v>
      </c>
      <c r="F946" s="3252">
        <v>5971</v>
      </c>
      <c r="G946" s="1698"/>
    </row>
    <row r="947" spans="1:7" ht="15.75">
      <c r="A947" s="3252">
        <v>44150</v>
      </c>
      <c r="B947" s="3252">
        <v>44200</v>
      </c>
      <c r="C947" s="3252">
        <v>6900</v>
      </c>
      <c r="D947" s="3252">
        <v>5719</v>
      </c>
      <c r="E947" s="3252">
        <v>6900</v>
      </c>
      <c r="F947" s="3252">
        <v>5979</v>
      </c>
      <c r="G947" s="1698"/>
    </row>
    <row r="948" spans="1:7" ht="15.75">
      <c r="A948" s="3252">
        <v>44200</v>
      </c>
      <c r="B948" s="3252">
        <v>44250</v>
      </c>
      <c r="C948" s="3252">
        <v>6913</v>
      </c>
      <c r="D948" s="3252">
        <v>5726</v>
      </c>
      <c r="E948" s="3252">
        <v>6913</v>
      </c>
      <c r="F948" s="3252">
        <v>5986</v>
      </c>
      <c r="G948" s="1698"/>
    </row>
    <row r="949" spans="1:7" ht="15.75">
      <c r="A949" s="3252">
        <v>44250</v>
      </c>
      <c r="B949" s="3252">
        <v>44300</v>
      </c>
      <c r="C949" s="3252">
        <v>6925</v>
      </c>
      <c r="D949" s="3252">
        <v>5734</v>
      </c>
      <c r="E949" s="3252">
        <v>6925</v>
      </c>
      <c r="F949" s="3252">
        <v>5994</v>
      </c>
      <c r="G949" s="1698"/>
    </row>
    <row r="950" spans="1:7" ht="15.75">
      <c r="A950" s="3252">
        <v>44300</v>
      </c>
      <c r="B950" s="3252">
        <v>44350</v>
      </c>
      <c r="C950" s="3252">
        <v>6938</v>
      </c>
      <c r="D950" s="3252">
        <v>5741</v>
      </c>
      <c r="E950" s="3252">
        <v>6938</v>
      </c>
      <c r="F950" s="3252">
        <v>6001</v>
      </c>
      <c r="G950" s="1698"/>
    </row>
    <row r="951" spans="1:7" ht="15.75">
      <c r="A951" s="3252">
        <v>44350</v>
      </c>
      <c r="B951" s="3252">
        <v>44400</v>
      </c>
      <c r="C951" s="3252">
        <v>6950</v>
      </c>
      <c r="D951" s="3252">
        <v>5749</v>
      </c>
      <c r="E951" s="3252">
        <v>6950</v>
      </c>
      <c r="F951" s="3252">
        <v>6009</v>
      </c>
      <c r="G951" s="1698"/>
    </row>
    <row r="952" spans="1:7" ht="15.75">
      <c r="A952" s="3252">
        <v>44400</v>
      </c>
      <c r="B952" s="3252">
        <v>44450</v>
      </c>
      <c r="C952" s="3252">
        <v>6963</v>
      </c>
      <c r="D952" s="3252">
        <v>5756</v>
      </c>
      <c r="E952" s="3252">
        <v>6963</v>
      </c>
      <c r="F952" s="3252">
        <v>6016</v>
      </c>
      <c r="G952" s="1698"/>
    </row>
    <row r="953" spans="1:7" ht="15.75">
      <c r="A953" s="3252">
        <v>44450</v>
      </c>
      <c r="B953" s="3252">
        <v>44500</v>
      </c>
      <c r="C953" s="3252">
        <v>6975</v>
      </c>
      <c r="D953" s="3252">
        <v>5764</v>
      </c>
      <c r="E953" s="3252">
        <v>6975</v>
      </c>
      <c r="F953" s="3252">
        <v>6024</v>
      </c>
      <c r="G953" s="1698"/>
    </row>
    <row r="954" spans="1:7" ht="15.75">
      <c r="A954" s="3252">
        <v>44500</v>
      </c>
      <c r="B954" s="3252">
        <v>44550</v>
      </c>
      <c r="C954" s="3252">
        <v>6988</v>
      </c>
      <c r="D954" s="3252">
        <v>5771</v>
      </c>
      <c r="E954" s="3252">
        <v>6988</v>
      </c>
      <c r="F954" s="3252">
        <v>6031</v>
      </c>
      <c r="G954" s="1698"/>
    </row>
    <row r="955" spans="1:7" ht="15.75">
      <c r="A955" s="3252">
        <v>44550</v>
      </c>
      <c r="B955" s="3252">
        <v>44600</v>
      </c>
      <c r="C955" s="3252">
        <v>7000</v>
      </c>
      <c r="D955" s="3252">
        <v>5779</v>
      </c>
      <c r="E955" s="3252">
        <v>7000</v>
      </c>
      <c r="F955" s="3252">
        <v>6039</v>
      </c>
      <c r="G955" s="1698"/>
    </row>
    <row r="956" spans="1:7" ht="15.75">
      <c r="A956" s="3252">
        <v>44600</v>
      </c>
      <c r="B956" s="3252">
        <v>44650</v>
      </c>
      <c r="C956" s="3252">
        <v>7013</v>
      </c>
      <c r="D956" s="3252">
        <v>5786</v>
      </c>
      <c r="E956" s="3252">
        <v>7013</v>
      </c>
      <c r="F956" s="3252">
        <v>6046</v>
      </c>
      <c r="G956" s="1698"/>
    </row>
    <row r="957" spans="1:7" ht="15.75">
      <c r="A957" s="3252">
        <v>44650</v>
      </c>
      <c r="B957" s="3252">
        <v>44700</v>
      </c>
      <c r="C957" s="3252">
        <v>7025</v>
      </c>
      <c r="D957" s="3252">
        <v>5794</v>
      </c>
      <c r="E957" s="3252">
        <v>7025</v>
      </c>
      <c r="F957" s="3252">
        <v>6054</v>
      </c>
      <c r="G957" s="1698"/>
    </row>
    <row r="958" spans="1:7" ht="15.75">
      <c r="A958" s="3252">
        <v>44700</v>
      </c>
      <c r="B958" s="3252">
        <v>44750</v>
      </c>
      <c r="C958" s="3252">
        <v>7038</v>
      </c>
      <c r="D958" s="3252">
        <v>5801</v>
      </c>
      <c r="E958" s="3252">
        <v>7038</v>
      </c>
      <c r="F958" s="3252">
        <v>6061</v>
      </c>
      <c r="G958" s="1698"/>
    </row>
    <row r="959" spans="1:7" ht="15.75">
      <c r="A959" s="3252">
        <v>44750</v>
      </c>
      <c r="B959" s="3252">
        <v>44800</v>
      </c>
      <c r="C959" s="3252">
        <v>7050</v>
      </c>
      <c r="D959" s="3252">
        <v>5809</v>
      </c>
      <c r="E959" s="3252">
        <v>7050</v>
      </c>
      <c r="F959" s="3252">
        <v>6069</v>
      </c>
      <c r="G959" s="1698"/>
    </row>
    <row r="960" spans="1:7" ht="15.75">
      <c r="A960" s="3252">
        <v>44800</v>
      </c>
      <c r="B960" s="3252">
        <v>44850</v>
      </c>
      <c r="C960" s="3252">
        <v>7063</v>
      </c>
      <c r="D960" s="3252">
        <v>5816</v>
      </c>
      <c r="E960" s="3252">
        <v>7063</v>
      </c>
      <c r="F960" s="3252">
        <v>6076</v>
      </c>
      <c r="G960" s="1698"/>
    </row>
    <row r="961" spans="1:7" ht="15.75">
      <c r="A961" s="3252">
        <v>44850</v>
      </c>
      <c r="B961" s="3252">
        <v>44900</v>
      </c>
      <c r="C961" s="3252">
        <v>7075</v>
      </c>
      <c r="D961" s="3252">
        <v>5824</v>
      </c>
      <c r="E961" s="3252">
        <v>7075</v>
      </c>
      <c r="F961" s="3252">
        <v>6084</v>
      </c>
      <c r="G961" s="1698"/>
    </row>
    <row r="962" spans="1:7" ht="15.75">
      <c r="A962" s="3252">
        <v>44900</v>
      </c>
      <c r="B962" s="3252">
        <v>44950</v>
      </c>
      <c r="C962" s="3252">
        <v>7088</v>
      </c>
      <c r="D962" s="3252">
        <v>5831</v>
      </c>
      <c r="E962" s="3252">
        <v>7088</v>
      </c>
      <c r="F962" s="3252">
        <v>6091</v>
      </c>
      <c r="G962" s="1698"/>
    </row>
    <row r="963" spans="1:7" ht="15.75">
      <c r="A963" s="3252">
        <v>44950</v>
      </c>
      <c r="B963" s="3252">
        <v>45000</v>
      </c>
      <c r="C963" s="3252">
        <v>7100</v>
      </c>
      <c r="D963" s="3252">
        <v>5839</v>
      </c>
      <c r="E963" s="3252">
        <v>7100</v>
      </c>
      <c r="F963" s="3252">
        <v>6099</v>
      </c>
      <c r="G963" s="1698"/>
    </row>
    <row r="964" spans="1:7" ht="15.75">
      <c r="A964" s="3252">
        <v>45000</v>
      </c>
      <c r="B964" s="3252">
        <v>45050</v>
      </c>
      <c r="C964" s="3252">
        <v>7113</v>
      </c>
      <c r="D964" s="3252">
        <v>5846</v>
      </c>
      <c r="E964" s="3252">
        <v>7113</v>
      </c>
      <c r="F964" s="3252">
        <v>6106</v>
      </c>
      <c r="G964" s="1698"/>
    </row>
    <row r="965" spans="1:7" ht="15.75">
      <c r="A965" s="3252">
        <v>45050</v>
      </c>
      <c r="B965" s="3252">
        <v>45100</v>
      </c>
      <c r="C965" s="3252">
        <v>7125</v>
      </c>
      <c r="D965" s="3252">
        <v>5854</v>
      </c>
      <c r="E965" s="3252">
        <v>7125</v>
      </c>
      <c r="F965" s="3252">
        <v>6114</v>
      </c>
      <c r="G965" s="1698"/>
    </row>
    <row r="966" spans="1:7" ht="15.75">
      <c r="A966" s="3252">
        <v>45100</v>
      </c>
      <c r="B966" s="3252">
        <v>45150</v>
      </c>
      <c r="C966" s="3252">
        <v>7138</v>
      </c>
      <c r="D966" s="3252">
        <v>5861</v>
      </c>
      <c r="E966" s="3252">
        <v>7138</v>
      </c>
      <c r="F966" s="3252">
        <v>6121</v>
      </c>
      <c r="G966" s="1698"/>
    </row>
    <row r="967" spans="1:7" ht="15.75">
      <c r="A967" s="3252">
        <v>45150</v>
      </c>
      <c r="B967" s="3252">
        <v>45200</v>
      </c>
      <c r="C967" s="3252">
        <v>7150</v>
      </c>
      <c r="D967" s="3252">
        <v>5869</v>
      </c>
      <c r="E967" s="3252">
        <v>7150</v>
      </c>
      <c r="F967" s="3252">
        <v>6129</v>
      </c>
      <c r="G967" s="1698"/>
    </row>
    <row r="968" spans="1:7" ht="15.75">
      <c r="A968" s="3252">
        <v>45200</v>
      </c>
      <c r="B968" s="3252">
        <v>45250</v>
      </c>
      <c r="C968" s="3252">
        <v>7163</v>
      </c>
      <c r="D968" s="3252">
        <v>5876</v>
      </c>
      <c r="E968" s="3252">
        <v>7163</v>
      </c>
      <c r="F968" s="3252">
        <v>6136</v>
      </c>
      <c r="G968" s="1698"/>
    </row>
    <row r="969" spans="1:7" ht="15.75">
      <c r="A969" s="3252">
        <v>45250</v>
      </c>
      <c r="B969" s="3252">
        <v>45300</v>
      </c>
      <c r="C969" s="3252">
        <v>7175</v>
      </c>
      <c r="D969" s="3252">
        <v>5884</v>
      </c>
      <c r="E969" s="3252">
        <v>7175</v>
      </c>
      <c r="F969" s="3252">
        <v>6144</v>
      </c>
      <c r="G969" s="1698"/>
    </row>
    <row r="970" spans="1:7" ht="15.75">
      <c r="A970" s="3252">
        <v>45300</v>
      </c>
      <c r="B970" s="3252">
        <v>45350</v>
      </c>
      <c r="C970" s="3252">
        <v>7188</v>
      </c>
      <c r="D970" s="3252">
        <v>5891</v>
      </c>
      <c r="E970" s="3252">
        <v>7188</v>
      </c>
      <c r="F970" s="3252">
        <v>6151</v>
      </c>
      <c r="G970" s="1698"/>
    </row>
    <row r="971" spans="1:7" ht="15.75">
      <c r="A971" s="3252">
        <v>45350</v>
      </c>
      <c r="B971" s="3252">
        <v>45400</v>
      </c>
      <c r="C971" s="3252">
        <v>7200</v>
      </c>
      <c r="D971" s="3252">
        <v>5899</v>
      </c>
      <c r="E971" s="3252">
        <v>7200</v>
      </c>
      <c r="F971" s="3252">
        <v>6159</v>
      </c>
      <c r="G971" s="1698"/>
    </row>
    <row r="972" spans="1:7" ht="15.75">
      <c r="A972" s="3252">
        <v>45400</v>
      </c>
      <c r="B972" s="3252">
        <v>45450</v>
      </c>
      <c r="C972" s="3252">
        <v>7213</v>
      </c>
      <c r="D972" s="3252">
        <v>5906</v>
      </c>
      <c r="E972" s="3252">
        <v>7213</v>
      </c>
      <c r="F972" s="3252">
        <v>6166</v>
      </c>
      <c r="G972" s="1698"/>
    </row>
    <row r="973" spans="1:7" ht="15.75">
      <c r="A973" s="3252">
        <v>45450</v>
      </c>
      <c r="B973" s="3252">
        <v>45500</v>
      </c>
      <c r="C973" s="3252">
        <v>7225</v>
      </c>
      <c r="D973" s="3252">
        <v>5914</v>
      </c>
      <c r="E973" s="3252">
        <v>7225</v>
      </c>
      <c r="F973" s="3252">
        <v>6174</v>
      </c>
      <c r="G973" s="1698"/>
    </row>
    <row r="974" spans="1:7" ht="15.75">
      <c r="A974" s="3252">
        <v>45500</v>
      </c>
      <c r="B974" s="3252">
        <v>45550</v>
      </c>
      <c r="C974" s="3252">
        <v>7238</v>
      </c>
      <c r="D974" s="3252">
        <v>5921</v>
      </c>
      <c r="E974" s="3252">
        <v>7238</v>
      </c>
      <c r="F974" s="3252">
        <v>6181</v>
      </c>
      <c r="G974" s="1698"/>
    </row>
    <row r="975" spans="1:7" ht="15.75">
      <c r="A975" s="3252">
        <v>45550</v>
      </c>
      <c r="B975" s="3252">
        <v>45600</v>
      </c>
      <c r="C975" s="3252">
        <v>7250</v>
      </c>
      <c r="D975" s="3252">
        <v>5929</v>
      </c>
      <c r="E975" s="3252">
        <v>7250</v>
      </c>
      <c r="F975" s="3252">
        <v>6189</v>
      </c>
      <c r="G975" s="1698"/>
    </row>
    <row r="976" spans="1:7" ht="15.75">
      <c r="A976" s="3252">
        <v>45600</v>
      </c>
      <c r="B976" s="3252">
        <v>45650</v>
      </c>
      <c r="C976" s="3252">
        <v>7263</v>
      </c>
      <c r="D976" s="3252">
        <v>5936</v>
      </c>
      <c r="E976" s="3252">
        <v>7263</v>
      </c>
      <c r="F976" s="3252">
        <v>6196</v>
      </c>
      <c r="G976" s="1698"/>
    </row>
    <row r="977" spans="1:7" ht="15.75">
      <c r="A977" s="3252">
        <v>45650</v>
      </c>
      <c r="B977" s="3252">
        <v>45700</v>
      </c>
      <c r="C977" s="3252">
        <v>7275</v>
      </c>
      <c r="D977" s="3252">
        <v>5944</v>
      </c>
      <c r="E977" s="3252">
        <v>7275</v>
      </c>
      <c r="F977" s="3252">
        <v>6204</v>
      </c>
      <c r="G977" s="1698"/>
    </row>
    <row r="978" spans="1:7" ht="15.75">
      <c r="A978" s="3252">
        <v>45700</v>
      </c>
      <c r="B978" s="3252">
        <v>45750</v>
      </c>
      <c r="C978" s="3252">
        <v>7288</v>
      </c>
      <c r="D978" s="3252">
        <v>5951</v>
      </c>
      <c r="E978" s="3252">
        <v>7288</v>
      </c>
      <c r="F978" s="3252">
        <v>6211</v>
      </c>
      <c r="G978" s="1698"/>
    </row>
    <row r="979" spans="1:7" ht="15.75">
      <c r="A979" s="3252">
        <v>45750</v>
      </c>
      <c r="B979" s="3252">
        <v>45800</v>
      </c>
      <c r="C979" s="3252">
        <v>7300</v>
      </c>
      <c r="D979" s="3252">
        <v>5959</v>
      </c>
      <c r="E979" s="3252">
        <v>7300</v>
      </c>
      <c r="F979" s="3252">
        <v>6219</v>
      </c>
      <c r="G979" s="1698"/>
    </row>
    <row r="980" spans="1:7" ht="15.75">
      <c r="A980" s="3252">
        <v>45800</v>
      </c>
      <c r="B980" s="3252">
        <v>45850</v>
      </c>
      <c r="C980" s="3252">
        <v>7313</v>
      </c>
      <c r="D980" s="3252">
        <v>5966</v>
      </c>
      <c r="E980" s="3252">
        <v>7313</v>
      </c>
      <c r="F980" s="3252">
        <v>6226</v>
      </c>
      <c r="G980" s="1698"/>
    </row>
    <row r="981" spans="1:7" ht="15.75">
      <c r="A981" s="3252">
        <v>45850</v>
      </c>
      <c r="B981" s="3252">
        <v>45900</v>
      </c>
      <c r="C981" s="3252">
        <v>7325</v>
      </c>
      <c r="D981" s="3252">
        <v>5974</v>
      </c>
      <c r="E981" s="3252">
        <v>7325</v>
      </c>
      <c r="F981" s="3252">
        <v>6234</v>
      </c>
      <c r="G981" s="1698"/>
    </row>
    <row r="982" spans="1:7" ht="15.75">
      <c r="A982" s="3252">
        <v>45900</v>
      </c>
      <c r="B982" s="3252">
        <v>45950</v>
      </c>
      <c r="C982" s="3252">
        <v>7338</v>
      </c>
      <c r="D982" s="3252">
        <v>5981</v>
      </c>
      <c r="E982" s="3252">
        <v>7338</v>
      </c>
      <c r="F982" s="3252">
        <v>6241</v>
      </c>
      <c r="G982" s="1698"/>
    </row>
    <row r="983" spans="1:7" ht="15.75">
      <c r="A983" s="3252">
        <v>45950</v>
      </c>
      <c r="B983" s="3252">
        <v>46000</v>
      </c>
      <c r="C983" s="3252">
        <v>7350</v>
      </c>
      <c r="D983" s="3252">
        <v>5989</v>
      </c>
      <c r="E983" s="3252">
        <v>7350</v>
      </c>
      <c r="F983" s="3252">
        <v>6249</v>
      </c>
      <c r="G983" s="1698"/>
    </row>
    <row r="984" spans="1:7" ht="15.75">
      <c r="A984" s="3252">
        <v>46000</v>
      </c>
      <c r="B984" s="3252">
        <v>46050</v>
      </c>
      <c r="C984" s="3252">
        <v>7363</v>
      </c>
      <c r="D984" s="3252">
        <v>5996</v>
      </c>
      <c r="E984" s="3252">
        <v>7363</v>
      </c>
      <c r="F984" s="3252">
        <v>6256</v>
      </c>
      <c r="G984" s="1698"/>
    </row>
    <row r="985" spans="1:7" ht="15.75">
      <c r="A985" s="3252">
        <v>46050</v>
      </c>
      <c r="B985" s="3252">
        <v>46100</v>
      </c>
      <c r="C985" s="3252">
        <v>7375</v>
      </c>
      <c r="D985" s="3252">
        <v>6004</v>
      </c>
      <c r="E985" s="3252">
        <v>7375</v>
      </c>
      <c r="F985" s="3252">
        <v>6264</v>
      </c>
      <c r="G985" s="1698"/>
    </row>
    <row r="986" spans="1:7" ht="15.75">
      <c r="A986" s="3252">
        <v>46100</v>
      </c>
      <c r="B986" s="3252">
        <v>46150</v>
      </c>
      <c r="C986" s="3252">
        <v>7388</v>
      </c>
      <c r="D986" s="3252">
        <v>6011</v>
      </c>
      <c r="E986" s="3252">
        <v>7388</v>
      </c>
      <c r="F986" s="3252">
        <v>6271</v>
      </c>
      <c r="G986" s="1698"/>
    </row>
    <row r="987" spans="1:7" ht="15.75">
      <c r="A987" s="3252">
        <v>46150</v>
      </c>
      <c r="B987" s="3252">
        <v>46200</v>
      </c>
      <c r="C987" s="3252">
        <v>7400</v>
      </c>
      <c r="D987" s="3252">
        <v>6019</v>
      </c>
      <c r="E987" s="3252">
        <v>7400</v>
      </c>
      <c r="F987" s="3252">
        <v>6279</v>
      </c>
      <c r="G987" s="1698"/>
    </row>
    <row r="988" spans="1:7" ht="15.75">
      <c r="A988" s="3252">
        <v>46200</v>
      </c>
      <c r="B988" s="3252">
        <v>46250</v>
      </c>
      <c r="C988" s="3252">
        <v>7413</v>
      </c>
      <c r="D988" s="3252">
        <v>6026</v>
      </c>
      <c r="E988" s="3252">
        <v>7413</v>
      </c>
      <c r="F988" s="3252">
        <v>6286</v>
      </c>
      <c r="G988" s="1698"/>
    </row>
    <row r="989" spans="1:7" ht="15.75">
      <c r="A989" s="3252">
        <v>46250</v>
      </c>
      <c r="B989" s="3252">
        <v>46300</v>
      </c>
      <c r="C989" s="3252">
        <v>7425</v>
      </c>
      <c r="D989" s="3252">
        <v>6034</v>
      </c>
      <c r="E989" s="3252">
        <v>7425</v>
      </c>
      <c r="F989" s="3252">
        <v>6294</v>
      </c>
      <c r="G989" s="1698"/>
    </row>
    <row r="990" spans="1:7" ht="15.75">
      <c r="A990" s="3252">
        <v>46300</v>
      </c>
      <c r="B990" s="3252">
        <v>46350</v>
      </c>
      <c r="C990" s="3252">
        <v>7438</v>
      </c>
      <c r="D990" s="3252">
        <v>6041</v>
      </c>
      <c r="E990" s="3252">
        <v>7438</v>
      </c>
      <c r="F990" s="3252">
        <v>6301</v>
      </c>
      <c r="G990" s="1698"/>
    </row>
    <row r="991" spans="1:7" ht="15.75">
      <c r="A991" s="3252">
        <v>46350</v>
      </c>
      <c r="B991" s="3252">
        <v>46400</v>
      </c>
      <c r="C991" s="3252">
        <v>7450</v>
      </c>
      <c r="D991" s="3252">
        <v>6049</v>
      </c>
      <c r="E991" s="3252">
        <v>7450</v>
      </c>
      <c r="F991" s="3252">
        <v>6309</v>
      </c>
      <c r="G991" s="1698"/>
    </row>
    <row r="992" spans="1:7" ht="15.75">
      <c r="A992" s="3252">
        <v>46400</v>
      </c>
      <c r="B992" s="3252">
        <v>46450</v>
      </c>
      <c r="C992" s="3252">
        <v>7463</v>
      </c>
      <c r="D992" s="3252">
        <v>6056</v>
      </c>
      <c r="E992" s="3252">
        <v>7463</v>
      </c>
      <c r="F992" s="3252">
        <v>6316</v>
      </c>
      <c r="G992" s="1698"/>
    </row>
    <row r="993" spans="1:7" ht="15.75">
      <c r="A993" s="3252">
        <v>46450</v>
      </c>
      <c r="B993" s="3252">
        <v>46500</v>
      </c>
      <c r="C993" s="3252">
        <v>7475</v>
      </c>
      <c r="D993" s="3252">
        <v>6064</v>
      </c>
      <c r="E993" s="3252">
        <v>7475</v>
      </c>
      <c r="F993" s="3252">
        <v>6324</v>
      </c>
      <c r="G993" s="1698"/>
    </row>
    <row r="994" spans="1:7" ht="15.75">
      <c r="A994" s="3252">
        <v>46500</v>
      </c>
      <c r="B994" s="3252">
        <v>46550</v>
      </c>
      <c r="C994" s="3252">
        <v>7488</v>
      </c>
      <c r="D994" s="3252">
        <v>6071</v>
      </c>
      <c r="E994" s="3252">
        <v>7488</v>
      </c>
      <c r="F994" s="3252">
        <v>6331</v>
      </c>
      <c r="G994" s="1698"/>
    </row>
    <row r="995" spans="1:7" ht="15.75">
      <c r="A995" s="3252">
        <v>46550</v>
      </c>
      <c r="B995" s="3252">
        <v>46600</v>
      </c>
      <c r="C995" s="3252">
        <v>7500</v>
      </c>
      <c r="D995" s="3252">
        <v>6079</v>
      </c>
      <c r="E995" s="3252">
        <v>7500</v>
      </c>
      <c r="F995" s="3252">
        <v>6339</v>
      </c>
      <c r="G995" s="1698"/>
    </row>
    <row r="996" spans="1:7" ht="15.75">
      <c r="A996" s="3252">
        <v>46600</v>
      </c>
      <c r="B996" s="3252">
        <v>46650</v>
      </c>
      <c r="C996" s="3252">
        <v>7513</v>
      </c>
      <c r="D996" s="3252">
        <v>6086</v>
      </c>
      <c r="E996" s="3252">
        <v>7513</v>
      </c>
      <c r="F996" s="3252">
        <v>6346</v>
      </c>
      <c r="G996" s="1698"/>
    </row>
    <row r="997" spans="1:7" ht="15.75">
      <c r="A997" s="3252">
        <v>46650</v>
      </c>
      <c r="B997" s="3252">
        <v>46700</v>
      </c>
      <c r="C997" s="3252">
        <v>7525</v>
      </c>
      <c r="D997" s="3252">
        <v>6094</v>
      </c>
      <c r="E997" s="3252">
        <v>7525</v>
      </c>
      <c r="F997" s="3252">
        <v>6354</v>
      </c>
      <c r="G997" s="1698"/>
    </row>
    <row r="998" spans="1:7" ht="15.75">
      <c r="A998" s="3252">
        <v>46700</v>
      </c>
      <c r="B998" s="3252">
        <v>46750</v>
      </c>
      <c r="C998" s="3252">
        <v>7538</v>
      </c>
      <c r="D998" s="3252">
        <v>6101</v>
      </c>
      <c r="E998" s="3252">
        <v>7538</v>
      </c>
      <c r="F998" s="3252">
        <v>6361</v>
      </c>
      <c r="G998" s="1698"/>
    </row>
    <row r="999" spans="1:7" ht="15.75">
      <c r="A999" s="3252">
        <v>46750</v>
      </c>
      <c r="B999" s="3252">
        <v>46800</v>
      </c>
      <c r="C999" s="3252">
        <v>7550</v>
      </c>
      <c r="D999" s="3252">
        <v>6109</v>
      </c>
      <c r="E999" s="3252">
        <v>7550</v>
      </c>
      <c r="F999" s="3252">
        <v>6369</v>
      </c>
      <c r="G999" s="1698"/>
    </row>
    <row r="1000" spans="1:7" ht="15.75">
      <c r="A1000" s="3252">
        <v>46800</v>
      </c>
      <c r="B1000" s="3252">
        <v>46850</v>
      </c>
      <c r="C1000" s="3252">
        <v>7563</v>
      </c>
      <c r="D1000" s="3252">
        <v>6116</v>
      </c>
      <c r="E1000" s="3252">
        <v>7563</v>
      </c>
      <c r="F1000" s="3252">
        <v>6376</v>
      </c>
      <c r="G1000" s="1698"/>
    </row>
    <row r="1001" spans="1:7" ht="15.75">
      <c r="A1001" s="3252">
        <v>46850</v>
      </c>
      <c r="B1001" s="3252">
        <v>46900</v>
      </c>
      <c r="C1001" s="3252">
        <v>7575</v>
      </c>
      <c r="D1001" s="3252">
        <v>6124</v>
      </c>
      <c r="E1001" s="3252">
        <v>7575</v>
      </c>
      <c r="F1001" s="3252">
        <v>6384</v>
      </c>
      <c r="G1001" s="1698"/>
    </row>
    <row r="1002" spans="1:7" ht="15.75">
      <c r="A1002" s="3252">
        <v>46900</v>
      </c>
      <c r="B1002" s="3252">
        <v>46950</v>
      </c>
      <c r="C1002" s="3252">
        <v>7588</v>
      </c>
      <c r="D1002" s="3252">
        <v>6131</v>
      </c>
      <c r="E1002" s="3252">
        <v>7588</v>
      </c>
      <c r="F1002" s="3252">
        <v>6391</v>
      </c>
      <c r="G1002" s="1698"/>
    </row>
    <row r="1003" spans="1:7" ht="15.75">
      <c r="A1003" s="3252">
        <v>46950</v>
      </c>
      <c r="B1003" s="3252">
        <v>47000</v>
      </c>
      <c r="C1003" s="3252">
        <v>7600</v>
      </c>
      <c r="D1003" s="3252">
        <v>6139</v>
      </c>
      <c r="E1003" s="3252">
        <v>7600</v>
      </c>
      <c r="F1003" s="3252">
        <v>6399</v>
      </c>
      <c r="G1003" s="1698"/>
    </row>
    <row r="1004" spans="1:7" ht="15.75">
      <c r="A1004" s="3252">
        <v>47000</v>
      </c>
      <c r="B1004" s="3252">
        <v>47050</v>
      </c>
      <c r="C1004" s="3252">
        <v>7613</v>
      </c>
      <c r="D1004" s="3252">
        <v>6146</v>
      </c>
      <c r="E1004" s="3252">
        <v>7613</v>
      </c>
      <c r="F1004" s="3252">
        <v>6406</v>
      </c>
      <c r="G1004" s="1698"/>
    </row>
    <row r="1005" spans="1:7" ht="15.75">
      <c r="A1005" s="3252">
        <v>47050</v>
      </c>
      <c r="B1005" s="3252">
        <v>47100</v>
      </c>
      <c r="C1005" s="3252">
        <v>7625</v>
      </c>
      <c r="D1005" s="3252">
        <v>6154</v>
      </c>
      <c r="E1005" s="3252">
        <v>7625</v>
      </c>
      <c r="F1005" s="3252">
        <v>6414</v>
      </c>
      <c r="G1005" s="1698"/>
    </row>
    <row r="1006" spans="1:7" ht="15.75">
      <c r="A1006" s="3252">
        <v>47100</v>
      </c>
      <c r="B1006" s="3252">
        <v>47150</v>
      </c>
      <c r="C1006" s="3252">
        <v>7638</v>
      </c>
      <c r="D1006" s="3252">
        <v>6161</v>
      </c>
      <c r="E1006" s="3252">
        <v>7638</v>
      </c>
      <c r="F1006" s="3252">
        <v>6421</v>
      </c>
      <c r="G1006" s="1698"/>
    </row>
    <row r="1007" spans="1:7" ht="15.75">
      <c r="A1007" s="3252">
        <v>47150</v>
      </c>
      <c r="B1007" s="3252">
        <v>47200</v>
      </c>
      <c r="C1007" s="3252">
        <v>7650</v>
      </c>
      <c r="D1007" s="3252">
        <v>6169</v>
      </c>
      <c r="E1007" s="3252">
        <v>7650</v>
      </c>
      <c r="F1007" s="3252">
        <v>6429</v>
      </c>
      <c r="G1007" s="1698"/>
    </row>
    <row r="1008" spans="1:7" ht="15.75">
      <c r="A1008" s="3252">
        <v>47200</v>
      </c>
      <c r="B1008" s="3252">
        <v>47250</v>
      </c>
      <c r="C1008" s="3252">
        <v>7663</v>
      </c>
      <c r="D1008" s="3252">
        <v>6176</v>
      </c>
      <c r="E1008" s="3252">
        <v>7663</v>
      </c>
      <c r="F1008" s="3252">
        <v>6436</v>
      </c>
      <c r="G1008" s="1698"/>
    </row>
    <row r="1009" spans="1:7" ht="15.75">
      <c r="A1009" s="3252">
        <v>47250</v>
      </c>
      <c r="B1009" s="3252">
        <v>47300</v>
      </c>
      <c r="C1009" s="3252">
        <v>7675</v>
      </c>
      <c r="D1009" s="3252">
        <v>6184</v>
      </c>
      <c r="E1009" s="3252">
        <v>7675</v>
      </c>
      <c r="F1009" s="3252">
        <v>6444</v>
      </c>
      <c r="G1009" s="1698"/>
    </row>
    <row r="1010" spans="1:7" ht="15.75">
      <c r="A1010" s="3252">
        <v>47300</v>
      </c>
      <c r="B1010" s="3252">
        <v>47350</v>
      </c>
      <c r="C1010" s="3252">
        <v>7688</v>
      </c>
      <c r="D1010" s="3252">
        <v>6191</v>
      </c>
      <c r="E1010" s="3252">
        <v>7688</v>
      </c>
      <c r="F1010" s="3252">
        <v>6451</v>
      </c>
      <c r="G1010" s="1698"/>
    </row>
    <row r="1011" spans="1:7" ht="15.75">
      <c r="A1011" s="3252">
        <v>47350</v>
      </c>
      <c r="B1011" s="3252">
        <v>47400</v>
      </c>
      <c r="C1011" s="3252">
        <v>7700</v>
      </c>
      <c r="D1011" s="3252">
        <v>6199</v>
      </c>
      <c r="E1011" s="3252">
        <v>7700</v>
      </c>
      <c r="F1011" s="3252">
        <v>6459</v>
      </c>
      <c r="G1011" s="1698"/>
    </row>
    <row r="1012" spans="1:7" ht="15.75">
      <c r="A1012" s="3252">
        <v>47400</v>
      </c>
      <c r="B1012" s="3252">
        <v>47450</v>
      </c>
      <c r="C1012" s="3252">
        <v>7713</v>
      </c>
      <c r="D1012" s="3252">
        <v>6206</v>
      </c>
      <c r="E1012" s="3252">
        <v>7713</v>
      </c>
      <c r="F1012" s="3252">
        <v>6466</v>
      </c>
      <c r="G1012" s="1698"/>
    </row>
    <row r="1013" spans="1:7" ht="15.75">
      <c r="A1013" s="3252">
        <v>47450</v>
      </c>
      <c r="B1013" s="3252">
        <v>47500</v>
      </c>
      <c r="C1013" s="3252">
        <v>7725</v>
      </c>
      <c r="D1013" s="3252">
        <v>6214</v>
      </c>
      <c r="E1013" s="3252">
        <v>7725</v>
      </c>
      <c r="F1013" s="3252">
        <v>6474</v>
      </c>
      <c r="G1013" s="1698"/>
    </row>
    <row r="1014" spans="1:7" ht="15.75">
      <c r="A1014" s="3252">
        <v>47500</v>
      </c>
      <c r="B1014" s="3252">
        <v>47550</v>
      </c>
      <c r="C1014" s="3252">
        <v>7738</v>
      </c>
      <c r="D1014" s="3252">
        <v>6221</v>
      </c>
      <c r="E1014" s="3252">
        <v>7738</v>
      </c>
      <c r="F1014" s="3252">
        <v>6481</v>
      </c>
      <c r="G1014" s="1698"/>
    </row>
    <row r="1015" spans="1:7" ht="15.75">
      <c r="A1015" s="3252">
        <v>47550</v>
      </c>
      <c r="B1015" s="3252">
        <v>47600</v>
      </c>
      <c r="C1015" s="3252">
        <v>7750</v>
      </c>
      <c r="D1015" s="3252">
        <v>6229</v>
      </c>
      <c r="E1015" s="3252">
        <v>7750</v>
      </c>
      <c r="F1015" s="3252">
        <v>6489</v>
      </c>
      <c r="G1015" s="1698"/>
    </row>
    <row r="1016" spans="1:7" ht="15.75">
      <c r="A1016" s="3252">
        <v>47600</v>
      </c>
      <c r="B1016" s="3252">
        <v>47650</v>
      </c>
      <c r="C1016" s="3252">
        <v>7763</v>
      </c>
      <c r="D1016" s="3252">
        <v>6236</v>
      </c>
      <c r="E1016" s="3252">
        <v>7763</v>
      </c>
      <c r="F1016" s="3252">
        <v>6496</v>
      </c>
      <c r="G1016" s="1698"/>
    </row>
    <row r="1017" spans="1:7" ht="15.75">
      <c r="A1017" s="3252">
        <v>47650</v>
      </c>
      <c r="B1017" s="3252">
        <v>47700</v>
      </c>
      <c r="C1017" s="3252">
        <v>7775</v>
      </c>
      <c r="D1017" s="3252">
        <v>6244</v>
      </c>
      <c r="E1017" s="3252">
        <v>7775</v>
      </c>
      <c r="F1017" s="3252">
        <v>6504</v>
      </c>
      <c r="G1017" s="1698"/>
    </row>
    <row r="1018" spans="1:7" ht="15.75">
      <c r="A1018" s="3252">
        <v>47700</v>
      </c>
      <c r="B1018" s="3252">
        <v>47750</v>
      </c>
      <c r="C1018" s="3252">
        <v>7788</v>
      </c>
      <c r="D1018" s="3252">
        <v>6251</v>
      </c>
      <c r="E1018" s="3252">
        <v>7788</v>
      </c>
      <c r="F1018" s="3252">
        <v>6511</v>
      </c>
      <c r="G1018" s="1698"/>
    </row>
    <row r="1019" spans="1:7" ht="15.75">
      <c r="A1019" s="3252">
        <v>47750</v>
      </c>
      <c r="B1019" s="3252">
        <v>47800</v>
      </c>
      <c r="C1019" s="3252">
        <v>7800</v>
      </c>
      <c r="D1019" s="3252">
        <v>6259</v>
      </c>
      <c r="E1019" s="3252">
        <v>7800</v>
      </c>
      <c r="F1019" s="3252">
        <v>6519</v>
      </c>
      <c r="G1019" s="1698"/>
    </row>
    <row r="1020" spans="1:7" ht="15.75">
      <c r="A1020" s="3252">
        <v>47800</v>
      </c>
      <c r="B1020" s="3252">
        <v>47850</v>
      </c>
      <c r="C1020" s="3252">
        <v>7813</v>
      </c>
      <c r="D1020" s="3252">
        <v>6266</v>
      </c>
      <c r="E1020" s="3252">
        <v>7813</v>
      </c>
      <c r="F1020" s="3252">
        <v>6526</v>
      </c>
      <c r="G1020" s="1698"/>
    </row>
    <row r="1021" spans="1:7" ht="15.75">
      <c r="A1021" s="3252">
        <v>47850</v>
      </c>
      <c r="B1021" s="3252">
        <v>47900</v>
      </c>
      <c r="C1021" s="3252">
        <v>7825</v>
      </c>
      <c r="D1021" s="3252">
        <v>6274</v>
      </c>
      <c r="E1021" s="3252">
        <v>7825</v>
      </c>
      <c r="F1021" s="3252">
        <v>6534</v>
      </c>
      <c r="G1021" s="1698"/>
    </row>
    <row r="1022" spans="1:7" ht="15.75">
      <c r="A1022" s="3252">
        <v>47900</v>
      </c>
      <c r="B1022" s="3252">
        <v>47950</v>
      </c>
      <c r="C1022" s="3252">
        <v>7838</v>
      </c>
      <c r="D1022" s="3252">
        <v>6281</v>
      </c>
      <c r="E1022" s="3252">
        <v>7838</v>
      </c>
      <c r="F1022" s="3252">
        <v>6541</v>
      </c>
      <c r="G1022" s="1698"/>
    </row>
    <row r="1023" spans="1:7" ht="15.75">
      <c r="A1023" s="3252">
        <v>47950</v>
      </c>
      <c r="B1023" s="3252">
        <v>48000</v>
      </c>
      <c r="C1023" s="3252">
        <v>7850</v>
      </c>
      <c r="D1023" s="3252">
        <v>6289</v>
      </c>
      <c r="E1023" s="3252">
        <v>7850</v>
      </c>
      <c r="F1023" s="3252">
        <v>6549</v>
      </c>
      <c r="G1023" s="1698"/>
    </row>
    <row r="1024" spans="1:7" ht="15.75">
      <c r="A1024" s="3252">
        <v>48000</v>
      </c>
      <c r="B1024" s="3252">
        <v>48050</v>
      </c>
      <c r="C1024" s="3252">
        <v>7863</v>
      </c>
      <c r="D1024" s="3252">
        <v>6296</v>
      </c>
      <c r="E1024" s="3252">
        <v>7863</v>
      </c>
      <c r="F1024" s="3252">
        <v>6556</v>
      </c>
      <c r="G1024" s="1698"/>
    </row>
    <row r="1025" spans="1:7" ht="15.75">
      <c r="A1025" s="3252">
        <v>48050</v>
      </c>
      <c r="B1025" s="3252">
        <v>48100</v>
      </c>
      <c r="C1025" s="3252">
        <v>7875</v>
      </c>
      <c r="D1025" s="3252">
        <v>6304</v>
      </c>
      <c r="E1025" s="3252">
        <v>7875</v>
      </c>
      <c r="F1025" s="3252">
        <v>6564</v>
      </c>
      <c r="G1025" s="1698"/>
    </row>
    <row r="1026" spans="1:7" ht="15.75">
      <c r="A1026" s="3252">
        <v>48100</v>
      </c>
      <c r="B1026" s="3252">
        <v>48150</v>
      </c>
      <c r="C1026" s="3252">
        <v>7888</v>
      </c>
      <c r="D1026" s="3252">
        <v>6311</v>
      </c>
      <c r="E1026" s="3252">
        <v>7888</v>
      </c>
      <c r="F1026" s="3252">
        <v>6571</v>
      </c>
      <c r="G1026" s="1698"/>
    </row>
    <row r="1027" spans="1:7" ht="15.75">
      <c r="A1027" s="3252">
        <v>48150</v>
      </c>
      <c r="B1027" s="3252">
        <v>48200</v>
      </c>
      <c r="C1027" s="3252">
        <v>7900</v>
      </c>
      <c r="D1027" s="3252">
        <v>6319</v>
      </c>
      <c r="E1027" s="3252">
        <v>7900</v>
      </c>
      <c r="F1027" s="3252">
        <v>6579</v>
      </c>
      <c r="G1027" s="1698"/>
    </row>
    <row r="1028" spans="1:7" ht="15.75">
      <c r="A1028" s="3252">
        <v>48200</v>
      </c>
      <c r="B1028" s="3252">
        <v>48250</v>
      </c>
      <c r="C1028" s="3252">
        <v>7913</v>
      </c>
      <c r="D1028" s="3252">
        <v>6326</v>
      </c>
      <c r="E1028" s="3252">
        <v>7913</v>
      </c>
      <c r="F1028" s="3252">
        <v>6586</v>
      </c>
      <c r="G1028" s="1698"/>
    </row>
    <row r="1029" spans="1:7" ht="15.75">
      <c r="A1029" s="3252">
        <v>48250</v>
      </c>
      <c r="B1029" s="3252">
        <v>48300</v>
      </c>
      <c r="C1029" s="3252">
        <v>7925</v>
      </c>
      <c r="D1029" s="3252">
        <v>6334</v>
      </c>
      <c r="E1029" s="3252">
        <v>7925</v>
      </c>
      <c r="F1029" s="3252">
        <v>6594</v>
      </c>
      <c r="G1029" s="1698"/>
    </row>
    <row r="1030" spans="1:7" ht="15.75">
      <c r="A1030" s="3252">
        <v>48300</v>
      </c>
      <c r="B1030" s="3252">
        <v>48350</v>
      </c>
      <c r="C1030" s="3252">
        <v>7938</v>
      </c>
      <c r="D1030" s="3252">
        <v>6341</v>
      </c>
      <c r="E1030" s="3252">
        <v>7938</v>
      </c>
      <c r="F1030" s="3252">
        <v>6601</v>
      </c>
      <c r="G1030" s="1698"/>
    </row>
    <row r="1031" spans="1:7" ht="15.75">
      <c r="A1031" s="3252">
        <v>48350</v>
      </c>
      <c r="B1031" s="3252">
        <v>48400</v>
      </c>
      <c r="C1031" s="3252">
        <v>7950</v>
      </c>
      <c r="D1031" s="3252">
        <v>6349</v>
      </c>
      <c r="E1031" s="3252">
        <v>7950</v>
      </c>
      <c r="F1031" s="3252">
        <v>6609</v>
      </c>
      <c r="G1031" s="1698"/>
    </row>
    <row r="1032" spans="1:7" ht="15.75">
      <c r="A1032" s="3252">
        <v>48400</v>
      </c>
      <c r="B1032" s="3252">
        <v>48450</v>
      </c>
      <c r="C1032" s="3252">
        <v>7963</v>
      </c>
      <c r="D1032" s="3252">
        <v>6356</v>
      </c>
      <c r="E1032" s="3252">
        <v>7963</v>
      </c>
      <c r="F1032" s="3252">
        <v>6616</v>
      </c>
      <c r="G1032" s="1698"/>
    </row>
    <row r="1033" spans="1:7" ht="15.75">
      <c r="A1033" s="3252">
        <v>48450</v>
      </c>
      <c r="B1033" s="3252">
        <v>48500</v>
      </c>
      <c r="C1033" s="3252">
        <v>7975</v>
      </c>
      <c r="D1033" s="3252">
        <v>6364</v>
      </c>
      <c r="E1033" s="3252">
        <v>7975</v>
      </c>
      <c r="F1033" s="3252">
        <v>6624</v>
      </c>
      <c r="G1033" s="1698"/>
    </row>
    <row r="1034" spans="1:7" ht="15.75">
      <c r="A1034" s="3252">
        <v>48500</v>
      </c>
      <c r="B1034" s="3252">
        <v>48550</v>
      </c>
      <c r="C1034" s="3252">
        <v>7988</v>
      </c>
      <c r="D1034" s="3252">
        <v>6371</v>
      </c>
      <c r="E1034" s="3252">
        <v>7988</v>
      </c>
      <c r="F1034" s="3252">
        <v>6631</v>
      </c>
      <c r="G1034" s="1698"/>
    </row>
    <row r="1035" spans="1:7" ht="15.75">
      <c r="A1035" s="3252">
        <v>48550</v>
      </c>
      <c r="B1035" s="3252">
        <v>48600</v>
      </c>
      <c r="C1035" s="3252">
        <v>8000</v>
      </c>
      <c r="D1035" s="3252">
        <v>6379</v>
      </c>
      <c r="E1035" s="3252">
        <v>8000</v>
      </c>
      <c r="F1035" s="3252">
        <v>6639</v>
      </c>
      <c r="G1035" s="1698"/>
    </row>
    <row r="1036" spans="1:7" ht="15.75">
      <c r="A1036" s="3252">
        <v>48600</v>
      </c>
      <c r="B1036" s="3252">
        <v>48650</v>
      </c>
      <c r="C1036" s="3252">
        <v>8013</v>
      </c>
      <c r="D1036" s="3252">
        <v>6386</v>
      </c>
      <c r="E1036" s="3252">
        <v>8013</v>
      </c>
      <c r="F1036" s="3252">
        <v>6646</v>
      </c>
      <c r="G1036" s="1698"/>
    </row>
    <row r="1037" spans="1:7" ht="15.75">
      <c r="A1037" s="3252">
        <v>48650</v>
      </c>
      <c r="B1037" s="3252">
        <v>48700</v>
      </c>
      <c r="C1037" s="3252">
        <v>8025</v>
      </c>
      <c r="D1037" s="3252">
        <v>6394</v>
      </c>
      <c r="E1037" s="3252">
        <v>8025</v>
      </c>
      <c r="F1037" s="3252">
        <v>6654</v>
      </c>
      <c r="G1037" s="1698"/>
    </row>
    <row r="1038" spans="1:7" ht="15.75">
      <c r="A1038" s="3252">
        <v>48700</v>
      </c>
      <c r="B1038" s="3252">
        <v>48750</v>
      </c>
      <c r="C1038" s="3252">
        <v>8038</v>
      </c>
      <c r="D1038" s="3252">
        <v>6401</v>
      </c>
      <c r="E1038" s="3252">
        <v>8038</v>
      </c>
      <c r="F1038" s="3252">
        <v>6661</v>
      </c>
      <c r="G1038" s="1698"/>
    </row>
    <row r="1039" spans="1:7" ht="15.75">
      <c r="A1039" s="3252">
        <v>48750</v>
      </c>
      <c r="B1039" s="3252">
        <v>48800</v>
      </c>
      <c r="C1039" s="3252">
        <v>8050</v>
      </c>
      <c r="D1039" s="3252">
        <v>6409</v>
      </c>
      <c r="E1039" s="3252">
        <v>8050</v>
      </c>
      <c r="F1039" s="3252">
        <v>6669</v>
      </c>
      <c r="G1039" s="1698"/>
    </row>
    <row r="1040" spans="1:7" ht="15.75">
      <c r="A1040" s="3252">
        <v>48800</v>
      </c>
      <c r="B1040" s="3252">
        <v>48850</v>
      </c>
      <c r="C1040" s="3252">
        <v>8063</v>
      </c>
      <c r="D1040" s="3252">
        <v>6416</v>
      </c>
      <c r="E1040" s="3252">
        <v>8063</v>
      </c>
      <c r="F1040" s="3252">
        <v>6676</v>
      </c>
      <c r="G1040" s="1698"/>
    </row>
    <row r="1041" spans="1:7" ht="15.75">
      <c r="A1041" s="3252">
        <v>48850</v>
      </c>
      <c r="B1041" s="3252">
        <v>48900</v>
      </c>
      <c r="C1041" s="3252">
        <v>8075</v>
      </c>
      <c r="D1041" s="3252">
        <v>6424</v>
      </c>
      <c r="E1041" s="3252">
        <v>8075</v>
      </c>
      <c r="F1041" s="3252">
        <v>6684</v>
      </c>
      <c r="G1041" s="1698"/>
    </row>
    <row r="1042" spans="1:7" ht="15.75">
      <c r="A1042" s="3252">
        <v>48900</v>
      </c>
      <c r="B1042" s="3252">
        <v>48950</v>
      </c>
      <c r="C1042" s="3252">
        <v>8088</v>
      </c>
      <c r="D1042" s="3252">
        <v>6431</v>
      </c>
      <c r="E1042" s="3252">
        <v>8088</v>
      </c>
      <c r="F1042" s="3252">
        <v>6691</v>
      </c>
      <c r="G1042" s="1698"/>
    </row>
    <row r="1043" spans="1:7" ht="15.75">
      <c r="A1043" s="3252">
        <v>48950</v>
      </c>
      <c r="B1043" s="3252">
        <v>49000</v>
      </c>
      <c r="C1043" s="3252">
        <v>8100</v>
      </c>
      <c r="D1043" s="3252">
        <v>6439</v>
      </c>
      <c r="E1043" s="3252">
        <v>8100</v>
      </c>
      <c r="F1043" s="3252">
        <v>6699</v>
      </c>
      <c r="G1043" s="1698"/>
    </row>
    <row r="1044" spans="1:7" ht="15.75">
      <c r="A1044" s="3252">
        <v>49000</v>
      </c>
      <c r="B1044" s="3252">
        <v>49050</v>
      </c>
      <c r="C1044" s="3252">
        <v>8113</v>
      </c>
      <c r="D1044" s="3252">
        <v>6446</v>
      </c>
      <c r="E1044" s="3252">
        <v>8113</v>
      </c>
      <c r="F1044" s="3252">
        <v>6706</v>
      </c>
      <c r="G1044" s="1698"/>
    </row>
    <row r="1045" spans="1:7" ht="15.75">
      <c r="A1045" s="3252">
        <v>49050</v>
      </c>
      <c r="B1045" s="3252">
        <v>49100</v>
      </c>
      <c r="C1045" s="3252">
        <v>8125</v>
      </c>
      <c r="D1045" s="3252">
        <v>6454</v>
      </c>
      <c r="E1045" s="3252">
        <v>8125</v>
      </c>
      <c r="F1045" s="3252">
        <v>6714</v>
      </c>
      <c r="G1045" s="1698"/>
    </row>
    <row r="1046" spans="1:7" ht="15.75">
      <c r="A1046" s="3252">
        <v>49100</v>
      </c>
      <c r="B1046" s="3252">
        <v>49150</v>
      </c>
      <c r="C1046" s="3252">
        <v>8138</v>
      </c>
      <c r="D1046" s="3252">
        <v>6461</v>
      </c>
      <c r="E1046" s="3252">
        <v>8138</v>
      </c>
      <c r="F1046" s="3252">
        <v>6721</v>
      </c>
      <c r="G1046" s="1698"/>
    </row>
    <row r="1047" spans="1:7" ht="15.75">
      <c r="A1047" s="3252">
        <v>49150</v>
      </c>
      <c r="B1047" s="3252">
        <v>49200</v>
      </c>
      <c r="C1047" s="3252">
        <v>8150</v>
      </c>
      <c r="D1047" s="3252">
        <v>6469</v>
      </c>
      <c r="E1047" s="3252">
        <v>8150</v>
      </c>
      <c r="F1047" s="3252">
        <v>6729</v>
      </c>
      <c r="G1047" s="1698"/>
    </row>
    <row r="1048" spans="1:7" ht="15.75">
      <c r="A1048" s="3252">
        <v>49200</v>
      </c>
      <c r="B1048" s="3252">
        <v>49250</v>
      </c>
      <c r="C1048" s="3252">
        <v>8163</v>
      </c>
      <c r="D1048" s="3252">
        <v>6476</v>
      </c>
      <c r="E1048" s="3252">
        <v>8163</v>
      </c>
      <c r="F1048" s="3252">
        <v>6736</v>
      </c>
      <c r="G1048" s="1698"/>
    </row>
    <row r="1049" spans="1:7" ht="15.75">
      <c r="A1049" s="3252">
        <v>49250</v>
      </c>
      <c r="B1049" s="3252">
        <v>49300</v>
      </c>
      <c r="C1049" s="3252">
        <v>8175</v>
      </c>
      <c r="D1049" s="3252">
        <v>6484</v>
      </c>
      <c r="E1049" s="3252">
        <v>8175</v>
      </c>
      <c r="F1049" s="3252">
        <v>6744</v>
      </c>
      <c r="G1049" s="1698"/>
    </row>
    <row r="1050" spans="1:7" ht="15.75">
      <c r="A1050" s="3252">
        <v>49300</v>
      </c>
      <c r="B1050" s="3252">
        <v>49350</v>
      </c>
      <c r="C1050" s="3252">
        <v>8188</v>
      </c>
      <c r="D1050" s="3252">
        <v>6491</v>
      </c>
      <c r="E1050" s="3252">
        <v>8188</v>
      </c>
      <c r="F1050" s="3252">
        <v>6751</v>
      </c>
      <c r="G1050" s="1698"/>
    </row>
    <row r="1051" spans="1:7" ht="15.75">
      <c r="A1051" s="3252">
        <v>49350</v>
      </c>
      <c r="B1051" s="3252">
        <v>49400</v>
      </c>
      <c r="C1051" s="3252">
        <v>8200</v>
      </c>
      <c r="D1051" s="3252">
        <v>6499</v>
      </c>
      <c r="E1051" s="3252">
        <v>8200</v>
      </c>
      <c r="F1051" s="3252">
        <v>6759</v>
      </c>
      <c r="G1051" s="1698"/>
    </row>
    <row r="1052" spans="1:7" ht="15.75">
      <c r="A1052" s="3252">
        <v>49400</v>
      </c>
      <c r="B1052" s="3252">
        <v>49450</v>
      </c>
      <c r="C1052" s="3252">
        <v>8213</v>
      </c>
      <c r="D1052" s="3252">
        <v>6506</v>
      </c>
      <c r="E1052" s="3252">
        <v>8213</v>
      </c>
      <c r="F1052" s="3252">
        <v>6769</v>
      </c>
      <c r="G1052" s="1698"/>
    </row>
    <row r="1053" spans="1:7" ht="15.75">
      <c r="A1053" s="3252">
        <v>49450</v>
      </c>
      <c r="B1053" s="3252">
        <v>49500</v>
      </c>
      <c r="C1053" s="3252">
        <v>8225</v>
      </c>
      <c r="D1053" s="3252">
        <v>6514</v>
      </c>
      <c r="E1053" s="3252">
        <v>8225</v>
      </c>
      <c r="F1053" s="3252">
        <v>6781</v>
      </c>
      <c r="G1053" s="1698"/>
    </row>
    <row r="1054" spans="1:7" ht="15.75">
      <c r="A1054" s="3252">
        <v>49500</v>
      </c>
      <c r="B1054" s="3252">
        <v>49550</v>
      </c>
      <c r="C1054" s="3252">
        <v>8238</v>
      </c>
      <c r="D1054" s="3252">
        <v>6521</v>
      </c>
      <c r="E1054" s="3252">
        <v>8238</v>
      </c>
      <c r="F1054" s="3252">
        <v>6794</v>
      </c>
      <c r="G1054" s="1698"/>
    </row>
    <row r="1055" spans="1:7" ht="15.75">
      <c r="A1055" s="3252">
        <v>49550</v>
      </c>
      <c r="B1055" s="3252">
        <v>49600</v>
      </c>
      <c r="C1055" s="3252">
        <v>8250</v>
      </c>
      <c r="D1055" s="3252">
        <v>6529</v>
      </c>
      <c r="E1055" s="3252">
        <v>8250</v>
      </c>
      <c r="F1055" s="3252">
        <v>6806</v>
      </c>
      <c r="G1055" s="1698"/>
    </row>
    <row r="1056" spans="1:7" ht="15.75">
      <c r="A1056" s="3252">
        <v>49600</v>
      </c>
      <c r="B1056" s="3252">
        <v>49650</v>
      </c>
      <c r="C1056" s="3252">
        <v>8263</v>
      </c>
      <c r="D1056" s="3252">
        <v>6536</v>
      </c>
      <c r="E1056" s="3252">
        <v>8263</v>
      </c>
      <c r="F1056" s="3252">
        <v>6819</v>
      </c>
      <c r="G1056" s="1698"/>
    </row>
    <row r="1057" spans="1:7" ht="15.75">
      <c r="A1057" s="3252">
        <v>49650</v>
      </c>
      <c r="B1057" s="3252">
        <v>49700</v>
      </c>
      <c r="C1057" s="3252">
        <v>8275</v>
      </c>
      <c r="D1057" s="3252">
        <v>6544</v>
      </c>
      <c r="E1057" s="3252">
        <v>8275</v>
      </c>
      <c r="F1057" s="3252">
        <v>6831</v>
      </c>
      <c r="G1057" s="1698"/>
    </row>
    <row r="1058" spans="1:7" ht="15.75">
      <c r="A1058" s="3252">
        <v>49700</v>
      </c>
      <c r="B1058" s="3252">
        <v>49750</v>
      </c>
      <c r="C1058" s="3252">
        <v>8288</v>
      </c>
      <c r="D1058" s="3252">
        <v>6551</v>
      </c>
      <c r="E1058" s="3252">
        <v>8288</v>
      </c>
      <c r="F1058" s="3252">
        <v>6844</v>
      </c>
      <c r="G1058" s="1698"/>
    </row>
    <row r="1059" spans="1:7" ht="15.75">
      <c r="A1059" s="3252">
        <v>49750</v>
      </c>
      <c r="B1059" s="3252">
        <v>49800</v>
      </c>
      <c r="C1059" s="3252">
        <v>8300</v>
      </c>
      <c r="D1059" s="3252">
        <v>6559</v>
      </c>
      <c r="E1059" s="3252">
        <v>8300</v>
      </c>
      <c r="F1059" s="3252">
        <v>6856</v>
      </c>
      <c r="G1059" s="1698"/>
    </row>
    <row r="1060" spans="1:7" ht="15.75">
      <c r="A1060" s="3252">
        <v>49800</v>
      </c>
      <c r="B1060" s="3252">
        <v>49850</v>
      </c>
      <c r="C1060" s="3252">
        <v>8313</v>
      </c>
      <c r="D1060" s="3252">
        <v>6566</v>
      </c>
      <c r="E1060" s="3252">
        <v>8313</v>
      </c>
      <c r="F1060" s="3252">
        <v>6869</v>
      </c>
      <c r="G1060" s="1698"/>
    </row>
    <row r="1061" spans="1:7" ht="15.75">
      <c r="A1061" s="3252">
        <v>49850</v>
      </c>
      <c r="B1061" s="3252">
        <v>49900</v>
      </c>
      <c r="C1061" s="3252">
        <v>8325</v>
      </c>
      <c r="D1061" s="3252">
        <v>6574</v>
      </c>
      <c r="E1061" s="3252">
        <v>8325</v>
      </c>
      <c r="F1061" s="3252">
        <v>6881</v>
      </c>
      <c r="G1061" s="1698"/>
    </row>
    <row r="1062" spans="1:7" ht="15.75">
      <c r="A1062" s="3252">
        <v>49900</v>
      </c>
      <c r="B1062" s="3252">
        <v>49950</v>
      </c>
      <c r="C1062" s="3252">
        <v>8338</v>
      </c>
      <c r="D1062" s="3252">
        <v>6581</v>
      </c>
      <c r="E1062" s="3252">
        <v>8338</v>
      </c>
      <c r="F1062" s="3252">
        <v>6894</v>
      </c>
      <c r="G1062" s="1698"/>
    </row>
    <row r="1063" spans="1:7" ht="15.75">
      <c r="A1063" s="3252">
        <v>49950</v>
      </c>
      <c r="B1063" s="3252">
        <v>50000</v>
      </c>
      <c r="C1063" s="3252">
        <v>8350</v>
      </c>
      <c r="D1063" s="3252">
        <v>6589</v>
      </c>
      <c r="E1063" s="3252">
        <v>8350</v>
      </c>
      <c r="F1063" s="3252">
        <v>6906</v>
      </c>
      <c r="G1063" s="1698"/>
    </row>
    <row r="1064" spans="1:7" ht="15.75">
      <c r="A1064" s="3252">
        <v>50000</v>
      </c>
      <c r="B1064" s="3252">
        <v>50050</v>
      </c>
      <c r="C1064" s="3252">
        <v>8363</v>
      </c>
      <c r="D1064" s="3252">
        <v>6596</v>
      </c>
      <c r="E1064" s="3252">
        <v>8363</v>
      </c>
      <c r="F1064" s="3252">
        <v>6919</v>
      </c>
      <c r="G1064" s="1698"/>
    </row>
    <row r="1065" spans="1:7" ht="15.75">
      <c r="A1065" s="3252">
        <v>50050</v>
      </c>
      <c r="B1065" s="3252">
        <v>50100</v>
      </c>
      <c r="C1065" s="3252">
        <v>8375</v>
      </c>
      <c r="D1065" s="3252">
        <v>6604</v>
      </c>
      <c r="E1065" s="3252">
        <v>8375</v>
      </c>
      <c r="F1065" s="3252">
        <v>6931</v>
      </c>
      <c r="G1065" s="1698"/>
    </row>
    <row r="1066" spans="1:7" ht="15.75">
      <c r="A1066" s="3252">
        <v>50100</v>
      </c>
      <c r="B1066" s="3252">
        <v>50150</v>
      </c>
      <c r="C1066" s="3252">
        <v>8388</v>
      </c>
      <c r="D1066" s="3252">
        <v>6611</v>
      </c>
      <c r="E1066" s="3252">
        <v>8388</v>
      </c>
      <c r="F1066" s="3252">
        <v>6944</v>
      </c>
      <c r="G1066" s="1698"/>
    </row>
    <row r="1067" spans="1:7" ht="15.75">
      <c r="A1067" s="3252">
        <v>50150</v>
      </c>
      <c r="B1067" s="3252">
        <v>50200</v>
      </c>
      <c r="C1067" s="3252">
        <v>8400</v>
      </c>
      <c r="D1067" s="3252">
        <v>6619</v>
      </c>
      <c r="E1067" s="3252">
        <v>8400</v>
      </c>
      <c r="F1067" s="3252">
        <v>6956</v>
      </c>
      <c r="G1067" s="1698"/>
    </row>
    <row r="1068" spans="1:7" ht="15.75">
      <c r="A1068" s="3252">
        <v>50200</v>
      </c>
      <c r="B1068" s="3252">
        <v>50250</v>
      </c>
      <c r="C1068" s="3252">
        <v>8413</v>
      </c>
      <c r="D1068" s="3252">
        <v>6626</v>
      </c>
      <c r="E1068" s="3252">
        <v>8413</v>
      </c>
      <c r="F1068" s="3252">
        <v>6969</v>
      </c>
      <c r="G1068" s="1698"/>
    </row>
    <row r="1069" spans="1:7" ht="15.75">
      <c r="A1069" s="3252">
        <v>50250</v>
      </c>
      <c r="B1069" s="3252">
        <v>50300</v>
      </c>
      <c r="C1069" s="3252">
        <v>8425</v>
      </c>
      <c r="D1069" s="3252">
        <v>6634</v>
      </c>
      <c r="E1069" s="3252">
        <v>8425</v>
      </c>
      <c r="F1069" s="3252">
        <v>6981</v>
      </c>
      <c r="G1069" s="1698"/>
    </row>
    <row r="1070" spans="1:7" ht="15.75">
      <c r="A1070" s="3252">
        <v>50300</v>
      </c>
      <c r="B1070" s="3252">
        <v>50350</v>
      </c>
      <c r="C1070" s="3252">
        <v>8438</v>
      </c>
      <c r="D1070" s="3252">
        <v>6641</v>
      </c>
      <c r="E1070" s="3252">
        <v>8438</v>
      </c>
      <c r="F1070" s="3252">
        <v>6994</v>
      </c>
      <c r="G1070" s="1698"/>
    </row>
    <row r="1071" spans="1:7" ht="15.75">
      <c r="A1071" s="3252">
        <v>50350</v>
      </c>
      <c r="B1071" s="3252">
        <v>50400</v>
      </c>
      <c r="C1071" s="3252">
        <v>8450</v>
      </c>
      <c r="D1071" s="3252">
        <v>6649</v>
      </c>
      <c r="E1071" s="3252">
        <v>8450</v>
      </c>
      <c r="F1071" s="3252">
        <v>7006</v>
      </c>
      <c r="G1071" s="1698"/>
    </row>
    <row r="1072" spans="1:7" ht="15.75">
      <c r="A1072" s="3252">
        <v>50400</v>
      </c>
      <c r="B1072" s="3252">
        <v>50450</v>
      </c>
      <c r="C1072" s="3252">
        <v>8463</v>
      </c>
      <c r="D1072" s="3252">
        <v>6656</v>
      </c>
      <c r="E1072" s="3252">
        <v>8463</v>
      </c>
      <c r="F1072" s="3252">
        <v>7019</v>
      </c>
      <c r="G1072" s="1698"/>
    </row>
    <row r="1073" spans="1:7" ht="15.75">
      <c r="A1073" s="3252">
        <v>50450</v>
      </c>
      <c r="B1073" s="3252">
        <v>50500</v>
      </c>
      <c r="C1073" s="3252">
        <v>8475</v>
      </c>
      <c r="D1073" s="3252">
        <v>6664</v>
      </c>
      <c r="E1073" s="3252">
        <v>8475</v>
      </c>
      <c r="F1073" s="3252">
        <v>7031</v>
      </c>
      <c r="G1073" s="1698"/>
    </row>
    <row r="1074" spans="1:7" ht="15.75">
      <c r="A1074" s="3252">
        <v>50500</v>
      </c>
      <c r="B1074" s="3252">
        <v>50550</v>
      </c>
      <c r="C1074" s="3252">
        <v>8488</v>
      </c>
      <c r="D1074" s="3252">
        <v>6671</v>
      </c>
      <c r="E1074" s="3252">
        <v>8488</v>
      </c>
      <c r="F1074" s="3252">
        <v>7044</v>
      </c>
      <c r="G1074" s="1698"/>
    </row>
    <row r="1075" spans="1:7" ht="15.75">
      <c r="A1075" s="3252">
        <v>50550</v>
      </c>
      <c r="B1075" s="3252">
        <v>50600</v>
      </c>
      <c r="C1075" s="3252">
        <v>8500</v>
      </c>
      <c r="D1075" s="3252">
        <v>6679</v>
      </c>
      <c r="E1075" s="3252">
        <v>8500</v>
      </c>
      <c r="F1075" s="3252">
        <v>7056</v>
      </c>
      <c r="G1075" s="1698"/>
    </row>
    <row r="1076" spans="1:7" ht="15.75">
      <c r="A1076" s="3252">
        <v>50600</v>
      </c>
      <c r="B1076" s="3252">
        <v>50650</v>
      </c>
      <c r="C1076" s="3252">
        <v>8513</v>
      </c>
      <c r="D1076" s="3252">
        <v>6686</v>
      </c>
      <c r="E1076" s="3252">
        <v>8513</v>
      </c>
      <c r="F1076" s="3252">
        <v>7069</v>
      </c>
      <c r="G1076" s="1698"/>
    </row>
    <row r="1077" spans="1:7" ht="15.75">
      <c r="A1077" s="3252">
        <v>50650</v>
      </c>
      <c r="B1077" s="3252">
        <v>50700</v>
      </c>
      <c r="C1077" s="3252">
        <v>8525</v>
      </c>
      <c r="D1077" s="3252">
        <v>6694</v>
      </c>
      <c r="E1077" s="3252">
        <v>8525</v>
      </c>
      <c r="F1077" s="3252">
        <v>7081</v>
      </c>
      <c r="G1077" s="1698"/>
    </row>
    <row r="1078" spans="1:7" ht="15.75">
      <c r="A1078" s="3252">
        <v>50700</v>
      </c>
      <c r="B1078" s="3252">
        <v>50750</v>
      </c>
      <c r="C1078" s="3252">
        <v>8538</v>
      </c>
      <c r="D1078" s="3252">
        <v>6701</v>
      </c>
      <c r="E1078" s="3252">
        <v>8538</v>
      </c>
      <c r="F1078" s="3252">
        <v>7094</v>
      </c>
      <c r="G1078" s="1698"/>
    </row>
    <row r="1079" spans="1:7" ht="15.75">
      <c r="A1079" s="3252">
        <v>50750</v>
      </c>
      <c r="B1079" s="3252">
        <v>50800</v>
      </c>
      <c r="C1079" s="3252">
        <v>8550</v>
      </c>
      <c r="D1079" s="3252">
        <v>6709</v>
      </c>
      <c r="E1079" s="3252">
        <v>8550</v>
      </c>
      <c r="F1079" s="3252">
        <v>7106</v>
      </c>
      <c r="G1079" s="1698"/>
    </row>
    <row r="1080" spans="1:7" ht="15.75">
      <c r="A1080" s="3252">
        <v>50800</v>
      </c>
      <c r="B1080" s="3252">
        <v>50850</v>
      </c>
      <c r="C1080" s="3252">
        <v>8563</v>
      </c>
      <c r="D1080" s="3252">
        <v>6716</v>
      </c>
      <c r="E1080" s="3252">
        <v>8563</v>
      </c>
      <c r="F1080" s="3252">
        <v>7119</v>
      </c>
      <c r="G1080" s="1698"/>
    </row>
    <row r="1081" spans="1:7" ht="15.75">
      <c r="A1081" s="3252">
        <v>50850</v>
      </c>
      <c r="B1081" s="3252">
        <v>50900</v>
      </c>
      <c r="C1081" s="3252">
        <v>8575</v>
      </c>
      <c r="D1081" s="3252">
        <v>6724</v>
      </c>
      <c r="E1081" s="3252">
        <v>8575</v>
      </c>
      <c r="F1081" s="3252">
        <v>7131</v>
      </c>
      <c r="G1081" s="1698"/>
    </row>
    <row r="1082" spans="1:7" ht="15.75">
      <c r="A1082" s="3252">
        <v>50900</v>
      </c>
      <c r="B1082" s="3252">
        <v>50950</v>
      </c>
      <c r="C1082" s="3252">
        <v>8588</v>
      </c>
      <c r="D1082" s="3252">
        <v>6731</v>
      </c>
      <c r="E1082" s="3252">
        <v>8588</v>
      </c>
      <c r="F1082" s="3252">
        <v>7144</v>
      </c>
      <c r="G1082" s="1698"/>
    </row>
    <row r="1083" spans="1:7" ht="15.75">
      <c r="A1083" s="3252">
        <v>50950</v>
      </c>
      <c r="B1083" s="3252">
        <v>51000</v>
      </c>
      <c r="C1083" s="3252">
        <v>8600</v>
      </c>
      <c r="D1083" s="3252">
        <v>6739</v>
      </c>
      <c r="E1083" s="3252">
        <v>8600</v>
      </c>
      <c r="F1083" s="3252">
        <v>7156</v>
      </c>
      <c r="G1083" s="1698"/>
    </row>
    <row r="1084" spans="1:7" ht="15.75">
      <c r="A1084" s="3252">
        <v>51000</v>
      </c>
      <c r="B1084" s="3252">
        <v>51050</v>
      </c>
      <c r="C1084" s="3252">
        <v>8613</v>
      </c>
      <c r="D1084" s="3252">
        <v>6746</v>
      </c>
      <c r="E1084" s="3252">
        <v>8613</v>
      </c>
      <c r="F1084" s="3252">
        <v>7169</v>
      </c>
      <c r="G1084" s="1698"/>
    </row>
    <row r="1085" spans="1:7" ht="15.75">
      <c r="A1085" s="3252">
        <v>51050</v>
      </c>
      <c r="B1085" s="3252">
        <v>51100</v>
      </c>
      <c r="C1085" s="3252">
        <v>8625</v>
      </c>
      <c r="D1085" s="3252">
        <v>6754</v>
      </c>
      <c r="E1085" s="3252">
        <v>8625</v>
      </c>
      <c r="F1085" s="3252">
        <v>7181</v>
      </c>
      <c r="G1085" s="1698"/>
    </row>
    <row r="1086" spans="1:7" ht="15.75">
      <c r="A1086" s="3252">
        <v>51100</v>
      </c>
      <c r="B1086" s="3252">
        <v>51150</v>
      </c>
      <c r="C1086" s="3252">
        <v>8638</v>
      </c>
      <c r="D1086" s="3252">
        <v>6761</v>
      </c>
      <c r="E1086" s="3252">
        <v>8638</v>
      </c>
      <c r="F1086" s="3252">
        <v>7194</v>
      </c>
      <c r="G1086" s="1698"/>
    </row>
    <row r="1087" spans="1:7" ht="15.75">
      <c r="A1087" s="3252">
        <v>51150</v>
      </c>
      <c r="B1087" s="3252">
        <v>51200</v>
      </c>
      <c r="C1087" s="3252">
        <v>8650</v>
      </c>
      <c r="D1087" s="3252">
        <v>6769</v>
      </c>
      <c r="E1087" s="3252">
        <v>8650</v>
      </c>
      <c r="F1087" s="3252">
        <v>7206</v>
      </c>
      <c r="G1087" s="1698"/>
    </row>
    <row r="1088" spans="1:7" ht="15.75">
      <c r="A1088" s="3252">
        <v>51200</v>
      </c>
      <c r="B1088" s="3252">
        <v>51250</v>
      </c>
      <c r="C1088" s="3252">
        <v>8663</v>
      </c>
      <c r="D1088" s="3252">
        <v>6776</v>
      </c>
      <c r="E1088" s="3252">
        <v>8663</v>
      </c>
      <c r="F1088" s="3252">
        <v>7219</v>
      </c>
      <c r="G1088" s="1698"/>
    </row>
    <row r="1089" spans="1:7" ht="15.75">
      <c r="A1089" s="3252">
        <v>51250</v>
      </c>
      <c r="B1089" s="3252">
        <v>51300</v>
      </c>
      <c r="C1089" s="3252">
        <v>8675</v>
      </c>
      <c r="D1089" s="3252">
        <v>6784</v>
      </c>
      <c r="E1089" s="3252">
        <v>8675</v>
      </c>
      <c r="F1089" s="3252">
        <v>7231</v>
      </c>
      <c r="G1089" s="1698"/>
    </row>
    <row r="1090" spans="1:7" ht="15.75">
      <c r="A1090" s="3252">
        <v>51300</v>
      </c>
      <c r="B1090" s="3252">
        <v>51350</v>
      </c>
      <c r="C1090" s="3252">
        <v>8688</v>
      </c>
      <c r="D1090" s="3252">
        <v>6791</v>
      </c>
      <c r="E1090" s="3252">
        <v>8688</v>
      </c>
      <c r="F1090" s="3252">
        <v>7244</v>
      </c>
      <c r="G1090" s="1698"/>
    </row>
    <row r="1091" spans="1:7" ht="15.75">
      <c r="A1091" s="3252">
        <v>51350</v>
      </c>
      <c r="B1091" s="3252">
        <v>51400</v>
      </c>
      <c r="C1091" s="3252">
        <v>8700</v>
      </c>
      <c r="D1091" s="3252">
        <v>6799</v>
      </c>
      <c r="E1091" s="3252">
        <v>8700</v>
      </c>
      <c r="F1091" s="3252">
        <v>7256</v>
      </c>
      <c r="G1091" s="1698"/>
    </row>
    <row r="1092" spans="1:7" ht="15.75">
      <c r="A1092" s="3252">
        <v>51400</v>
      </c>
      <c r="B1092" s="3252">
        <v>51450</v>
      </c>
      <c r="C1092" s="3252">
        <v>8713</v>
      </c>
      <c r="D1092" s="3252">
        <v>6806</v>
      </c>
      <c r="E1092" s="3252">
        <v>8713</v>
      </c>
      <c r="F1092" s="3252">
        <v>7269</v>
      </c>
      <c r="G1092" s="1698"/>
    </row>
    <row r="1093" spans="1:7" ht="15.75">
      <c r="A1093" s="3252">
        <v>51450</v>
      </c>
      <c r="B1093" s="3252">
        <v>51500</v>
      </c>
      <c r="C1093" s="3252">
        <v>8725</v>
      </c>
      <c r="D1093" s="3252">
        <v>6814</v>
      </c>
      <c r="E1093" s="3252">
        <v>8725</v>
      </c>
      <c r="F1093" s="3252">
        <v>7281</v>
      </c>
      <c r="G1093" s="1698"/>
    </row>
    <row r="1094" spans="1:7" ht="15.75">
      <c r="A1094" s="3252">
        <v>51500</v>
      </c>
      <c r="B1094" s="3252">
        <v>51550</v>
      </c>
      <c r="C1094" s="3252">
        <v>8738</v>
      </c>
      <c r="D1094" s="3252">
        <v>6821</v>
      </c>
      <c r="E1094" s="3252">
        <v>8738</v>
      </c>
      <c r="F1094" s="3252">
        <v>7294</v>
      </c>
      <c r="G1094" s="1698"/>
    </row>
    <row r="1095" spans="1:7" ht="15.75">
      <c r="A1095" s="3252">
        <v>51550</v>
      </c>
      <c r="B1095" s="3252">
        <v>51600</v>
      </c>
      <c r="C1095" s="3252">
        <v>8750</v>
      </c>
      <c r="D1095" s="3252">
        <v>6829</v>
      </c>
      <c r="E1095" s="3252">
        <v>8750</v>
      </c>
      <c r="F1095" s="3252">
        <v>7306</v>
      </c>
      <c r="G1095" s="1698"/>
    </row>
    <row r="1096" spans="1:7" ht="15.75">
      <c r="A1096" s="3252">
        <v>51600</v>
      </c>
      <c r="B1096" s="3252">
        <v>51650</v>
      </c>
      <c r="C1096" s="3252">
        <v>8763</v>
      </c>
      <c r="D1096" s="3252">
        <v>6836</v>
      </c>
      <c r="E1096" s="3252">
        <v>8763</v>
      </c>
      <c r="F1096" s="3252">
        <v>7319</v>
      </c>
      <c r="G1096" s="1698"/>
    </row>
    <row r="1097" spans="1:7" ht="15.75">
      <c r="A1097" s="3252">
        <v>51650</v>
      </c>
      <c r="B1097" s="3252">
        <v>51700</v>
      </c>
      <c r="C1097" s="3252">
        <v>8775</v>
      </c>
      <c r="D1097" s="3252">
        <v>6844</v>
      </c>
      <c r="E1097" s="3252">
        <v>8775</v>
      </c>
      <c r="F1097" s="3252">
        <v>7331</v>
      </c>
      <c r="G1097" s="1698"/>
    </row>
    <row r="1098" spans="1:7" ht="15.75">
      <c r="A1098" s="3252">
        <v>51700</v>
      </c>
      <c r="B1098" s="3252">
        <v>51750</v>
      </c>
      <c r="C1098" s="3252">
        <v>8788</v>
      </c>
      <c r="D1098" s="3252">
        <v>6851</v>
      </c>
      <c r="E1098" s="3252">
        <v>8788</v>
      </c>
      <c r="F1098" s="3252">
        <v>7344</v>
      </c>
      <c r="G1098" s="1698"/>
    </row>
    <row r="1099" spans="1:7" ht="15.75">
      <c r="A1099" s="3252">
        <v>51750</v>
      </c>
      <c r="B1099" s="3252">
        <v>51800</v>
      </c>
      <c r="C1099" s="3252">
        <v>8800</v>
      </c>
      <c r="D1099" s="3252">
        <v>6859</v>
      </c>
      <c r="E1099" s="3252">
        <v>8800</v>
      </c>
      <c r="F1099" s="3252">
        <v>7356</v>
      </c>
      <c r="G1099" s="1698"/>
    </row>
    <row r="1100" spans="1:7" ht="15.75">
      <c r="A1100" s="3252">
        <v>51800</v>
      </c>
      <c r="B1100" s="3252">
        <v>51850</v>
      </c>
      <c r="C1100" s="3252">
        <v>8813</v>
      </c>
      <c r="D1100" s="3252">
        <v>6866</v>
      </c>
      <c r="E1100" s="3252">
        <v>8813</v>
      </c>
      <c r="F1100" s="3252">
        <v>7369</v>
      </c>
      <c r="G1100" s="1698"/>
    </row>
    <row r="1101" spans="1:7" ht="15.75">
      <c r="A1101" s="3252">
        <v>51850</v>
      </c>
      <c r="B1101" s="3252">
        <v>51900</v>
      </c>
      <c r="C1101" s="3252">
        <v>8825</v>
      </c>
      <c r="D1101" s="3252">
        <v>6874</v>
      </c>
      <c r="E1101" s="3252">
        <v>8825</v>
      </c>
      <c r="F1101" s="3252">
        <v>7381</v>
      </c>
      <c r="G1101" s="1698"/>
    </row>
    <row r="1102" spans="1:7" ht="15.75">
      <c r="A1102" s="3252">
        <v>51900</v>
      </c>
      <c r="B1102" s="3252">
        <v>51950</v>
      </c>
      <c r="C1102" s="3252">
        <v>8838</v>
      </c>
      <c r="D1102" s="3252">
        <v>6881</v>
      </c>
      <c r="E1102" s="3252">
        <v>8838</v>
      </c>
      <c r="F1102" s="3252">
        <v>7394</v>
      </c>
      <c r="G1102" s="1698"/>
    </row>
    <row r="1103" spans="1:7" ht="15.75">
      <c r="A1103" s="3252">
        <v>51950</v>
      </c>
      <c r="B1103" s="3252">
        <v>52000</v>
      </c>
      <c r="C1103" s="3252">
        <v>8850</v>
      </c>
      <c r="D1103" s="3252">
        <v>6889</v>
      </c>
      <c r="E1103" s="3252">
        <v>8850</v>
      </c>
      <c r="F1103" s="3252">
        <v>7406</v>
      </c>
      <c r="G1103" s="1698"/>
    </row>
    <row r="1104" spans="1:7" ht="15.75">
      <c r="A1104" s="3252">
        <v>52000</v>
      </c>
      <c r="B1104" s="3252">
        <v>52050</v>
      </c>
      <c r="C1104" s="3252">
        <v>8863</v>
      </c>
      <c r="D1104" s="3252">
        <v>6896</v>
      </c>
      <c r="E1104" s="3252">
        <v>8863</v>
      </c>
      <c r="F1104" s="3252">
        <v>7419</v>
      </c>
      <c r="G1104" s="1698"/>
    </row>
    <row r="1105" spans="1:7" ht="15.75">
      <c r="A1105" s="3252">
        <v>52050</v>
      </c>
      <c r="B1105" s="3252">
        <v>52100</v>
      </c>
      <c r="C1105" s="3252">
        <v>8875</v>
      </c>
      <c r="D1105" s="3252">
        <v>6904</v>
      </c>
      <c r="E1105" s="3252">
        <v>8875</v>
      </c>
      <c r="F1105" s="3252">
        <v>7431</v>
      </c>
      <c r="G1105" s="1698"/>
    </row>
    <row r="1106" spans="1:7" ht="15.75">
      <c r="A1106" s="3252">
        <v>52100</v>
      </c>
      <c r="B1106" s="3252">
        <v>52150</v>
      </c>
      <c r="C1106" s="3252">
        <v>8888</v>
      </c>
      <c r="D1106" s="3252">
        <v>6911</v>
      </c>
      <c r="E1106" s="3252">
        <v>8888</v>
      </c>
      <c r="F1106" s="3252">
        <v>7444</v>
      </c>
      <c r="G1106" s="1698"/>
    </row>
    <row r="1107" spans="1:7" ht="15.75">
      <c r="A1107" s="3252">
        <v>52150</v>
      </c>
      <c r="B1107" s="3252">
        <v>52200</v>
      </c>
      <c r="C1107" s="3252">
        <v>8900</v>
      </c>
      <c r="D1107" s="3252">
        <v>6919</v>
      </c>
      <c r="E1107" s="3252">
        <v>8900</v>
      </c>
      <c r="F1107" s="3252">
        <v>7456</v>
      </c>
      <c r="G1107" s="1698"/>
    </row>
    <row r="1108" spans="1:7" ht="15.75">
      <c r="A1108" s="3252">
        <v>52200</v>
      </c>
      <c r="B1108" s="3252">
        <v>52250</v>
      </c>
      <c r="C1108" s="3252">
        <v>8913</v>
      </c>
      <c r="D1108" s="3252">
        <v>6926</v>
      </c>
      <c r="E1108" s="3252">
        <v>8913</v>
      </c>
      <c r="F1108" s="3252">
        <v>7469</v>
      </c>
      <c r="G1108" s="1698"/>
    </row>
    <row r="1109" spans="1:7" ht="15.75">
      <c r="A1109" s="3252">
        <v>52250</v>
      </c>
      <c r="B1109" s="3252">
        <v>52300</v>
      </c>
      <c r="C1109" s="3252">
        <v>8925</v>
      </c>
      <c r="D1109" s="3252">
        <v>6934</v>
      </c>
      <c r="E1109" s="3252">
        <v>8925</v>
      </c>
      <c r="F1109" s="3252">
        <v>7481</v>
      </c>
      <c r="G1109" s="1698"/>
    </row>
    <row r="1110" spans="1:7" ht="15.75">
      <c r="A1110" s="3252">
        <v>52300</v>
      </c>
      <c r="B1110" s="3252">
        <v>52350</v>
      </c>
      <c r="C1110" s="3252">
        <v>8938</v>
      </c>
      <c r="D1110" s="3252">
        <v>6941</v>
      </c>
      <c r="E1110" s="3252">
        <v>8938</v>
      </c>
      <c r="F1110" s="3252">
        <v>7494</v>
      </c>
      <c r="G1110" s="1698"/>
    </row>
    <row r="1111" spans="1:7" ht="15.75">
      <c r="A1111" s="3252">
        <v>52350</v>
      </c>
      <c r="B1111" s="3252">
        <v>52400</v>
      </c>
      <c r="C1111" s="3252">
        <v>8950</v>
      </c>
      <c r="D1111" s="3252">
        <v>6949</v>
      </c>
      <c r="E1111" s="3252">
        <v>8950</v>
      </c>
      <c r="F1111" s="3252">
        <v>7506</v>
      </c>
      <c r="G1111" s="1698"/>
    </row>
    <row r="1112" spans="1:7" ht="15.75">
      <c r="A1112" s="3252">
        <v>52400</v>
      </c>
      <c r="B1112" s="3252">
        <v>52450</v>
      </c>
      <c r="C1112" s="3252">
        <v>8963</v>
      </c>
      <c r="D1112" s="3252">
        <v>6956</v>
      </c>
      <c r="E1112" s="3252">
        <v>8963</v>
      </c>
      <c r="F1112" s="3252">
        <v>7519</v>
      </c>
      <c r="G1112" s="1698"/>
    </row>
    <row r="1113" spans="1:7" ht="15.75">
      <c r="A1113" s="3252">
        <v>52450</v>
      </c>
      <c r="B1113" s="3252">
        <v>52500</v>
      </c>
      <c r="C1113" s="3252">
        <v>8975</v>
      </c>
      <c r="D1113" s="3252">
        <v>6964</v>
      </c>
      <c r="E1113" s="3252">
        <v>8975</v>
      </c>
      <c r="F1113" s="3252">
        <v>7531</v>
      </c>
      <c r="G1113" s="1698"/>
    </row>
    <row r="1114" spans="1:7" ht="15.75">
      <c r="A1114" s="3252">
        <v>52500</v>
      </c>
      <c r="B1114" s="3252">
        <v>52550</v>
      </c>
      <c r="C1114" s="3252">
        <v>8988</v>
      </c>
      <c r="D1114" s="3252">
        <v>6971</v>
      </c>
      <c r="E1114" s="3252">
        <v>8988</v>
      </c>
      <c r="F1114" s="3252">
        <v>7544</v>
      </c>
      <c r="G1114" s="1698"/>
    </row>
    <row r="1115" spans="1:7" ht="15.75">
      <c r="A1115" s="3252">
        <v>52550</v>
      </c>
      <c r="B1115" s="3252">
        <v>52600</v>
      </c>
      <c r="C1115" s="3252">
        <v>9000</v>
      </c>
      <c r="D1115" s="3252">
        <v>6979</v>
      </c>
      <c r="E1115" s="3252">
        <v>9000</v>
      </c>
      <c r="F1115" s="3252">
        <v>7556</v>
      </c>
      <c r="G1115" s="1698"/>
    </row>
    <row r="1116" spans="1:7" ht="15.75">
      <c r="A1116" s="3252">
        <v>52600</v>
      </c>
      <c r="B1116" s="3252">
        <v>52650</v>
      </c>
      <c r="C1116" s="3252">
        <v>9013</v>
      </c>
      <c r="D1116" s="3252">
        <v>6986</v>
      </c>
      <c r="E1116" s="3252">
        <v>9013</v>
      </c>
      <c r="F1116" s="3252">
        <v>7569</v>
      </c>
      <c r="G1116" s="1698"/>
    </row>
    <row r="1117" spans="1:7" ht="15.75">
      <c r="A1117" s="3252">
        <v>52650</v>
      </c>
      <c r="B1117" s="3252">
        <v>52700</v>
      </c>
      <c r="C1117" s="3252">
        <v>9025</v>
      </c>
      <c r="D1117" s="3252">
        <v>6994</v>
      </c>
      <c r="E1117" s="3252">
        <v>9025</v>
      </c>
      <c r="F1117" s="3252">
        <v>7581</v>
      </c>
      <c r="G1117" s="1698"/>
    </row>
    <row r="1118" spans="1:7" ht="15.75">
      <c r="A1118" s="3252">
        <v>52700</v>
      </c>
      <c r="B1118" s="3252">
        <v>52750</v>
      </c>
      <c r="C1118" s="3252">
        <v>9038</v>
      </c>
      <c r="D1118" s="3252">
        <v>7001</v>
      </c>
      <c r="E1118" s="3252">
        <v>9038</v>
      </c>
      <c r="F1118" s="3252">
        <v>7594</v>
      </c>
      <c r="G1118" s="1698"/>
    </row>
    <row r="1119" spans="1:7" ht="15.75">
      <c r="A1119" s="3252">
        <v>52750</v>
      </c>
      <c r="B1119" s="3252">
        <v>52800</v>
      </c>
      <c r="C1119" s="3252">
        <v>9050</v>
      </c>
      <c r="D1119" s="3252">
        <v>7009</v>
      </c>
      <c r="E1119" s="3252">
        <v>9050</v>
      </c>
      <c r="F1119" s="3252">
        <v>7606</v>
      </c>
      <c r="G1119" s="1698"/>
    </row>
    <row r="1120" spans="1:7" ht="15.75">
      <c r="A1120" s="3252">
        <v>52800</v>
      </c>
      <c r="B1120" s="3252">
        <v>52850</v>
      </c>
      <c r="C1120" s="3252">
        <v>9063</v>
      </c>
      <c r="D1120" s="3252">
        <v>7016</v>
      </c>
      <c r="E1120" s="3252">
        <v>9063</v>
      </c>
      <c r="F1120" s="3252">
        <v>7619</v>
      </c>
      <c r="G1120" s="1698"/>
    </row>
    <row r="1121" spans="1:7" ht="15.75">
      <c r="A1121" s="3252">
        <v>52850</v>
      </c>
      <c r="B1121" s="3252">
        <v>52900</v>
      </c>
      <c r="C1121" s="3252">
        <v>9075</v>
      </c>
      <c r="D1121" s="3252">
        <v>7024</v>
      </c>
      <c r="E1121" s="3252">
        <v>9075</v>
      </c>
      <c r="F1121" s="3252">
        <v>7631</v>
      </c>
      <c r="G1121" s="1698"/>
    </row>
    <row r="1122" spans="1:7" ht="15.75">
      <c r="A1122" s="3252">
        <v>52900</v>
      </c>
      <c r="B1122" s="3252">
        <v>52950</v>
      </c>
      <c r="C1122" s="3252">
        <v>9088</v>
      </c>
      <c r="D1122" s="3252">
        <v>7031</v>
      </c>
      <c r="E1122" s="3252">
        <v>9088</v>
      </c>
      <c r="F1122" s="3252">
        <v>7644</v>
      </c>
      <c r="G1122" s="1698"/>
    </row>
    <row r="1123" spans="1:7" ht="15.75">
      <c r="A1123" s="3252">
        <v>52950</v>
      </c>
      <c r="B1123" s="3252">
        <v>53000</v>
      </c>
      <c r="C1123" s="3252">
        <v>9100</v>
      </c>
      <c r="D1123" s="3252">
        <v>7039</v>
      </c>
      <c r="E1123" s="3252">
        <v>9100</v>
      </c>
      <c r="F1123" s="3252">
        <v>7656</v>
      </c>
      <c r="G1123" s="1698"/>
    </row>
    <row r="1124" spans="1:7" ht="15.75">
      <c r="A1124" s="3252">
        <v>53000</v>
      </c>
      <c r="B1124" s="3252">
        <v>53050</v>
      </c>
      <c r="C1124" s="3252">
        <v>9113</v>
      </c>
      <c r="D1124" s="3252">
        <v>7046</v>
      </c>
      <c r="E1124" s="3252">
        <v>9113</v>
      </c>
      <c r="F1124" s="3252">
        <v>7669</v>
      </c>
      <c r="G1124" s="1698"/>
    </row>
    <row r="1125" spans="1:7" ht="15.75">
      <c r="A1125" s="3252">
        <v>53050</v>
      </c>
      <c r="B1125" s="3252">
        <v>53100</v>
      </c>
      <c r="C1125" s="3252">
        <v>9125</v>
      </c>
      <c r="D1125" s="3252">
        <v>7054</v>
      </c>
      <c r="E1125" s="3252">
        <v>9125</v>
      </c>
      <c r="F1125" s="3252">
        <v>7681</v>
      </c>
      <c r="G1125" s="1698"/>
    </row>
    <row r="1126" spans="1:7" ht="15.75">
      <c r="A1126" s="3252">
        <v>53100</v>
      </c>
      <c r="B1126" s="3252">
        <v>53150</v>
      </c>
      <c r="C1126" s="3252">
        <v>9138</v>
      </c>
      <c r="D1126" s="3252">
        <v>7061</v>
      </c>
      <c r="E1126" s="3252">
        <v>9138</v>
      </c>
      <c r="F1126" s="3252">
        <v>7694</v>
      </c>
      <c r="G1126" s="1698"/>
    </row>
    <row r="1127" spans="1:7" ht="15.75">
      <c r="A1127" s="3252">
        <v>53150</v>
      </c>
      <c r="B1127" s="3252">
        <v>53200</v>
      </c>
      <c r="C1127" s="3252">
        <v>9150</v>
      </c>
      <c r="D1127" s="3252">
        <v>7069</v>
      </c>
      <c r="E1127" s="3252">
        <v>9150</v>
      </c>
      <c r="F1127" s="3252">
        <v>7706</v>
      </c>
      <c r="G1127" s="1698"/>
    </row>
    <row r="1128" spans="1:7" ht="15.75">
      <c r="A1128" s="3252">
        <v>53200</v>
      </c>
      <c r="B1128" s="3252">
        <v>53250</v>
      </c>
      <c r="C1128" s="3252">
        <v>9163</v>
      </c>
      <c r="D1128" s="3252">
        <v>7076</v>
      </c>
      <c r="E1128" s="3252">
        <v>9163</v>
      </c>
      <c r="F1128" s="3252">
        <v>7719</v>
      </c>
      <c r="G1128" s="1698"/>
    </row>
    <row r="1129" spans="1:7" ht="15.75">
      <c r="A1129" s="3252">
        <v>53250</v>
      </c>
      <c r="B1129" s="3252">
        <v>53300</v>
      </c>
      <c r="C1129" s="3252">
        <v>9175</v>
      </c>
      <c r="D1129" s="3252">
        <v>7084</v>
      </c>
      <c r="E1129" s="3252">
        <v>9175</v>
      </c>
      <c r="F1129" s="3252">
        <v>7731</v>
      </c>
      <c r="G1129" s="1698"/>
    </row>
    <row r="1130" spans="1:7" ht="15.75">
      <c r="A1130" s="3252">
        <v>53300</v>
      </c>
      <c r="B1130" s="3252">
        <v>53350</v>
      </c>
      <c r="C1130" s="3252">
        <v>9188</v>
      </c>
      <c r="D1130" s="3252">
        <v>7091</v>
      </c>
      <c r="E1130" s="3252">
        <v>9188</v>
      </c>
      <c r="F1130" s="3252">
        <v>7744</v>
      </c>
      <c r="G1130" s="1698"/>
    </row>
    <row r="1131" spans="1:7" ht="15.75">
      <c r="A1131" s="3252">
        <v>53350</v>
      </c>
      <c r="B1131" s="3252">
        <v>53400</v>
      </c>
      <c r="C1131" s="3252">
        <v>9200</v>
      </c>
      <c r="D1131" s="3252">
        <v>7099</v>
      </c>
      <c r="E1131" s="3252">
        <v>9200</v>
      </c>
      <c r="F1131" s="3252">
        <v>7756</v>
      </c>
      <c r="G1131" s="1698"/>
    </row>
    <row r="1132" spans="1:7" ht="15.75">
      <c r="A1132" s="3252">
        <v>53400</v>
      </c>
      <c r="B1132" s="3252">
        <v>53450</v>
      </c>
      <c r="C1132" s="3252">
        <v>9213</v>
      </c>
      <c r="D1132" s="3252">
        <v>7106</v>
      </c>
      <c r="E1132" s="3252">
        <v>9213</v>
      </c>
      <c r="F1132" s="3252">
        <v>7769</v>
      </c>
      <c r="G1132" s="1698"/>
    </row>
    <row r="1133" spans="1:7" ht="15.75">
      <c r="A1133" s="3252">
        <v>53450</v>
      </c>
      <c r="B1133" s="3252">
        <v>53500</v>
      </c>
      <c r="C1133" s="3252">
        <v>9225</v>
      </c>
      <c r="D1133" s="3252">
        <v>7114</v>
      </c>
      <c r="E1133" s="3252">
        <v>9225</v>
      </c>
      <c r="F1133" s="3252">
        <v>7781</v>
      </c>
      <c r="G1133" s="1698"/>
    </row>
    <row r="1134" spans="1:7" ht="15.75">
      <c r="A1134" s="3252">
        <v>53500</v>
      </c>
      <c r="B1134" s="3252">
        <v>53550</v>
      </c>
      <c r="C1134" s="3252">
        <v>9238</v>
      </c>
      <c r="D1134" s="3252">
        <v>7121</v>
      </c>
      <c r="E1134" s="3252">
        <v>9238</v>
      </c>
      <c r="F1134" s="3252">
        <v>7794</v>
      </c>
      <c r="G1134" s="1698"/>
    </row>
    <row r="1135" spans="1:7" ht="15.75">
      <c r="A1135" s="3252">
        <v>53550</v>
      </c>
      <c r="B1135" s="3252">
        <v>53600</v>
      </c>
      <c r="C1135" s="3252">
        <v>9250</v>
      </c>
      <c r="D1135" s="3252">
        <v>7129</v>
      </c>
      <c r="E1135" s="3252">
        <v>9250</v>
      </c>
      <c r="F1135" s="3252">
        <v>7806</v>
      </c>
      <c r="G1135" s="1698"/>
    </row>
    <row r="1136" spans="1:7" ht="15.75">
      <c r="A1136" s="3252">
        <v>53600</v>
      </c>
      <c r="B1136" s="3252">
        <v>53650</v>
      </c>
      <c r="C1136" s="3252">
        <v>9263</v>
      </c>
      <c r="D1136" s="3252">
        <v>7136</v>
      </c>
      <c r="E1136" s="3252">
        <v>9263</v>
      </c>
      <c r="F1136" s="3252">
        <v>7819</v>
      </c>
      <c r="G1136" s="1698"/>
    </row>
    <row r="1137" spans="1:7" ht="15.75">
      <c r="A1137" s="3252">
        <v>53650</v>
      </c>
      <c r="B1137" s="3252">
        <v>53700</v>
      </c>
      <c r="C1137" s="3252">
        <v>9275</v>
      </c>
      <c r="D1137" s="3252">
        <v>7144</v>
      </c>
      <c r="E1137" s="3252">
        <v>9275</v>
      </c>
      <c r="F1137" s="3252">
        <v>7831</v>
      </c>
      <c r="G1137" s="1698"/>
    </row>
    <row r="1138" spans="1:7" ht="15.75">
      <c r="A1138" s="3252">
        <v>53700</v>
      </c>
      <c r="B1138" s="3252">
        <v>53750</v>
      </c>
      <c r="C1138" s="3252">
        <v>9288</v>
      </c>
      <c r="D1138" s="3252">
        <v>7151</v>
      </c>
      <c r="E1138" s="3252">
        <v>9288</v>
      </c>
      <c r="F1138" s="3252">
        <v>7844</v>
      </c>
      <c r="G1138" s="1698"/>
    </row>
    <row r="1139" spans="1:7" ht="15.75">
      <c r="A1139" s="3252">
        <v>53750</v>
      </c>
      <c r="B1139" s="3252">
        <v>53800</v>
      </c>
      <c r="C1139" s="3252">
        <v>9300</v>
      </c>
      <c r="D1139" s="3252">
        <v>7159</v>
      </c>
      <c r="E1139" s="3252">
        <v>9300</v>
      </c>
      <c r="F1139" s="3252">
        <v>7856</v>
      </c>
      <c r="G1139" s="1698"/>
    </row>
    <row r="1140" spans="1:7" ht="15.75">
      <c r="A1140" s="3252">
        <v>53800</v>
      </c>
      <c r="B1140" s="3252">
        <v>53850</v>
      </c>
      <c r="C1140" s="3252">
        <v>9313</v>
      </c>
      <c r="D1140" s="3252">
        <v>7166</v>
      </c>
      <c r="E1140" s="3252">
        <v>9313</v>
      </c>
      <c r="F1140" s="3252">
        <v>7869</v>
      </c>
      <c r="G1140" s="1698"/>
    </row>
    <row r="1141" spans="1:7" ht="15.75">
      <c r="A1141" s="3252">
        <v>53850</v>
      </c>
      <c r="B1141" s="3252">
        <v>53900</v>
      </c>
      <c r="C1141" s="3252">
        <v>9325</v>
      </c>
      <c r="D1141" s="3252">
        <v>7174</v>
      </c>
      <c r="E1141" s="3252">
        <v>9325</v>
      </c>
      <c r="F1141" s="3252">
        <v>7881</v>
      </c>
      <c r="G1141" s="1698"/>
    </row>
    <row r="1142" spans="1:7" ht="15.75">
      <c r="A1142" s="3252">
        <v>53900</v>
      </c>
      <c r="B1142" s="3252">
        <v>53950</v>
      </c>
      <c r="C1142" s="3252">
        <v>9338</v>
      </c>
      <c r="D1142" s="3252">
        <v>7181</v>
      </c>
      <c r="E1142" s="3252">
        <v>9338</v>
      </c>
      <c r="F1142" s="3252">
        <v>7894</v>
      </c>
      <c r="G1142" s="1698"/>
    </row>
    <row r="1143" spans="1:7" ht="15.75">
      <c r="A1143" s="3252">
        <v>53950</v>
      </c>
      <c r="B1143" s="3252">
        <v>54000</v>
      </c>
      <c r="C1143" s="3252">
        <v>9350</v>
      </c>
      <c r="D1143" s="3252">
        <v>7189</v>
      </c>
      <c r="E1143" s="3252">
        <v>9350</v>
      </c>
      <c r="F1143" s="3252">
        <v>7906</v>
      </c>
      <c r="G1143" s="1698"/>
    </row>
    <row r="1144" spans="1:7" ht="15.75">
      <c r="A1144" s="3252">
        <v>54000</v>
      </c>
      <c r="B1144" s="3252">
        <v>54050</v>
      </c>
      <c r="C1144" s="3252">
        <v>9363</v>
      </c>
      <c r="D1144" s="3252">
        <v>7196</v>
      </c>
      <c r="E1144" s="3252">
        <v>9363</v>
      </c>
      <c r="F1144" s="3252">
        <v>7919</v>
      </c>
      <c r="G1144" s="1698"/>
    </row>
    <row r="1145" spans="1:7" ht="15.75">
      <c r="A1145" s="3252">
        <v>54050</v>
      </c>
      <c r="B1145" s="3252">
        <v>54100</v>
      </c>
      <c r="C1145" s="3252">
        <v>9375</v>
      </c>
      <c r="D1145" s="3252">
        <v>7204</v>
      </c>
      <c r="E1145" s="3252">
        <v>9375</v>
      </c>
      <c r="F1145" s="3252">
        <v>7931</v>
      </c>
      <c r="G1145" s="1698"/>
    </row>
    <row r="1146" spans="1:7" ht="15.75">
      <c r="A1146" s="3252">
        <v>54100</v>
      </c>
      <c r="B1146" s="3252">
        <v>54150</v>
      </c>
      <c r="C1146" s="3252">
        <v>9388</v>
      </c>
      <c r="D1146" s="3252">
        <v>7211</v>
      </c>
      <c r="E1146" s="3252">
        <v>9388</v>
      </c>
      <c r="F1146" s="3252">
        <v>7944</v>
      </c>
      <c r="G1146" s="1698"/>
    </row>
    <row r="1147" spans="1:7" ht="15.75">
      <c r="A1147" s="3252">
        <v>54150</v>
      </c>
      <c r="B1147" s="3252">
        <v>54200</v>
      </c>
      <c r="C1147" s="3252">
        <v>9400</v>
      </c>
      <c r="D1147" s="3252">
        <v>7219</v>
      </c>
      <c r="E1147" s="3252">
        <v>9400</v>
      </c>
      <c r="F1147" s="3252">
        <v>7956</v>
      </c>
      <c r="G1147" s="1698"/>
    </row>
    <row r="1148" spans="1:7" ht="15.75">
      <c r="A1148" s="3252">
        <v>54200</v>
      </c>
      <c r="B1148" s="3252">
        <v>54250</v>
      </c>
      <c r="C1148" s="3252">
        <v>9413</v>
      </c>
      <c r="D1148" s="3252">
        <v>7226</v>
      </c>
      <c r="E1148" s="3252">
        <v>9413</v>
      </c>
      <c r="F1148" s="3252">
        <v>7969</v>
      </c>
      <c r="G1148" s="1698"/>
    </row>
    <row r="1149" spans="1:7" ht="15.75">
      <c r="A1149" s="3252">
        <v>54250</v>
      </c>
      <c r="B1149" s="3252">
        <v>54300</v>
      </c>
      <c r="C1149" s="3252">
        <v>9425</v>
      </c>
      <c r="D1149" s="3252">
        <v>7234</v>
      </c>
      <c r="E1149" s="3252">
        <v>9425</v>
      </c>
      <c r="F1149" s="3252">
        <v>7981</v>
      </c>
      <c r="G1149" s="1698"/>
    </row>
    <row r="1150" spans="1:7" ht="15.75">
      <c r="A1150" s="3252">
        <v>54300</v>
      </c>
      <c r="B1150" s="3252">
        <v>54350</v>
      </c>
      <c r="C1150" s="3252">
        <v>9438</v>
      </c>
      <c r="D1150" s="3252">
        <v>7241</v>
      </c>
      <c r="E1150" s="3252">
        <v>9438</v>
      </c>
      <c r="F1150" s="3252">
        <v>7994</v>
      </c>
      <c r="G1150" s="1698"/>
    </row>
    <row r="1151" spans="1:7" ht="15.75">
      <c r="A1151" s="3252">
        <v>54350</v>
      </c>
      <c r="B1151" s="3252">
        <v>54400</v>
      </c>
      <c r="C1151" s="3252">
        <v>9450</v>
      </c>
      <c r="D1151" s="3252">
        <v>7249</v>
      </c>
      <c r="E1151" s="3252">
        <v>9450</v>
      </c>
      <c r="F1151" s="3252">
        <v>8006</v>
      </c>
      <c r="G1151" s="1698"/>
    </row>
    <row r="1152" spans="1:7" ht="15.75">
      <c r="A1152" s="3252">
        <v>54400</v>
      </c>
      <c r="B1152" s="3252">
        <v>54450</v>
      </c>
      <c r="C1152" s="3252">
        <v>9463</v>
      </c>
      <c r="D1152" s="3252">
        <v>7256</v>
      </c>
      <c r="E1152" s="3252">
        <v>9463</v>
      </c>
      <c r="F1152" s="3252">
        <v>8019</v>
      </c>
      <c r="G1152" s="1698"/>
    </row>
    <row r="1153" spans="1:7" ht="15.75">
      <c r="A1153" s="3252">
        <v>54450</v>
      </c>
      <c r="B1153" s="3252">
        <v>54500</v>
      </c>
      <c r="C1153" s="3252">
        <v>9475</v>
      </c>
      <c r="D1153" s="3252">
        <v>7264</v>
      </c>
      <c r="E1153" s="3252">
        <v>9475</v>
      </c>
      <c r="F1153" s="3252">
        <v>8031</v>
      </c>
      <c r="G1153" s="1698"/>
    </row>
    <row r="1154" spans="1:7" ht="15.75">
      <c r="A1154" s="3252">
        <v>54500</v>
      </c>
      <c r="B1154" s="3252">
        <v>54550</v>
      </c>
      <c r="C1154" s="3252">
        <v>9488</v>
      </c>
      <c r="D1154" s="3252">
        <v>7271</v>
      </c>
      <c r="E1154" s="3252">
        <v>9488</v>
      </c>
      <c r="F1154" s="3252">
        <v>8044</v>
      </c>
      <c r="G1154" s="1698"/>
    </row>
    <row r="1155" spans="1:7" ht="15.75">
      <c r="A1155" s="3252">
        <v>54550</v>
      </c>
      <c r="B1155" s="3252">
        <v>54600</v>
      </c>
      <c r="C1155" s="3252">
        <v>9500</v>
      </c>
      <c r="D1155" s="3252">
        <v>7279</v>
      </c>
      <c r="E1155" s="3252">
        <v>9500</v>
      </c>
      <c r="F1155" s="3252">
        <v>8056</v>
      </c>
      <c r="G1155" s="1698"/>
    </row>
    <row r="1156" spans="1:7" ht="15.75">
      <c r="A1156" s="3252">
        <v>54600</v>
      </c>
      <c r="B1156" s="3252">
        <v>54650</v>
      </c>
      <c r="C1156" s="3252">
        <v>9513</v>
      </c>
      <c r="D1156" s="3252">
        <v>7286</v>
      </c>
      <c r="E1156" s="3252">
        <v>9513</v>
      </c>
      <c r="F1156" s="3252">
        <v>8069</v>
      </c>
      <c r="G1156" s="1698"/>
    </row>
    <row r="1157" spans="1:7" ht="15.75">
      <c r="A1157" s="3252">
        <v>54650</v>
      </c>
      <c r="B1157" s="3252">
        <v>54700</v>
      </c>
      <c r="C1157" s="3252">
        <v>9525</v>
      </c>
      <c r="D1157" s="3252">
        <v>7294</v>
      </c>
      <c r="E1157" s="3252">
        <v>9525</v>
      </c>
      <c r="F1157" s="3252">
        <v>8081</v>
      </c>
      <c r="G1157" s="1698"/>
    </row>
    <row r="1158" spans="1:7" ht="15.75">
      <c r="A1158" s="3252">
        <v>54700</v>
      </c>
      <c r="B1158" s="3252">
        <v>54750</v>
      </c>
      <c r="C1158" s="3252">
        <v>9538</v>
      </c>
      <c r="D1158" s="3252">
        <v>7301</v>
      </c>
      <c r="E1158" s="3252">
        <v>9538</v>
      </c>
      <c r="F1158" s="3252">
        <v>8094</v>
      </c>
      <c r="G1158" s="1698"/>
    </row>
    <row r="1159" spans="1:7" ht="15.75">
      <c r="A1159" s="3252">
        <v>54750</v>
      </c>
      <c r="B1159" s="3252">
        <v>54800</v>
      </c>
      <c r="C1159" s="3252">
        <v>9550</v>
      </c>
      <c r="D1159" s="3252">
        <v>7309</v>
      </c>
      <c r="E1159" s="3252">
        <v>9550</v>
      </c>
      <c r="F1159" s="3252">
        <v>8106</v>
      </c>
      <c r="G1159" s="1698"/>
    </row>
    <row r="1160" spans="1:7" ht="15.75">
      <c r="A1160" s="3252">
        <v>54800</v>
      </c>
      <c r="B1160" s="3252">
        <v>54850</v>
      </c>
      <c r="C1160" s="3252">
        <v>9563</v>
      </c>
      <c r="D1160" s="3252">
        <v>7316</v>
      </c>
      <c r="E1160" s="3252">
        <v>9563</v>
      </c>
      <c r="F1160" s="3252">
        <v>8119</v>
      </c>
      <c r="G1160" s="1698"/>
    </row>
    <row r="1161" spans="1:7" ht="15.75">
      <c r="A1161" s="3252">
        <v>54850</v>
      </c>
      <c r="B1161" s="3252">
        <v>54900</v>
      </c>
      <c r="C1161" s="3252">
        <v>9575</v>
      </c>
      <c r="D1161" s="3252">
        <v>7324</v>
      </c>
      <c r="E1161" s="3252">
        <v>9575</v>
      </c>
      <c r="F1161" s="3252">
        <v>8131</v>
      </c>
      <c r="G1161" s="1698"/>
    </row>
    <row r="1162" spans="1:7" ht="15.75">
      <c r="A1162" s="3252">
        <v>54900</v>
      </c>
      <c r="B1162" s="3252">
        <v>54950</v>
      </c>
      <c r="C1162" s="3252">
        <v>9588</v>
      </c>
      <c r="D1162" s="3252">
        <v>7331</v>
      </c>
      <c r="E1162" s="3252">
        <v>9588</v>
      </c>
      <c r="F1162" s="3252">
        <v>8144</v>
      </c>
      <c r="G1162" s="1698"/>
    </row>
    <row r="1163" spans="1:7" ht="15.75">
      <c r="A1163" s="3252">
        <v>54950</v>
      </c>
      <c r="B1163" s="3252">
        <v>55000</v>
      </c>
      <c r="C1163" s="3252">
        <v>9600</v>
      </c>
      <c r="D1163" s="3252">
        <v>7339</v>
      </c>
      <c r="E1163" s="3252">
        <v>9600</v>
      </c>
      <c r="F1163" s="3252">
        <v>8156</v>
      </c>
      <c r="G1163" s="1698"/>
    </row>
    <row r="1164" spans="1:7" ht="15.75">
      <c r="A1164" s="3252">
        <v>55000</v>
      </c>
      <c r="B1164" s="3252">
        <v>55050</v>
      </c>
      <c r="C1164" s="3252">
        <v>9613</v>
      </c>
      <c r="D1164" s="3252">
        <v>7346</v>
      </c>
      <c r="E1164" s="3252">
        <v>9613</v>
      </c>
      <c r="F1164" s="3252">
        <v>8169</v>
      </c>
      <c r="G1164" s="1698"/>
    </row>
    <row r="1165" spans="1:7" ht="15.75">
      <c r="A1165" s="3252">
        <v>55050</v>
      </c>
      <c r="B1165" s="3252">
        <v>55100</v>
      </c>
      <c r="C1165" s="3252">
        <v>9625</v>
      </c>
      <c r="D1165" s="3252">
        <v>7354</v>
      </c>
      <c r="E1165" s="3252">
        <v>9625</v>
      </c>
      <c r="F1165" s="3252">
        <v>8181</v>
      </c>
      <c r="G1165" s="1698"/>
    </row>
    <row r="1166" spans="1:7" ht="15.75">
      <c r="A1166" s="3252">
        <v>55100</v>
      </c>
      <c r="B1166" s="3252">
        <v>55150</v>
      </c>
      <c r="C1166" s="3252">
        <v>9638</v>
      </c>
      <c r="D1166" s="3252">
        <v>7361</v>
      </c>
      <c r="E1166" s="3252">
        <v>9638</v>
      </c>
      <c r="F1166" s="3252">
        <v>8194</v>
      </c>
      <c r="G1166" s="1698"/>
    </row>
    <row r="1167" spans="1:7" ht="15.75">
      <c r="A1167" s="3252">
        <v>55150</v>
      </c>
      <c r="B1167" s="3252">
        <v>55200</v>
      </c>
      <c r="C1167" s="3252">
        <v>9650</v>
      </c>
      <c r="D1167" s="3252">
        <v>7369</v>
      </c>
      <c r="E1167" s="3252">
        <v>9650</v>
      </c>
      <c r="F1167" s="3252">
        <v>8206</v>
      </c>
      <c r="G1167" s="1698"/>
    </row>
    <row r="1168" spans="1:7" ht="15.75">
      <c r="A1168" s="3252">
        <v>55200</v>
      </c>
      <c r="B1168" s="3252">
        <v>55250</v>
      </c>
      <c r="C1168" s="3252">
        <v>9663</v>
      </c>
      <c r="D1168" s="3252">
        <v>7376</v>
      </c>
      <c r="E1168" s="3252">
        <v>9663</v>
      </c>
      <c r="F1168" s="3252">
        <v>8219</v>
      </c>
      <c r="G1168" s="1698"/>
    </row>
    <row r="1169" spans="1:7" ht="15.75">
      <c r="A1169" s="3252">
        <v>55250</v>
      </c>
      <c r="B1169" s="3252">
        <v>55300</v>
      </c>
      <c r="C1169" s="3252">
        <v>9675</v>
      </c>
      <c r="D1169" s="3252">
        <v>7384</v>
      </c>
      <c r="E1169" s="3252">
        <v>9675</v>
      </c>
      <c r="F1169" s="3252">
        <v>8231</v>
      </c>
      <c r="G1169" s="1698"/>
    </row>
    <row r="1170" spans="1:7" ht="15.75">
      <c r="A1170" s="3252">
        <v>55300</v>
      </c>
      <c r="B1170" s="3252">
        <v>55350</v>
      </c>
      <c r="C1170" s="3252">
        <v>9688</v>
      </c>
      <c r="D1170" s="3252">
        <v>7391</v>
      </c>
      <c r="E1170" s="3252">
        <v>9688</v>
      </c>
      <c r="F1170" s="3252">
        <v>8244</v>
      </c>
      <c r="G1170" s="1698"/>
    </row>
    <row r="1171" spans="1:7" ht="15.75">
      <c r="A1171" s="3252">
        <v>55350</v>
      </c>
      <c r="B1171" s="3252">
        <v>55400</v>
      </c>
      <c r="C1171" s="3252">
        <v>9700</v>
      </c>
      <c r="D1171" s="3252">
        <v>7399</v>
      </c>
      <c r="E1171" s="3252">
        <v>9700</v>
      </c>
      <c r="F1171" s="3252">
        <v>8256</v>
      </c>
      <c r="G1171" s="1698"/>
    </row>
    <row r="1172" spans="1:7" ht="15.75">
      <c r="A1172" s="3252">
        <v>55400</v>
      </c>
      <c r="B1172" s="3252">
        <v>55450</v>
      </c>
      <c r="C1172" s="3252">
        <v>9713</v>
      </c>
      <c r="D1172" s="3252">
        <v>7406</v>
      </c>
      <c r="E1172" s="3252">
        <v>9713</v>
      </c>
      <c r="F1172" s="3252">
        <v>8269</v>
      </c>
      <c r="G1172" s="1698"/>
    </row>
    <row r="1173" spans="1:7" ht="15.75">
      <c r="A1173" s="3252">
        <v>55450</v>
      </c>
      <c r="B1173" s="3252">
        <v>55500</v>
      </c>
      <c r="C1173" s="3252">
        <v>9725</v>
      </c>
      <c r="D1173" s="3252">
        <v>7414</v>
      </c>
      <c r="E1173" s="3252">
        <v>9725</v>
      </c>
      <c r="F1173" s="3252">
        <v>8281</v>
      </c>
      <c r="G1173" s="1698"/>
    </row>
    <row r="1174" spans="1:7" ht="15.75">
      <c r="A1174" s="3252">
        <v>55500</v>
      </c>
      <c r="B1174" s="3252">
        <v>55550</v>
      </c>
      <c r="C1174" s="3252">
        <v>9738</v>
      </c>
      <c r="D1174" s="3252">
        <v>7421</v>
      </c>
      <c r="E1174" s="3252">
        <v>9738</v>
      </c>
      <c r="F1174" s="3252">
        <v>8294</v>
      </c>
      <c r="G1174" s="1698"/>
    </row>
    <row r="1175" spans="1:7" ht="15.75">
      <c r="A1175" s="3252">
        <v>55550</v>
      </c>
      <c r="B1175" s="3252">
        <v>55600</v>
      </c>
      <c r="C1175" s="3252">
        <v>9750</v>
      </c>
      <c r="D1175" s="3252">
        <v>7429</v>
      </c>
      <c r="E1175" s="3252">
        <v>9750</v>
      </c>
      <c r="F1175" s="3252">
        <v>8306</v>
      </c>
      <c r="G1175" s="1698"/>
    </row>
    <row r="1176" spans="1:7" ht="15.75">
      <c r="A1176" s="3252">
        <v>55600</v>
      </c>
      <c r="B1176" s="3252">
        <v>55650</v>
      </c>
      <c r="C1176" s="3252">
        <v>9763</v>
      </c>
      <c r="D1176" s="3252">
        <v>7436</v>
      </c>
      <c r="E1176" s="3252">
        <v>9763</v>
      </c>
      <c r="F1176" s="3252">
        <v>8319</v>
      </c>
      <c r="G1176" s="1698"/>
    </row>
    <row r="1177" spans="1:7" ht="15.75">
      <c r="A1177" s="3252">
        <v>55650</v>
      </c>
      <c r="B1177" s="3252">
        <v>55700</v>
      </c>
      <c r="C1177" s="3252">
        <v>9775</v>
      </c>
      <c r="D1177" s="3252">
        <v>7444</v>
      </c>
      <c r="E1177" s="3252">
        <v>9775</v>
      </c>
      <c r="F1177" s="3252">
        <v>8331</v>
      </c>
      <c r="G1177" s="1698"/>
    </row>
    <row r="1178" spans="1:7" ht="15.75">
      <c r="A1178" s="3252">
        <v>55700</v>
      </c>
      <c r="B1178" s="3252">
        <v>55750</v>
      </c>
      <c r="C1178" s="3252">
        <v>9788</v>
      </c>
      <c r="D1178" s="3252">
        <v>7451</v>
      </c>
      <c r="E1178" s="3252">
        <v>9788</v>
      </c>
      <c r="F1178" s="3252">
        <v>8344</v>
      </c>
      <c r="G1178" s="1698"/>
    </row>
    <row r="1179" spans="1:7" ht="15.75">
      <c r="A1179" s="3252">
        <v>55750</v>
      </c>
      <c r="B1179" s="3252">
        <v>55800</v>
      </c>
      <c r="C1179" s="3252">
        <v>9800</v>
      </c>
      <c r="D1179" s="3252">
        <v>7459</v>
      </c>
      <c r="E1179" s="3252">
        <v>9800</v>
      </c>
      <c r="F1179" s="3252">
        <v>8356</v>
      </c>
      <c r="G1179" s="1698"/>
    </row>
    <row r="1180" spans="1:7" ht="15.75">
      <c r="A1180" s="3252">
        <v>55800</v>
      </c>
      <c r="B1180" s="3252">
        <v>55850</v>
      </c>
      <c r="C1180" s="3252">
        <v>9813</v>
      </c>
      <c r="D1180" s="3252">
        <v>7466</v>
      </c>
      <c r="E1180" s="3252">
        <v>9813</v>
      </c>
      <c r="F1180" s="3252">
        <v>8369</v>
      </c>
      <c r="G1180" s="1698"/>
    </row>
    <row r="1181" spans="1:7" ht="15.75">
      <c r="A1181" s="3252">
        <v>55850</v>
      </c>
      <c r="B1181" s="3252">
        <v>55900</v>
      </c>
      <c r="C1181" s="3252">
        <v>9825</v>
      </c>
      <c r="D1181" s="3252">
        <v>7474</v>
      </c>
      <c r="E1181" s="3252">
        <v>9825</v>
      </c>
      <c r="F1181" s="3252">
        <v>8381</v>
      </c>
      <c r="G1181" s="1698"/>
    </row>
    <row r="1182" spans="1:7" ht="15.75">
      <c r="A1182" s="3252">
        <v>55900</v>
      </c>
      <c r="B1182" s="3252">
        <v>55950</v>
      </c>
      <c r="C1182" s="3252">
        <v>9838</v>
      </c>
      <c r="D1182" s="3252">
        <v>7481</v>
      </c>
      <c r="E1182" s="3252">
        <v>9838</v>
      </c>
      <c r="F1182" s="3252">
        <v>8394</v>
      </c>
      <c r="G1182" s="1698"/>
    </row>
    <row r="1183" spans="1:7" ht="15.75">
      <c r="A1183" s="3252">
        <v>55950</v>
      </c>
      <c r="B1183" s="3252">
        <v>56000</v>
      </c>
      <c r="C1183" s="3252">
        <v>9850</v>
      </c>
      <c r="D1183" s="3252">
        <v>7489</v>
      </c>
      <c r="E1183" s="3252">
        <v>9850</v>
      </c>
      <c r="F1183" s="3252">
        <v>8406</v>
      </c>
      <c r="G1183" s="1698"/>
    </row>
    <row r="1184" spans="1:7" ht="15.75">
      <c r="A1184" s="3252">
        <v>56000</v>
      </c>
      <c r="B1184" s="3252">
        <v>56050</v>
      </c>
      <c r="C1184" s="3252">
        <v>9863</v>
      </c>
      <c r="D1184" s="3252">
        <v>7496</v>
      </c>
      <c r="E1184" s="3252">
        <v>9863</v>
      </c>
      <c r="F1184" s="3252">
        <v>8419</v>
      </c>
      <c r="G1184" s="1698"/>
    </row>
    <row r="1185" spans="1:7" ht="15.75">
      <c r="A1185" s="3252">
        <v>56050</v>
      </c>
      <c r="B1185" s="3252">
        <v>56100</v>
      </c>
      <c r="C1185" s="3252">
        <v>9875</v>
      </c>
      <c r="D1185" s="3252">
        <v>7504</v>
      </c>
      <c r="E1185" s="3252">
        <v>9875</v>
      </c>
      <c r="F1185" s="3252">
        <v>8431</v>
      </c>
      <c r="G1185" s="1698"/>
    </row>
    <row r="1186" spans="1:7" ht="15.75">
      <c r="A1186" s="3252">
        <v>56100</v>
      </c>
      <c r="B1186" s="3252">
        <v>56150</v>
      </c>
      <c r="C1186" s="3252">
        <v>9888</v>
      </c>
      <c r="D1186" s="3252">
        <v>7511</v>
      </c>
      <c r="E1186" s="3252">
        <v>9888</v>
      </c>
      <c r="F1186" s="3252">
        <v>8444</v>
      </c>
      <c r="G1186" s="1698"/>
    </row>
    <row r="1187" spans="1:7" ht="15.75">
      <c r="A1187" s="3252">
        <v>56150</v>
      </c>
      <c r="B1187" s="3252">
        <v>56200</v>
      </c>
      <c r="C1187" s="3252">
        <v>9900</v>
      </c>
      <c r="D1187" s="3252">
        <v>7519</v>
      </c>
      <c r="E1187" s="3252">
        <v>9900</v>
      </c>
      <c r="F1187" s="3252">
        <v>8456</v>
      </c>
      <c r="G1187" s="1698"/>
    </row>
    <row r="1188" spans="1:7" ht="15.75">
      <c r="A1188" s="3252">
        <v>56200</v>
      </c>
      <c r="B1188" s="3252">
        <v>56250</v>
      </c>
      <c r="C1188" s="3252">
        <v>9913</v>
      </c>
      <c r="D1188" s="3252">
        <v>7526</v>
      </c>
      <c r="E1188" s="3252">
        <v>9913</v>
      </c>
      <c r="F1188" s="3252">
        <v>8469</v>
      </c>
      <c r="G1188" s="1698"/>
    </row>
    <row r="1189" spans="1:7" ht="15.75">
      <c r="A1189" s="3252">
        <v>56250</v>
      </c>
      <c r="B1189" s="3252">
        <v>56300</v>
      </c>
      <c r="C1189" s="3252">
        <v>9925</v>
      </c>
      <c r="D1189" s="3252">
        <v>7534</v>
      </c>
      <c r="E1189" s="3252">
        <v>9925</v>
      </c>
      <c r="F1189" s="3252">
        <v>8481</v>
      </c>
      <c r="G1189" s="1698"/>
    </row>
    <row r="1190" spans="1:7" ht="15.75">
      <c r="A1190" s="3252">
        <v>56300</v>
      </c>
      <c r="B1190" s="3252">
        <v>56350</v>
      </c>
      <c r="C1190" s="3252">
        <v>9938</v>
      </c>
      <c r="D1190" s="3252">
        <v>7541</v>
      </c>
      <c r="E1190" s="3252">
        <v>9938</v>
      </c>
      <c r="F1190" s="3252">
        <v>8494</v>
      </c>
      <c r="G1190" s="1698"/>
    </row>
    <row r="1191" spans="1:7" ht="15.75">
      <c r="A1191" s="3252">
        <v>56350</v>
      </c>
      <c r="B1191" s="3252">
        <v>56400</v>
      </c>
      <c r="C1191" s="3252">
        <v>9950</v>
      </c>
      <c r="D1191" s="3252">
        <v>7549</v>
      </c>
      <c r="E1191" s="3252">
        <v>9950</v>
      </c>
      <c r="F1191" s="3252">
        <v>8506</v>
      </c>
      <c r="G1191" s="1698"/>
    </row>
    <row r="1192" spans="1:7" ht="15.75">
      <c r="A1192" s="3252">
        <v>56400</v>
      </c>
      <c r="B1192" s="3252">
        <v>56450</v>
      </c>
      <c r="C1192" s="3252">
        <v>9963</v>
      </c>
      <c r="D1192" s="3252">
        <v>7556</v>
      </c>
      <c r="E1192" s="3252">
        <v>9963</v>
      </c>
      <c r="F1192" s="3252">
        <v>8519</v>
      </c>
      <c r="G1192" s="1698"/>
    </row>
    <row r="1193" spans="1:7" ht="15.75">
      <c r="A1193" s="3252">
        <v>56450</v>
      </c>
      <c r="B1193" s="3252">
        <v>56500</v>
      </c>
      <c r="C1193" s="3252">
        <v>9975</v>
      </c>
      <c r="D1193" s="3252">
        <v>7564</v>
      </c>
      <c r="E1193" s="3252">
        <v>9975</v>
      </c>
      <c r="F1193" s="3252">
        <v>8531</v>
      </c>
      <c r="G1193" s="1698"/>
    </row>
    <row r="1194" spans="1:7" ht="15.75">
      <c r="A1194" s="3252">
        <v>56500</v>
      </c>
      <c r="B1194" s="3252">
        <v>56550</v>
      </c>
      <c r="C1194" s="3252">
        <v>9988</v>
      </c>
      <c r="D1194" s="3252">
        <v>7571</v>
      </c>
      <c r="E1194" s="3252">
        <v>9988</v>
      </c>
      <c r="F1194" s="3252">
        <v>8544</v>
      </c>
      <c r="G1194" s="1698"/>
    </row>
    <row r="1195" spans="1:7" ht="15.75">
      <c r="A1195" s="3252">
        <v>56550</v>
      </c>
      <c r="B1195" s="3252">
        <v>56600</v>
      </c>
      <c r="C1195" s="3252">
        <v>10000</v>
      </c>
      <c r="D1195" s="3252">
        <v>7579</v>
      </c>
      <c r="E1195" s="3252">
        <v>10000</v>
      </c>
      <c r="F1195" s="3252">
        <v>8556</v>
      </c>
      <c r="G1195" s="1698"/>
    </row>
    <row r="1196" spans="1:7" ht="15.75">
      <c r="A1196" s="3252">
        <v>56600</v>
      </c>
      <c r="B1196" s="3252">
        <v>56650</v>
      </c>
      <c r="C1196" s="3252">
        <v>10013</v>
      </c>
      <c r="D1196" s="3252">
        <v>7586</v>
      </c>
      <c r="E1196" s="3252">
        <v>10013</v>
      </c>
      <c r="F1196" s="3252">
        <v>8569</v>
      </c>
      <c r="G1196" s="1698"/>
    </row>
    <row r="1197" spans="1:7" ht="15.75">
      <c r="A1197" s="3252">
        <v>56650</v>
      </c>
      <c r="B1197" s="3252">
        <v>56700</v>
      </c>
      <c r="C1197" s="3252">
        <v>10025</v>
      </c>
      <c r="D1197" s="3252">
        <v>7594</v>
      </c>
      <c r="E1197" s="3252">
        <v>10025</v>
      </c>
      <c r="F1197" s="3252">
        <v>8581</v>
      </c>
      <c r="G1197" s="1698"/>
    </row>
    <row r="1198" spans="1:7" ht="15.75">
      <c r="A1198" s="3252">
        <v>56700</v>
      </c>
      <c r="B1198" s="3252">
        <v>56750</v>
      </c>
      <c r="C1198" s="3252">
        <v>10038</v>
      </c>
      <c r="D1198" s="3252">
        <v>7601</v>
      </c>
      <c r="E1198" s="3252">
        <v>10038</v>
      </c>
      <c r="F1198" s="3252">
        <v>8594</v>
      </c>
      <c r="G1198" s="1698"/>
    </row>
    <row r="1199" spans="1:7" ht="15.75">
      <c r="A1199" s="3252">
        <v>56750</v>
      </c>
      <c r="B1199" s="3252">
        <v>56800</v>
      </c>
      <c r="C1199" s="3252">
        <v>10050</v>
      </c>
      <c r="D1199" s="3252">
        <v>7609</v>
      </c>
      <c r="E1199" s="3252">
        <v>10050</v>
      </c>
      <c r="F1199" s="3252">
        <v>8606</v>
      </c>
      <c r="G1199" s="1698"/>
    </row>
    <row r="1200" spans="1:7" ht="15.75">
      <c r="A1200" s="3252">
        <v>56800</v>
      </c>
      <c r="B1200" s="3252">
        <v>56850</v>
      </c>
      <c r="C1200" s="3252">
        <v>10063</v>
      </c>
      <c r="D1200" s="3252">
        <v>7616</v>
      </c>
      <c r="E1200" s="3252">
        <v>10063</v>
      </c>
      <c r="F1200" s="3252">
        <v>8619</v>
      </c>
      <c r="G1200" s="1698"/>
    </row>
    <row r="1201" spans="1:7" ht="15.75">
      <c r="A1201" s="3252">
        <v>56850</v>
      </c>
      <c r="B1201" s="3252">
        <v>56900</v>
      </c>
      <c r="C1201" s="3252">
        <v>10075</v>
      </c>
      <c r="D1201" s="3252">
        <v>7624</v>
      </c>
      <c r="E1201" s="3252">
        <v>10075</v>
      </c>
      <c r="F1201" s="3252">
        <v>8631</v>
      </c>
      <c r="G1201" s="1698"/>
    </row>
    <row r="1202" spans="1:7" ht="15.75">
      <c r="A1202" s="3252">
        <v>56900</v>
      </c>
      <c r="B1202" s="3252">
        <v>56950</v>
      </c>
      <c r="C1202" s="3252">
        <v>10088</v>
      </c>
      <c r="D1202" s="3252">
        <v>7631</v>
      </c>
      <c r="E1202" s="3252">
        <v>10088</v>
      </c>
      <c r="F1202" s="3252">
        <v>8644</v>
      </c>
      <c r="G1202" s="1698"/>
    </row>
    <row r="1203" spans="1:7" ht="15.75">
      <c r="A1203" s="3252">
        <v>56950</v>
      </c>
      <c r="B1203" s="3252">
        <v>57000</v>
      </c>
      <c r="C1203" s="3252">
        <v>10100</v>
      </c>
      <c r="D1203" s="3252">
        <v>7639</v>
      </c>
      <c r="E1203" s="3252">
        <v>10100</v>
      </c>
      <c r="F1203" s="3252">
        <v>8656</v>
      </c>
      <c r="G1203" s="1698"/>
    </row>
    <row r="1204" spans="1:7" ht="15.75">
      <c r="A1204" s="3252">
        <v>57000</v>
      </c>
      <c r="B1204" s="3252">
        <v>57050</v>
      </c>
      <c r="C1204" s="3252">
        <v>10113</v>
      </c>
      <c r="D1204" s="3252">
        <v>7646</v>
      </c>
      <c r="E1204" s="3252">
        <v>10113</v>
      </c>
      <c r="F1204" s="3252">
        <v>8669</v>
      </c>
      <c r="G1204" s="1698"/>
    </row>
    <row r="1205" spans="1:7" ht="15.75">
      <c r="A1205" s="3252">
        <v>57050</v>
      </c>
      <c r="B1205" s="3252">
        <v>57100</v>
      </c>
      <c r="C1205" s="3252">
        <v>10125</v>
      </c>
      <c r="D1205" s="3252">
        <v>7654</v>
      </c>
      <c r="E1205" s="3252">
        <v>10125</v>
      </c>
      <c r="F1205" s="3252">
        <v>8681</v>
      </c>
      <c r="G1205" s="1698"/>
    </row>
    <row r="1206" spans="1:7" ht="15.75">
      <c r="A1206" s="3252">
        <v>57100</v>
      </c>
      <c r="B1206" s="3252">
        <v>57150</v>
      </c>
      <c r="C1206" s="3252">
        <v>10138</v>
      </c>
      <c r="D1206" s="3252">
        <v>7661</v>
      </c>
      <c r="E1206" s="3252">
        <v>10138</v>
      </c>
      <c r="F1206" s="3252">
        <v>8694</v>
      </c>
      <c r="G1206" s="1698"/>
    </row>
    <row r="1207" spans="1:7" ht="15.75">
      <c r="A1207" s="3252">
        <v>57150</v>
      </c>
      <c r="B1207" s="3252">
        <v>57200</v>
      </c>
      <c r="C1207" s="3252">
        <v>10150</v>
      </c>
      <c r="D1207" s="3252">
        <v>7669</v>
      </c>
      <c r="E1207" s="3252">
        <v>10150</v>
      </c>
      <c r="F1207" s="3252">
        <v>8706</v>
      </c>
      <c r="G1207" s="1698"/>
    </row>
    <row r="1208" spans="1:7" ht="15.75">
      <c r="A1208" s="3252">
        <v>57200</v>
      </c>
      <c r="B1208" s="3252">
        <v>57250</v>
      </c>
      <c r="C1208" s="3252">
        <v>10163</v>
      </c>
      <c r="D1208" s="3252">
        <v>7676</v>
      </c>
      <c r="E1208" s="3252">
        <v>10163</v>
      </c>
      <c r="F1208" s="3252">
        <v>8719</v>
      </c>
      <c r="G1208" s="1698"/>
    </row>
    <row r="1209" spans="1:7" ht="15.75">
      <c r="A1209" s="3252">
        <v>57250</v>
      </c>
      <c r="B1209" s="3252">
        <v>57300</v>
      </c>
      <c r="C1209" s="3252">
        <v>10175</v>
      </c>
      <c r="D1209" s="3252">
        <v>7684</v>
      </c>
      <c r="E1209" s="3252">
        <v>10175</v>
      </c>
      <c r="F1209" s="3252">
        <v>8731</v>
      </c>
      <c r="G1209" s="1698"/>
    </row>
    <row r="1210" spans="1:7" ht="15.75">
      <c r="A1210" s="3252">
        <v>57300</v>
      </c>
      <c r="B1210" s="3252">
        <v>57350</v>
      </c>
      <c r="C1210" s="3252">
        <v>10188</v>
      </c>
      <c r="D1210" s="3252">
        <v>7691</v>
      </c>
      <c r="E1210" s="3252">
        <v>10188</v>
      </c>
      <c r="F1210" s="3252">
        <v>8744</v>
      </c>
      <c r="G1210" s="1698"/>
    </row>
    <row r="1211" spans="1:7" ht="15.75">
      <c r="A1211" s="3252">
        <v>57350</v>
      </c>
      <c r="B1211" s="3252">
        <v>57400</v>
      </c>
      <c r="C1211" s="3252">
        <v>10200</v>
      </c>
      <c r="D1211" s="3252">
        <v>7699</v>
      </c>
      <c r="E1211" s="3252">
        <v>10200</v>
      </c>
      <c r="F1211" s="3252">
        <v>8756</v>
      </c>
      <c r="G1211" s="1698"/>
    </row>
    <row r="1212" spans="1:7" ht="15.75">
      <c r="A1212" s="3252">
        <v>57400</v>
      </c>
      <c r="B1212" s="3252">
        <v>57450</v>
      </c>
      <c r="C1212" s="3252">
        <v>10213</v>
      </c>
      <c r="D1212" s="3252">
        <v>7706</v>
      </c>
      <c r="E1212" s="3252">
        <v>10213</v>
      </c>
      <c r="F1212" s="3252">
        <v>8769</v>
      </c>
      <c r="G1212" s="1698"/>
    </row>
    <row r="1213" spans="1:7" ht="15.75">
      <c r="A1213" s="3252">
        <v>57450</v>
      </c>
      <c r="B1213" s="3252">
        <v>57500</v>
      </c>
      <c r="C1213" s="3252">
        <v>10225</v>
      </c>
      <c r="D1213" s="3252">
        <v>7714</v>
      </c>
      <c r="E1213" s="3252">
        <v>10225</v>
      </c>
      <c r="F1213" s="3252">
        <v>8781</v>
      </c>
      <c r="G1213" s="1698"/>
    </row>
    <row r="1214" spans="1:7" ht="15.75">
      <c r="A1214" s="3252">
        <v>57500</v>
      </c>
      <c r="B1214" s="3252">
        <v>57550</v>
      </c>
      <c r="C1214" s="3252">
        <v>10238</v>
      </c>
      <c r="D1214" s="3252">
        <v>7721</v>
      </c>
      <c r="E1214" s="3252">
        <v>10238</v>
      </c>
      <c r="F1214" s="3252">
        <v>8794</v>
      </c>
      <c r="G1214" s="1698"/>
    </row>
    <row r="1215" spans="1:7" ht="15.75">
      <c r="A1215" s="3252">
        <v>57550</v>
      </c>
      <c r="B1215" s="3252">
        <v>57600</v>
      </c>
      <c r="C1215" s="3252">
        <v>10250</v>
      </c>
      <c r="D1215" s="3252">
        <v>7729</v>
      </c>
      <c r="E1215" s="3252">
        <v>10250</v>
      </c>
      <c r="F1215" s="3252">
        <v>8806</v>
      </c>
      <c r="G1215" s="1698"/>
    </row>
    <row r="1216" spans="1:7" ht="15.75">
      <c r="A1216" s="3252">
        <v>57600</v>
      </c>
      <c r="B1216" s="3252">
        <v>57650</v>
      </c>
      <c r="C1216" s="3252">
        <v>10263</v>
      </c>
      <c r="D1216" s="3252">
        <v>7736</v>
      </c>
      <c r="E1216" s="3252">
        <v>10263</v>
      </c>
      <c r="F1216" s="3252">
        <v>8819</v>
      </c>
      <c r="G1216" s="1698"/>
    </row>
    <row r="1217" spans="1:7" ht="15.75">
      <c r="A1217" s="3252">
        <v>57650</v>
      </c>
      <c r="B1217" s="3252">
        <v>57700</v>
      </c>
      <c r="C1217" s="3252">
        <v>10275</v>
      </c>
      <c r="D1217" s="3252">
        <v>7744</v>
      </c>
      <c r="E1217" s="3252">
        <v>10275</v>
      </c>
      <c r="F1217" s="3252">
        <v>8831</v>
      </c>
      <c r="G1217" s="1698"/>
    </row>
    <row r="1218" spans="1:7" ht="15.75">
      <c r="A1218" s="3252">
        <v>57700</v>
      </c>
      <c r="B1218" s="3252">
        <v>57750</v>
      </c>
      <c r="C1218" s="3252">
        <v>10288</v>
      </c>
      <c r="D1218" s="3252">
        <v>7751</v>
      </c>
      <c r="E1218" s="3252">
        <v>10288</v>
      </c>
      <c r="F1218" s="3252">
        <v>8844</v>
      </c>
      <c r="G1218" s="1698"/>
    </row>
    <row r="1219" spans="1:7" ht="15.75">
      <c r="A1219" s="3252">
        <v>57750</v>
      </c>
      <c r="B1219" s="3252">
        <v>57800</v>
      </c>
      <c r="C1219" s="3252">
        <v>10300</v>
      </c>
      <c r="D1219" s="3252">
        <v>7759</v>
      </c>
      <c r="E1219" s="3252">
        <v>10300</v>
      </c>
      <c r="F1219" s="3252">
        <v>8856</v>
      </c>
      <c r="G1219" s="1698"/>
    </row>
    <row r="1220" spans="1:7" ht="15.75">
      <c r="A1220" s="3252">
        <v>57800</v>
      </c>
      <c r="B1220" s="3252">
        <v>57850</v>
      </c>
      <c r="C1220" s="3252">
        <v>10313</v>
      </c>
      <c r="D1220" s="3252">
        <v>7766</v>
      </c>
      <c r="E1220" s="3252">
        <v>10313</v>
      </c>
      <c r="F1220" s="3252">
        <v>8869</v>
      </c>
      <c r="G1220" s="1698"/>
    </row>
    <row r="1221" spans="1:7" ht="15.75">
      <c r="A1221" s="3252">
        <v>57850</v>
      </c>
      <c r="B1221" s="3252">
        <v>57900</v>
      </c>
      <c r="C1221" s="3252">
        <v>10325</v>
      </c>
      <c r="D1221" s="3252">
        <v>7774</v>
      </c>
      <c r="E1221" s="3252">
        <v>10325</v>
      </c>
      <c r="F1221" s="3252">
        <v>8881</v>
      </c>
      <c r="G1221" s="1698"/>
    </row>
    <row r="1222" spans="1:7" ht="15.75">
      <c r="A1222" s="3252">
        <v>57900</v>
      </c>
      <c r="B1222" s="3252">
        <v>57950</v>
      </c>
      <c r="C1222" s="3252">
        <v>10338</v>
      </c>
      <c r="D1222" s="3252">
        <v>7781</v>
      </c>
      <c r="E1222" s="3252">
        <v>10338</v>
      </c>
      <c r="F1222" s="3252">
        <v>8894</v>
      </c>
      <c r="G1222" s="1698"/>
    </row>
    <row r="1223" spans="1:7" ht="15.75">
      <c r="A1223" s="3252">
        <v>57950</v>
      </c>
      <c r="B1223" s="3252">
        <v>58000</v>
      </c>
      <c r="C1223" s="3252">
        <v>10350</v>
      </c>
      <c r="D1223" s="3252">
        <v>7789</v>
      </c>
      <c r="E1223" s="3252">
        <v>10350</v>
      </c>
      <c r="F1223" s="3252">
        <v>8906</v>
      </c>
      <c r="G1223" s="1698"/>
    </row>
    <row r="1224" spans="1:7" ht="15.75">
      <c r="A1224" s="3252">
        <v>58000</v>
      </c>
      <c r="B1224" s="3252">
        <v>58050</v>
      </c>
      <c r="C1224" s="3252">
        <v>10363</v>
      </c>
      <c r="D1224" s="3252">
        <v>7796</v>
      </c>
      <c r="E1224" s="3252">
        <v>10363</v>
      </c>
      <c r="F1224" s="3252">
        <v>8919</v>
      </c>
      <c r="G1224" s="1698"/>
    </row>
    <row r="1225" spans="1:7" ht="15.75">
      <c r="A1225" s="3252">
        <v>58050</v>
      </c>
      <c r="B1225" s="3252">
        <v>58100</v>
      </c>
      <c r="C1225" s="3252">
        <v>10375</v>
      </c>
      <c r="D1225" s="3252">
        <v>7804</v>
      </c>
      <c r="E1225" s="3252">
        <v>10375</v>
      </c>
      <c r="F1225" s="3252">
        <v>8931</v>
      </c>
      <c r="G1225" s="1698"/>
    </row>
    <row r="1226" spans="1:7" ht="15.75">
      <c r="A1226" s="3252">
        <v>58100</v>
      </c>
      <c r="B1226" s="3252">
        <v>58150</v>
      </c>
      <c r="C1226" s="3252">
        <v>10388</v>
      </c>
      <c r="D1226" s="3252">
        <v>7811</v>
      </c>
      <c r="E1226" s="3252">
        <v>10388</v>
      </c>
      <c r="F1226" s="3252">
        <v>8944</v>
      </c>
      <c r="G1226" s="1698"/>
    </row>
    <row r="1227" spans="1:7" ht="15.75">
      <c r="A1227" s="3252">
        <v>58150</v>
      </c>
      <c r="B1227" s="3252">
        <v>58200</v>
      </c>
      <c r="C1227" s="3252">
        <v>10400</v>
      </c>
      <c r="D1227" s="3252">
        <v>7819</v>
      </c>
      <c r="E1227" s="3252">
        <v>10400</v>
      </c>
      <c r="F1227" s="3252">
        <v>8956</v>
      </c>
      <c r="G1227" s="1698"/>
    </row>
    <row r="1228" spans="1:7" ht="15.75">
      <c r="A1228" s="3252">
        <v>58200</v>
      </c>
      <c r="B1228" s="3252">
        <v>58250</v>
      </c>
      <c r="C1228" s="3252">
        <v>10413</v>
      </c>
      <c r="D1228" s="3252">
        <v>7826</v>
      </c>
      <c r="E1228" s="3252">
        <v>10413</v>
      </c>
      <c r="F1228" s="3252">
        <v>8969</v>
      </c>
      <c r="G1228" s="1698"/>
    </row>
    <row r="1229" spans="1:7" ht="15.75">
      <c r="A1229" s="3252">
        <v>58250</v>
      </c>
      <c r="B1229" s="3252">
        <v>58300</v>
      </c>
      <c r="C1229" s="3252">
        <v>10425</v>
      </c>
      <c r="D1229" s="3252">
        <v>7834</v>
      </c>
      <c r="E1229" s="3252">
        <v>10425</v>
      </c>
      <c r="F1229" s="3252">
        <v>8981</v>
      </c>
      <c r="G1229" s="1698"/>
    </row>
    <row r="1230" spans="1:7" ht="15.75">
      <c r="A1230" s="3252">
        <v>58300</v>
      </c>
      <c r="B1230" s="3252">
        <v>58350</v>
      </c>
      <c r="C1230" s="3252">
        <v>10438</v>
      </c>
      <c r="D1230" s="3252">
        <v>7841</v>
      </c>
      <c r="E1230" s="3252">
        <v>10438</v>
      </c>
      <c r="F1230" s="3252">
        <v>8994</v>
      </c>
      <c r="G1230" s="1698"/>
    </row>
    <row r="1231" spans="1:7" ht="15.75">
      <c r="A1231" s="3252">
        <v>58350</v>
      </c>
      <c r="B1231" s="3252">
        <v>58400</v>
      </c>
      <c r="C1231" s="3252">
        <v>10450</v>
      </c>
      <c r="D1231" s="3252">
        <v>7849</v>
      </c>
      <c r="E1231" s="3252">
        <v>10450</v>
      </c>
      <c r="F1231" s="3252">
        <v>9006</v>
      </c>
      <c r="G1231" s="1698"/>
    </row>
    <row r="1232" spans="1:7" ht="15.75">
      <c r="A1232" s="3252">
        <v>58400</v>
      </c>
      <c r="B1232" s="3252">
        <v>58450</v>
      </c>
      <c r="C1232" s="3252">
        <v>10463</v>
      </c>
      <c r="D1232" s="3252">
        <v>7856</v>
      </c>
      <c r="E1232" s="3252">
        <v>10463</v>
      </c>
      <c r="F1232" s="3252">
        <v>9019</v>
      </c>
      <c r="G1232" s="1698"/>
    </row>
    <row r="1233" spans="1:7" ht="15.75">
      <c r="A1233" s="3252">
        <v>58450</v>
      </c>
      <c r="B1233" s="3252">
        <v>58500</v>
      </c>
      <c r="C1233" s="3252">
        <v>10475</v>
      </c>
      <c r="D1233" s="3252">
        <v>7864</v>
      </c>
      <c r="E1233" s="3252">
        <v>10475</v>
      </c>
      <c r="F1233" s="3252">
        <v>9031</v>
      </c>
      <c r="G1233" s="1698"/>
    </row>
    <row r="1234" spans="1:7" ht="15.75">
      <c r="A1234" s="3252">
        <v>58500</v>
      </c>
      <c r="B1234" s="3252">
        <v>58550</v>
      </c>
      <c r="C1234" s="3252">
        <v>10488</v>
      </c>
      <c r="D1234" s="3252">
        <v>7871</v>
      </c>
      <c r="E1234" s="3252">
        <v>10488</v>
      </c>
      <c r="F1234" s="3252">
        <v>9044</v>
      </c>
      <c r="G1234" s="1698"/>
    </row>
    <row r="1235" spans="1:7" ht="15.75">
      <c r="A1235" s="3252">
        <v>58550</v>
      </c>
      <c r="B1235" s="3252">
        <v>58600</v>
      </c>
      <c r="C1235" s="3252">
        <v>10500</v>
      </c>
      <c r="D1235" s="3252">
        <v>7879</v>
      </c>
      <c r="E1235" s="3252">
        <v>10500</v>
      </c>
      <c r="F1235" s="3252">
        <v>9056</v>
      </c>
      <c r="G1235" s="1698"/>
    </row>
    <row r="1236" spans="1:7" ht="15.75">
      <c r="A1236" s="3252">
        <v>58600</v>
      </c>
      <c r="B1236" s="3252">
        <v>58650</v>
      </c>
      <c r="C1236" s="3252">
        <v>10513</v>
      </c>
      <c r="D1236" s="3252">
        <v>7886</v>
      </c>
      <c r="E1236" s="3252">
        <v>10513</v>
      </c>
      <c r="F1236" s="3252">
        <v>9069</v>
      </c>
      <c r="G1236" s="1698"/>
    </row>
    <row r="1237" spans="1:7" ht="15.75">
      <c r="A1237" s="3252">
        <v>58650</v>
      </c>
      <c r="B1237" s="3252">
        <v>58700</v>
      </c>
      <c r="C1237" s="3252">
        <v>10525</v>
      </c>
      <c r="D1237" s="3252">
        <v>7894</v>
      </c>
      <c r="E1237" s="3252">
        <v>10525</v>
      </c>
      <c r="F1237" s="3252">
        <v>9081</v>
      </c>
      <c r="G1237" s="1698"/>
    </row>
    <row r="1238" spans="1:7" ht="15.75">
      <c r="A1238" s="3252">
        <v>58700</v>
      </c>
      <c r="B1238" s="3252">
        <v>58750</v>
      </c>
      <c r="C1238" s="3252">
        <v>10538</v>
      </c>
      <c r="D1238" s="3252">
        <v>7901</v>
      </c>
      <c r="E1238" s="3252">
        <v>10538</v>
      </c>
      <c r="F1238" s="3252">
        <v>9094</v>
      </c>
      <c r="G1238" s="1698"/>
    </row>
    <row r="1239" spans="1:7" ht="15.75">
      <c r="A1239" s="3252">
        <v>58750</v>
      </c>
      <c r="B1239" s="3252">
        <v>58800</v>
      </c>
      <c r="C1239" s="3252">
        <v>10550</v>
      </c>
      <c r="D1239" s="3252">
        <v>7909</v>
      </c>
      <c r="E1239" s="3252">
        <v>10550</v>
      </c>
      <c r="F1239" s="3252">
        <v>9106</v>
      </c>
      <c r="G1239" s="1698"/>
    </row>
    <row r="1240" spans="1:7" ht="15.75">
      <c r="A1240" s="3252">
        <v>58800</v>
      </c>
      <c r="B1240" s="3252">
        <v>58850</v>
      </c>
      <c r="C1240" s="3252">
        <v>10563</v>
      </c>
      <c r="D1240" s="3252">
        <v>7916</v>
      </c>
      <c r="E1240" s="3252">
        <v>10563</v>
      </c>
      <c r="F1240" s="3252">
        <v>9119</v>
      </c>
      <c r="G1240" s="1698"/>
    </row>
    <row r="1241" spans="1:7" ht="15.75">
      <c r="A1241" s="3252">
        <v>58850</v>
      </c>
      <c r="B1241" s="3252">
        <v>58900</v>
      </c>
      <c r="C1241" s="3252">
        <v>10575</v>
      </c>
      <c r="D1241" s="3252">
        <v>7924</v>
      </c>
      <c r="E1241" s="3252">
        <v>10575</v>
      </c>
      <c r="F1241" s="3252">
        <v>9131</v>
      </c>
      <c r="G1241" s="1698"/>
    </row>
    <row r="1242" spans="1:7" ht="15.75">
      <c r="A1242" s="3252">
        <v>58900</v>
      </c>
      <c r="B1242" s="3252">
        <v>58950</v>
      </c>
      <c r="C1242" s="3252">
        <v>10588</v>
      </c>
      <c r="D1242" s="3252">
        <v>7931</v>
      </c>
      <c r="E1242" s="3252">
        <v>10588</v>
      </c>
      <c r="F1242" s="3252">
        <v>9144</v>
      </c>
      <c r="G1242" s="1698"/>
    </row>
    <row r="1243" spans="1:7" ht="15.75">
      <c r="A1243" s="3252">
        <v>58950</v>
      </c>
      <c r="B1243" s="3252">
        <v>59000</v>
      </c>
      <c r="C1243" s="3252">
        <v>10600</v>
      </c>
      <c r="D1243" s="3252">
        <v>7939</v>
      </c>
      <c r="E1243" s="3252">
        <v>10600</v>
      </c>
      <c r="F1243" s="3252">
        <v>9156</v>
      </c>
      <c r="G1243" s="1698"/>
    </row>
    <row r="1244" spans="1:7" ht="15.75">
      <c r="A1244" s="3252">
        <v>59000</v>
      </c>
      <c r="B1244" s="3252">
        <v>59050</v>
      </c>
      <c r="C1244" s="3252">
        <v>10613</v>
      </c>
      <c r="D1244" s="3252">
        <v>7946</v>
      </c>
      <c r="E1244" s="3252">
        <v>10613</v>
      </c>
      <c r="F1244" s="3252">
        <v>9169</v>
      </c>
      <c r="G1244" s="1698"/>
    </row>
    <row r="1245" spans="1:7" ht="15.75">
      <c r="A1245" s="3252">
        <v>59050</v>
      </c>
      <c r="B1245" s="3252">
        <v>59100</v>
      </c>
      <c r="C1245" s="3252">
        <v>10625</v>
      </c>
      <c r="D1245" s="3252">
        <v>7954</v>
      </c>
      <c r="E1245" s="3252">
        <v>10625</v>
      </c>
      <c r="F1245" s="3252">
        <v>9181</v>
      </c>
      <c r="G1245" s="1698"/>
    </row>
    <row r="1246" spans="1:7" ht="15.75">
      <c r="A1246" s="3252">
        <v>59100</v>
      </c>
      <c r="B1246" s="3252">
        <v>59150</v>
      </c>
      <c r="C1246" s="3252">
        <v>10638</v>
      </c>
      <c r="D1246" s="3252">
        <v>7961</v>
      </c>
      <c r="E1246" s="3252">
        <v>10638</v>
      </c>
      <c r="F1246" s="3252">
        <v>9194</v>
      </c>
      <c r="G1246" s="1698"/>
    </row>
    <row r="1247" spans="1:7" ht="15.75">
      <c r="A1247" s="3252">
        <v>59150</v>
      </c>
      <c r="B1247" s="3252">
        <v>59200</v>
      </c>
      <c r="C1247" s="3252">
        <v>10650</v>
      </c>
      <c r="D1247" s="3252">
        <v>7969</v>
      </c>
      <c r="E1247" s="3252">
        <v>10650</v>
      </c>
      <c r="F1247" s="3252">
        <v>9206</v>
      </c>
      <c r="G1247" s="1698"/>
    </row>
    <row r="1248" spans="1:7" ht="15.75">
      <c r="A1248" s="3252">
        <v>59200</v>
      </c>
      <c r="B1248" s="3252">
        <v>59250</v>
      </c>
      <c r="C1248" s="3252">
        <v>10663</v>
      </c>
      <c r="D1248" s="3252">
        <v>7976</v>
      </c>
      <c r="E1248" s="3252">
        <v>10663</v>
      </c>
      <c r="F1248" s="3252">
        <v>9219</v>
      </c>
      <c r="G1248" s="1698"/>
    </row>
    <row r="1249" spans="1:7" ht="15.75">
      <c r="A1249" s="3252">
        <v>59250</v>
      </c>
      <c r="B1249" s="3252">
        <v>59300</v>
      </c>
      <c r="C1249" s="3252">
        <v>10675</v>
      </c>
      <c r="D1249" s="3252">
        <v>7984</v>
      </c>
      <c r="E1249" s="3252">
        <v>10675</v>
      </c>
      <c r="F1249" s="3252">
        <v>9231</v>
      </c>
      <c r="G1249" s="1698"/>
    </row>
    <row r="1250" spans="1:7" ht="15.75">
      <c r="A1250" s="3252">
        <v>59300</v>
      </c>
      <c r="B1250" s="3252">
        <v>59350</v>
      </c>
      <c r="C1250" s="3252">
        <v>10688</v>
      </c>
      <c r="D1250" s="3252">
        <v>7991</v>
      </c>
      <c r="E1250" s="3252">
        <v>10688</v>
      </c>
      <c r="F1250" s="3252">
        <v>9244</v>
      </c>
      <c r="G1250" s="1698"/>
    </row>
    <row r="1251" spans="1:7" ht="15.75">
      <c r="A1251" s="3252">
        <v>59350</v>
      </c>
      <c r="B1251" s="3252">
        <v>59400</v>
      </c>
      <c r="C1251" s="3252">
        <v>10700</v>
      </c>
      <c r="D1251" s="3252">
        <v>7999</v>
      </c>
      <c r="E1251" s="3252">
        <v>10700</v>
      </c>
      <c r="F1251" s="3252">
        <v>9256</v>
      </c>
      <c r="G1251" s="1698"/>
    </row>
    <row r="1252" spans="1:7" ht="15.75">
      <c r="A1252" s="3252">
        <v>59400</v>
      </c>
      <c r="B1252" s="3252">
        <v>59450</v>
      </c>
      <c r="C1252" s="3252">
        <v>10713</v>
      </c>
      <c r="D1252" s="3252">
        <v>8006</v>
      </c>
      <c r="E1252" s="3252">
        <v>10713</v>
      </c>
      <c r="F1252" s="3252">
        <v>9269</v>
      </c>
      <c r="G1252" s="1698"/>
    </row>
    <row r="1253" spans="1:7" ht="15.75">
      <c r="A1253" s="3252">
        <v>59450</v>
      </c>
      <c r="B1253" s="3252">
        <v>59500</v>
      </c>
      <c r="C1253" s="3252">
        <v>10725</v>
      </c>
      <c r="D1253" s="3252">
        <v>8014</v>
      </c>
      <c r="E1253" s="3252">
        <v>10725</v>
      </c>
      <c r="F1253" s="3252">
        <v>9281</v>
      </c>
      <c r="G1253" s="1698"/>
    </row>
    <row r="1254" spans="1:7" ht="15.75">
      <c r="A1254" s="3252">
        <v>59500</v>
      </c>
      <c r="B1254" s="3252">
        <v>59550</v>
      </c>
      <c r="C1254" s="3252">
        <v>10738</v>
      </c>
      <c r="D1254" s="3252">
        <v>8021</v>
      </c>
      <c r="E1254" s="3252">
        <v>10738</v>
      </c>
      <c r="F1254" s="3252">
        <v>9294</v>
      </c>
      <c r="G1254" s="1698"/>
    </row>
    <row r="1255" spans="1:7" ht="15.75">
      <c r="A1255" s="3252">
        <v>59550</v>
      </c>
      <c r="B1255" s="3252">
        <v>59600</v>
      </c>
      <c r="C1255" s="3252">
        <v>10750</v>
      </c>
      <c r="D1255" s="3252">
        <v>8029</v>
      </c>
      <c r="E1255" s="3252">
        <v>10750</v>
      </c>
      <c r="F1255" s="3252">
        <v>9306</v>
      </c>
      <c r="G1255" s="1698"/>
    </row>
    <row r="1256" spans="1:7" ht="15.75">
      <c r="A1256" s="3252">
        <v>59600</v>
      </c>
      <c r="B1256" s="3252">
        <v>59650</v>
      </c>
      <c r="C1256" s="3252">
        <v>10763</v>
      </c>
      <c r="D1256" s="3252">
        <v>8036</v>
      </c>
      <c r="E1256" s="3252">
        <v>10763</v>
      </c>
      <c r="F1256" s="3252">
        <v>9319</v>
      </c>
      <c r="G1256" s="1698"/>
    </row>
    <row r="1257" spans="1:7" ht="15.75">
      <c r="A1257" s="3252">
        <v>59650</v>
      </c>
      <c r="B1257" s="3252">
        <v>59700</v>
      </c>
      <c r="C1257" s="3252">
        <v>10775</v>
      </c>
      <c r="D1257" s="3252">
        <v>8044</v>
      </c>
      <c r="E1257" s="3252">
        <v>10775</v>
      </c>
      <c r="F1257" s="3252">
        <v>9331</v>
      </c>
      <c r="G1257" s="1698"/>
    </row>
    <row r="1258" spans="1:7" ht="15.75">
      <c r="A1258" s="3252">
        <v>59700</v>
      </c>
      <c r="B1258" s="3252">
        <v>59750</v>
      </c>
      <c r="C1258" s="3252">
        <v>10788</v>
      </c>
      <c r="D1258" s="3252">
        <v>8051</v>
      </c>
      <c r="E1258" s="3252">
        <v>10788</v>
      </c>
      <c r="F1258" s="3252">
        <v>9344</v>
      </c>
      <c r="G1258" s="1698"/>
    </row>
    <row r="1259" spans="1:7" ht="15.75">
      <c r="A1259" s="3252">
        <v>59750</v>
      </c>
      <c r="B1259" s="3252">
        <v>59800</v>
      </c>
      <c r="C1259" s="3252">
        <v>10800</v>
      </c>
      <c r="D1259" s="3252">
        <v>8059</v>
      </c>
      <c r="E1259" s="3252">
        <v>10800</v>
      </c>
      <c r="F1259" s="3252">
        <v>9356</v>
      </c>
      <c r="G1259" s="1698"/>
    </row>
    <row r="1260" spans="1:7" ht="15.75">
      <c r="A1260" s="3252">
        <v>59800</v>
      </c>
      <c r="B1260" s="3252">
        <v>59850</v>
      </c>
      <c r="C1260" s="3252">
        <v>10813</v>
      </c>
      <c r="D1260" s="3252">
        <v>8066</v>
      </c>
      <c r="E1260" s="3252">
        <v>10813</v>
      </c>
      <c r="F1260" s="3252">
        <v>9369</v>
      </c>
      <c r="G1260" s="1698"/>
    </row>
    <row r="1261" spans="1:7" ht="15.75">
      <c r="A1261" s="3252">
        <v>59850</v>
      </c>
      <c r="B1261" s="3252">
        <v>59900</v>
      </c>
      <c r="C1261" s="3252">
        <v>10825</v>
      </c>
      <c r="D1261" s="3252">
        <v>8074</v>
      </c>
      <c r="E1261" s="3252">
        <v>10825</v>
      </c>
      <c r="F1261" s="3252">
        <v>9381</v>
      </c>
      <c r="G1261" s="1698"/>
    </row>
    <row r="1262" spans="1:7" ht="15.75">
      <c r="A1262" s="3252">
        <v>59900</v>
      </c>
      <c r="B1262" s="3252">
        <v>59950</v>
      </c>
      <c r="C1262" s="3252">
        <v>10838</v>
      </c>
      <c r="D1262" s="3252">
        <v>8081</v>
      </c>
      <c r="E1262" s="3252">
        <v>10838</v>
      </c>
      <c r="F1262" s="3252">
        <v>9394</v>
      </c>
      <c r="G1262" s="1698"/>
    </row>
    <row r="1263" spans="1:7" ht="15.75">
      <c r="A1263" s="3252">
        <v>59950</v>
      </c>
      <c r="B1263" s="3252">
        <v>60000</v>
      </c>
      <c r="C1263" s="3252">
        <v>10850</v>
      </c>
      <c r="D1263" s="3252">
        <v>8089</v>
      </c>
      <c r="E1263" s="3252">
        <v>10850</v>
      </c>
      <c r="F1263" s="3252">
        <v>9406</v>
      </c>
      <c r="G1263" s="1698"/>
    </row>
    <row r="1264" spans="1:7" ht="15.75">
      <c r="A1264" s="3252">
        <v>60000</v>
      </c>
      <c r="B1264" s="3252">
        <v>60050</v>
      </c>
      <c r="C1264" s="3252">
        <v>10863</v>
      </c>
      <c r="D1264" s="3252">
        <v>8096</v>
      </c>
      <c r="E1264" s="3252">
        <v>10863</v>
      </c>
      <c r="F1264" s="3252">
        <v>9419</v>
      </c>
      <c r="G1264" s="1698"/>
    </row>
    <row r="1265" spans="1:7" ht="15.75">
      <c r="A1265" s="3252">
        <v>60050</v>
      </c>
      <c r="B1265" s="3252">
        <v>60100</v>
      </c>
      <c r="C1265" s="3252">
        <v>10875</v>
      </c>
      <c r="D1265" s="3252">
        <v>8104</v>
      </c>
      <c r="E1265" s="3252">
        <v>10875</v>
      </c>
      <c r="F1265" s="3252">
        <v>9431</v>
      </c>
      <c r="G1265" s="1698"/>
    </row>
    <row r="1266" spans="1:7" ht="15.75">
      <c r="A1266" s="3252">
        <v>60100</v>
      </c>
      <c r="B1266" s="3252">
        <v>60150</v>
      </c>
      <c r="C1266" s="3252">
        <v>10888</v>
      </c>
      <c r="D1266" s="3252">
        <v>8111</v>
      </c>
      <c r="E1266" s="3252">
        <v>10888</v>
      </c>
      <c r="F1266" s="3252">
        <v>9444</v>
      </c>
      <c r="G1266" s="1698"/>
    </row>
    <row r="1267" spans="1:7" ht="15.75">
      <c r="A1267" s="3252">
        <v>60150</v>
      </c>
      <c r="B1267" s="3252">
        <v>60200</v>
      </c>
      <c r="C1267" s="3252">
        <v>10900</v>
      </c>
      <c r="D1267" s="3252">
        <v>8119</v>
      </c>
      <c r="E1267" s="3252">
        <v>10900</v>
      </c>
      <c r="F1267" s="3252">
        <v>9456</v>
      </c>
      <c r="G1267" s="1698"/>
    </row>
    <row r="1268" spans="1:7" ht="15.75">
      <c r="A1268" s="3252">
        <v>60200</v>
      </c>
      <c r="B1268" s="3252">
        <v>60250</v>
      </c>
      <c r="C1268" s="3252">
        <v>10913</v>
      </c>
      <c r="D1268" s="3252">
        <v>8126</v>
      </c>
      <c r="E1268" s="3252">
        <v>10913</v>
      </c>
      <c r="F1268" s="3252">
        <v>9469</v>
      </c>
      <c r="G1268" s="1698"/>
    </row>
    <row r="1269" spans="1:7" ht="15.75">
      <c r="A1269" s="3252">
        <v>60250</v>
      </c>
      <c r="B1269" s="3252">
        <v>60300</v>
      </c>
      <c r="C1269" s="3252">
        <v>10925</v>
      </c>
      <c r="D1269" s="3252">
        <v>8134</v>
      </c>
      <c r="E1269" s="3252">
        <v>10925</v>
      </c>
      <c r="F1269" s="3252">
        <v>9481</v>
      </c>
      <c r="G1269" s="1698"/>
    </row>
    <row r="1270" spans="1:7" ht="15.75">
      <c r="A1270" s="3252">
        <v>60300</v>
      </c>
      <c r="B1270" s="3252">
        <v>60350</v>
      </c>
      <c r="C1270" s="3252">
        <v>10938</v>
      </c>
      <c r="D1270" s="3252">
        <v>8141</v>
      </c>
      <c r="E1270" s="3252">
        <v>10938</v>
      </c>
      <c r="F1270" s="3252">
        <v>9494</v>
      </c>
      <c r="G1270" s="1698"/>
    </row>
    <row r="1271" spans="1:7" ht="15.75">
      <c r="A1271" s="3252">
        <v>60350</v>
      </c>
      <c r="B1271" s="3252">
        <v>60400</v>
      </c>
      <c r="C1271" s="3252">
        <v>10950</v>
      </c>
      <c r="D1271" s="3252">
        <v>8149</v>
      </c>
      <c r="E1271" s="3252">
        <v>10950</v>
      </c>
      <c r="F1271" s="3252">
        <v>9506</v>
      </c>
      <c r="G1271" s="1698"/>
    </row>
    <row r="1272" spans="1:7" ht="15.75">
      <c r="A1272" s="3252">
        <v>60400</v>
      </c>
      <c r="B1272" s="3252">
        <v>60450</v>
      </c>
      <c r="C1272" s="3252">
        <v>10963</v>
      </c>
      <c r="D1272" s="3252">
        <v>8156</v>
      </c>
      <c r="E1272" s="3252">
        <v>10963</v>
      </c>
      <c r="F1272" s="3252">
        <v>9519</v>
      </c>
      <c r="G1272" s="1698"/>
    </row>
    <row r="1273" spans="1:7" ht="15.75">
      <c r="A1273" s="3252">
        <v>60450</v>
      </c>
      <c r="B1273" s="3252">
        <v>60500</v>
      </c>
      <c r="C1273" s="3252">
        <v>10975</v>
      </c>
      <c r="D1273" s="3252">
        <v>8164</v>
      </c>
      <c r="E1273" s="3252">
        <v>10975</v>
      </c>
      <c r="F1273" s="3252">
        <v>9531</v>
      </c>
      <c r="G1273" s="1698"/>
    </row>
    <row r="1274" spans="1:7" ht="15.75">
      <c r="A1274" s="3252">
        <v>60500</v>
      </c>
      <c r="B1274" s="3252">
        <v>60550</v>
      </c>
      <c r="C1274" s="3252">
        <v>10988</v>
      </c>
      <c r="D1274" s="3252">
        <v>8171</v>
      </c>
      <c r="E1274" s="3252">
        <v>10988</v>
      </c>
      <c r="F1274" s="3252">
        <v>9544</v>
      </c>
      <c r="G1274" s="1698"/>
    </row>
    <row r="1275" spans="1:7" ht="15.75">
      <c r="A1275" s="3252">
        <v>60550</v>
      </c>
      <c r="B1275" s="3252">
        <v>60600</v>
      </c>
      <c r="C1275" s="3252">
        <v>11000</v>
      </c>
      <c r="D1275" s="3252">
        <v>8179</v>
      </c>
      <c r="E1275" s="3252">
        <v>11000</v>
      </c>
      <c r="F1275" s="3252">
        <v>9556</v>
      </c>
      <c r="G1275" s="1698"/>
    </row>
    <row r="1276" spans="1:7" ht="15.75">
      <c r="A1276" s="3252">
        <v>60600</v>
      </c>
      <c r="B1276" s="3252">
        <v>60650</v>
      </c>
      <c r="C1276" s="3252">
        <v>11013</v>
      </c>
      <c r="D1276" s="3252">
        <v>8186</v>
      </c>
      <c r="E1276" s="3252">
        <v>11013</v>
      </c>
      <c r="F1276" s="3252">
        <v>9569</v>
      </c>
      <c r="G1276" s="1698"/>
    </row>
    <row r="1277" spans="1:7" ht="15.75">
      <c r="A1277" s="3252">
        <v>60650</v>
      </c>
      <c r="B1277" s="3252">
        <v>60700</v>
      </c>
      <c r="C1277" s="3252">
        <v>11025</v>
      </c>
      <c r="D1277" s="3252">
        <v>8194</v>
      </c>
      <c r="E1277" s="3252">
        <v>11025</v>
      </c>
      <c r="F1277" s="3252">
        <v>9581</v>
      </c>
      <c r="G1277" s="1698"/>
    </row>
    <row r="1278" spans="1:7" ht="15.75">
      <c r="A1278" s="3252">
        <v>60700</v>
      </c>
      <c r="B1278" s="3252">
        <v>60750</v>
      </c>
      <c r="C1278" s="3252">
        <v>11038</v>
      </c>
      <c r="D1278" s="3252">
        <v>8201</v>
      </c>
      <c r="E1278" s="3252">
        <v>11038</v>
      </c>
      <c r="F1278" s="3252">
        <v>9594</v>
      </c>
      <c r="G1278" s="1698"/>
    </row>
    <row r="1279" spans="1:7" ht="15.75">
      <c r="A1279" s="3252">
        <v>60750</v>
      </c>
      <c r="B1279" s="3252">
        <v>60800</v>
      </c>
      <c r="C1279" s="3252">
        <v>11050</v>
      </c>
      <c r="D1279" s="3252">
        <v>8209</v>
      </c>
      <c r="E1279" s="3252">
        <v>11050</v>
      </c>
      <c r="F1279" s="3252">
        <v>9606</v>
      </c>
      <c r="G1279" s="1698"/>
    </row>
    <row r="1280" spans="1:7" ht="15.75">
      <c r="A1280" s="3252">
        <v>60800</v>
      </c>
      <c r="B1280" s="3252">
        <v>60850</v>
      </c>
      <c r="C1280" s="3252">
        <v>11063</v>
      </c>
      <c r="D1280" s="3252">
        <v>8216</v>
      </c>
      <c r="E1280" s="3252">
        <v>11063</v>
      </c>
      <c r="F1280" s="3252">
        <v>9619</v>
      </c>
      <c r="G1280" s="1698"/>
    </row>
    <row r="1281" spans="1:7" ht="15.75">
      <c r="A1281" s="3252">
        <v>60850</v>
      </c>
      <c r="B1281" s="3252">
        <v>60900</v>
      </c>
      <c r="C1281" s="3252">
        <v>11075</v>
      </c>
      <c r="D1281" s="3252">
        <v>8224</v>
      </c>
      <c r="E1281" s="3252">
        <v>11075</v>
      </c>
      <c r="F1281" s="3252">
        <v>9631</v>
      </c>
      <c r="G1281" s="1698"/>
    </row>
    <row r="1282" spans="1:7" ht="15.75">
      <c r="A1282" s="3252">
        <v>60900</v>
      </c>
      <c r="B1282" s="3252">
        <v>60950</v>
      </c>
      <c r="C1282" s="3252">
        <v>11088</v>
      </c>
      <c r="D1282" s="3252">
        <v>8231</v>
      </c>
      <c r="E1282" s="3252">
        <v>11088</v>
      </c>
      <c r="F1282" s="3252">
        <v>9644</v>
      </c>
      <c r="G1282" s="1698"/>
    </row>
    <row r="1283" spans="1:7" ht="15.75">
      <c r="A1283" s="3252">
        <v>60950</v>
      </c>
      <c r="B1283" s="3252">
        <v>61000</v>
      </c>
      <c r="C1283" s="3252">
        <v>11100</v>
      </c>
      <c r="D1283" s="3252">
        <v>8239</v>
      </c>
      <c r="E1283" s="3252">
        <v>11100</v>
      </c>
      <c r="F1283" s="3252">
        <v>9656</v>
      </c>
      <c r="G1283" s="1698"/>
    </row>
    <row r="1284" spans="1:7" ht="15.75">
      <c r="A1284" s="3252">
        <v>61000</v>
      </c>
      <c r="B1284" s="3252">
        <v>61050</v>
      </c>
      <c r="C1284" s="3252">
        <v>11113</v>
      </c>
      <c r="D1284" s="3252">
        <v>8246</v>
      </c>
      <c r="E1284" s="3252">
        <v>11113</v>
      </c>
      <c r="F1284" s="3252">
        <v>9669</v>
      </c>
      <c r="G1284" s="1698"/>
    </row>
    <row r="1285" spans="1:7" ht="15.75">
      <c r="A1285" s="3252">
        <v>61050</v>
      </c>
      <c r="B1285" s="3252">
        <v>61100</v>
      </c>
      <c r="C1285" s="3252">
        <v>11125</v>
      </c>
      <c r="D1285" s="3252">
        <v>8254</v>
      </c>
      <c r="E1285" s="3252">
        <v>11125</v>
      </c>
      <c r="F1285" s="3252">
        <v>9681</v>
      </c>
      <c r="G1285" s="1698"/>
    </row>
    <row r="1286" spans="1:7" ht="15.75">
      <c r="A1286" s="3252">
        <v>61100</v>
      </c>
      <c r="B1286" s="3252">
        <v>61150</v>
      </c>
      <c r="C1286" s="3252">
        <v>11138</v>
      </c>
      <c r="D1286" s="3252">
        <v>8261</v>
      </c>
      <c r="E1286" s="3252">
        <v>11138</v>
      </c>
      <c r="F1286" s="3252">
        <v>9694</v>
      </c>
      <c r="G1286" s="1698"/>
    </row>
    <row r="1287" spans="1:7" ht="15.75">
      <c r="A1287" s="3252">
        <v>61150</v>
      </c>
      <c r="B1287" s="3252">
        <v>61200</v>
      </c>
      <c r="C1287" s="3252">
        <v>11150</v>
      </c>
      <c r="D1287" s="3252">
        <v>8269</v>
      </c>
      <c r="E1287" s="3252">
        <v>11150</v>
      </c>
      <c r="F1287" s="3252">
        <v>9706</v>
      </c>
      <c r="G1287" s="1698"/>
    </row>
    <row r="1288" spans="1:7" ht="15.75">
      <c r="A1288" s="3252">
        <v>61200</v>
      </c>
      <c r="B1288" s="3252">
        <v>61250</v>
      </c>
      <c r="C1288" s="3252">
        <v>11163</v>
      </c>
      <c r="D1288" s="3252">
        <v>8276</v>
      </c>
      <c r="E1288" s="3252">
        <v>11163</v>
      </c>
      <c r="F1288" s="3252">
        <v>9719</v>
      </c>
      <c r="G1288" s="1698"/>
    </row>
    <row r="1289" spans="1:7" ht="15.75">
      <c r="A1289" s="3252">
        <v>61250</v>
      </c>
      <c r="B1289" s="3252">
        <v>61300</v>
      </c>
      <c r="C1289" s="3252">
        <v>11175</v>
      </c>
      <c r="D1289" s="3252">
        <v>8284</v>
      </c>
      <c r="E1289" s="3252">
        <v>11175</v>
      </c>
      <c r="F1289" s="3252">
        <v>9731</v>
      </c>
      <c r="G1289" s="1698"/>
    </row>
    <row r="1290" spans="1:7" ht="15.75">
      <c r="A1290" s="3252">
        <v>61300</v>
      </c>
      <c r="B1290" s="3252">
        <v>61350</v>
      </c>
      <c r="C1290" s="3252">
        <v>11188</v>
      </c>
      <c r="D1290" s="3252">
        <v>8291</v>
      </c>
      <c r="E1290" s="3252">
        <v>11188</v>
      </c>
      <c r="F1290" s="3252">
        <v>9744</v>
      </c>
      <c r="G1290" s="1698"/>
    </row>
    <row r="1291" spans="1:7" ht="15.75">
      <c r="A1291" s="3252">
        <v>61350</v>
      </c>
      <c r="B1291" s="3252">
        <v>61400</v>
      </c>
      <c r="C1291" s="3252">
        <v>11200</v>
      </c>
      <c r="D1291" s="3252">
        <v>8299</v>
      </c>
      <c r="E1291" s="3252">
        <v>11200</v>
      </c>
      <c r="F1291" s="3252">
        <v>9756</v>
      </c>
      <c r="G1291" s="1698"/>
    </row>
    <row r="1292" spans="1:7" ht="15.75">
      <c r="A1292" s="3252">
        <v>61400</v>
      </c>
      <c r="B1292" s="3252">
        <v>61450</v>
      </c>
      <c r="C1292" s="3252">
        <v>11213</v>
      </c>
      <c r="D1292" s="3252">
        <v>8306</v>
      </c>
      <c r="E1292" s="3252">
        <v>11213</v>
      </c>
      <c r="F1292" s="3252">
        <v>9769</v>
      </c>
      <c r="G1292" s="1698"/>
    </row>
    <row r="1293" spans="1:7" ht="15.75">
      <c r="A1293" s="3252">
        <v>61450</v>
      </c>
      <c r="B1293" s="3252">
        <v>61500</v>
      </c>
      <c r="C1293" s="3252">
        <v>11225</v>
      </c>
      <c r="D1293" s="3252">
        <v>8314</v>
      </c>
      <c r="E1293" s="3252">
        <v>11225</v>
      </c>
      <c r="F1293" s="3252">
        <v>9781</v>
      </c>
      <c r="G1293" s="1698"/>
    </row>
    <row r="1294" spans="1:7" ht="15.75">
      <c r="A1294" s="3252">
        <v>61500</v>
      </c>
      <c r="B1294" s="3252">
        <v>61550</v>
      </c>
      <c r="C1294" s="3252">
        <v>11238</v>
      </c>
      <c r="D1294" s="3252">
        <v>8321</v>
      </c>
      <c r="E1294" s="3252">
        <v>11238</v>
      </c>
      <c r="F1294" s="3252">
        <v>9794</v>
      </c>
      <c r="G1294" s="1698"/>
    </row>
    <row r="1295" spans="1:7" ht="15.75">
      <c r="A1295" s="3252">
        <v>61550</v>
      </c>
      <c r="B1295" s="3252">
        <v>61600</v>
      </c>
      <c r="C1295" s="3252">
        <v>11250</v>
      </c>
      <c r="D1295" s="3252">
        <v>8329</v>
      </c>
      <c r="E1295" s="3252">
        <v>11250</v>
      </c>
      <c r="F1295" s="3252">
        <v>9806</v>
      </c>
      <c r="G1295" s="1698"/>
    </row>
    <row r="1296" spans="1:7" ht="15.75">
      <c r="A1296" s="3252">
        <v>61600</v>
      </c>
      <c r="B1296" s="3252">
        <v>61650</v>
      </c>
      <c r="C1296" s="3252">
        <v>11263</v>
      </c>
      <c r="D1296" s="3252">
        <v>8336</v>
      </c>
      <c r="E1296" s="3252">
        <v>11263</v>
      </c>
      <c r="F1296" s="3252">
        <v>9819</v>
      </c>
      <c r="G1296" s="1698"/>
    </row>
    <row r="1297" spans="1:7" ht="15.75">
      <c r="A1297" s="3252">
        <v>61650</v>
      </c>
      <c r="B1297" s="3252">
        <v>61700</v>
      </c>
      <c r="C1297" s="3252">
        <v>11275</v>
      </c>
      <c r="D1297" s="3252">
        <v>8344</v>
      </c>
      <c r="E1297" s="3252">
        <v>11275</v>
      </c>
      <c r="F1297" s="3252">
        <v>9831</v>
      </c>
      <c r="G1297" s="1698"/>
    </row>
    <row r="1298" spans="1:7" ht="15.75">
      <c r="A1298" s="3252">
        <v>61700</v>
      </c>
      <c r="B1298" s="3252">
        <v>61750</v>
      </c>
      <c r="C1298" s="3252">
        <v>11288</v>
      </c>
      <c r="D1298" s="3252">
        <v>8351</v>
      </c>
      <c r="E1298" s="3252">
        <v>11288</v>
      </c>
      <c r="F1298" s="3252">
        <v>9844</v>
      </c>
      <c r="G1298" s="1698"/>
    </row>
    <row r="1299" spans="1:7" ht="15.75">
      <c r="A1299" s="3252">
        <v>61750</v>
      </c>
      <c r="B1299" s="3252">
        <v>61800</v>
      </c>
      <c r="C1299" s="3252">
        <v>11300</v>
      </c>
      <c r="D1299" s="3252">
        <v>8359</v>
      </c>
      <c r="E1299" s="3252">
        <v>11300</v>
      </c>
      <c r="F1299" s="3252">
        <v>9856</v>
      </c>
      <c r="G1299" s="1698"/>
    </row>
    <row r="1300" spans="1:7" ht="15.75">
      <c r="A1300" s="3252">
        <v>61800</v>
      </c>
      <c r="B1300" s="3252">
        <v>61850</v>
      </c>
      <c r="C1300" s="3252">
        <v>11313</v>
      </c>
      <c r="D1300" s="3252">
        <v>8366</v>
      </c>
      <c r="E1300" s="3252">
        <v>11313</v>
      </c>
      <c r="F1300" s="3252">
        <v>9869</v>
      </c>
      <c r="G1300" s="1698"/>
    </row>
    <row r="1301" spans="1:7" ht="15.75">
      <c r="A1301" s="3252">
        <v>61850</v>
      </c>
      <c r="B1301" s="3252">
        <v>61900</v>
      </c>
      <c r="C1301" s="3252">
        <v>11325</v>
      </c>
      <c r="D1301" s="3252">
        <v>8374</v>
      </c>
      <c r="E1301" s="3252">
        <v>11325</v>
      </c>
      <c r="F1301" s="3252">
        <v>9881</v>
      </c>
      <c r="G1301" s="1698"/>
    </row>
    <row r="1302" spans="1:7" ht="15.75">
      <c r="A1302" s="3252">
        <v>61900</v>
      </c>
      <c r="B1302" s="3252">
        <v>61950</v>
      </c>
      <c r="C1302" s="3252">
        <v>11338</v>
      </c>
      <c r="D1302" s="3252">
        <v>8381</v>
      </c>
      <c r="E1302" s="3252">
        <v>11338</v>
      </c>
      <c r="F1302" s="3252">
        <v>9894</v>
      </c>
      <c r="G1302" s="1698"/>
    </row>
    <row r="1303" spans="1:7" ht="15.75">
      <c r="A1303" s="3252">
        <v>61950</v>
      </c>
      <c r="B1303" s="3252">
        <v>62000</v>
      </c>
      <c r="C1303" s="3252">
        <v>11350</v>
      </c>
      <c r="D1303" s="3252">
        <v>8389</v>
      </c>
      <c r="E1303" s="3252">
        <v>11350</v>
      </c>
      <c r="F1303" s="3252">
        <v>9906</v>
      </c>
      <c r="G1303" s="1698"/>
    </row>
    <row r="1304" spans="1:7" ht="15.75">
      <c r="A1304" s="3252">
        <v>62000</v>
      </c>
      <c r="B1304" s="3252">
        <v>62050</v>
      </c>
      <c r="C1304" s="3252">
        <v>11363</v>
      </c>
      <c r="D1304" s="3252">
        <v>8396</v>
      </c>
      <c r="E1304" s="3252">
        <v>11363</v>
      </c>
      <c r="F1304" s="3252">
        <v>9919</v>
      </c>
      <c r="G1304" s="1698"/>
    </row>
    <row r="1305" spans="1:7" ht="15.75">
      <c r="A1305" s="3252">
        <v>62050</v>
      </c>
      <c r="B1305" s="3252">
        <v>62100</v>
      </c>
      <c r="C1305" s="3252">
        <v>11375</v>
      </c>
      <c r="D1305" s="3252">
        <v>8404</v>
      </c>
      <c r="E1305" s="3252">
        <v>11375</v>
      </c>
      <c r="F1305" s="3252">
        <v>9931</v>
      </c>
      <c r="G1305" s="1698"/>
    </row>
    <row r="1306" spans="1:7" ht="15.75">
      <c r="A1306" s="3252">
        <v>62100</v>
      </c>
      <c r="B1306" s="3252">
        <v>62150</v>
      </c>
      <c r="C1306" s="3252">
        <v>11388</v>
      </c>
      <c r="D1306" s="3252">
        <v>8411</v>
      </c>
      <c r="E1306" s="3252">
        <v>11388</v>
      </c>
      <c r="F1306" s="3252">
        <v>9944</v>
      </c>
      <c r="G1306" s="1698"/>
    </row>
    <row r="1307" spans="1:7" ht="15.75">
      <c r="A1307" s="3252">
        <v>62150</v>
      </c>
      <c r="B1307" s="3252">
        <v>62200</v>
      </c>
      <c r="C1307" s="3252">
        <v>11400</v>
      </c>
      <c r="D1307" s="3252">
        <v>8419</v>
      </c>
      <c r="E1307" s="3252">
        <v>11400</v>
      </c>
      <c r="F1307" s="3252">
        <v>9956</v>
      </c>
      <c r="G1307" s="1698"/>
    </row>
    <row r="1308" spans="1:7" ht="15.75">
      <c r="A1308" s="3252">
        <v>62200</v>
      </c>
      <c r="B1308" s="3252">
        <v>62250</v>
      </c>
      <c r="C1308" s="3252">
        <v>11413</v>
      </c>
      <c r="D1308" s="3252">
        <v>8426</v>
      </c>
      <c r="E1308" s="3252">
        <v>11413</v>
      </c>
      <c r="F1308" s="3252">
        <v>9969</v>
      </c>
      <c r="G1308" s="1698"/>
    </row>
    <row r="1309" spans="1:7" ht="15.75">
      <c r="A1309" s="3252">
        <v>62250</v>
      </c>
      <c r="B1309" s="3252">
        <v>62300</v>
      </c>
      <c r="C1309" s="3252">
        <v>11425</v>
      </c>
      <c r="D1309" s="3252">
        <v>8434</v>
      </c>
      <c r="E1309" s="3252">
        <v>11425</v>
      </c>
      <c r="F1309" s="3252">
        <v>9981</v>
      </c>
      <c r="G1309" s="1698"/>
    </row>
    <row r="1310" spans="1:7" ht="15.75">
      <c r="A1310" s="3252">
        <v>62300</v>
      </c>
      <c r="B1310" s="3252">
        <v>62350</v>
      </c>
      <c r="C1310" s="3252">
        <v>11438</v>
      </c>
      <c r="D1310" s="3252">
        <v>8441</v>
      </c>
      <c r="E1310" s="3252">
        <v>11438</v>
      </c>
      <c r="F1310" s="3252">
        <v>9994</v>
      </c>
      <c r="G1310" s="1698"/>
    </row>
    <row r="1311" spans="1:7" ht="15.75">
      <c r="A1311" s="3252">
        <v>62350</v>
      </c>
      <c r="B1311" s="3252">
        <v>62400</v>
      </c>
      <c r="C1311" s="3252">
        <v>11450</v>
      </c>
      <c r="D1311" s="3252">
        <v>8449</v>
      </c>
      <c r="E1311" s="3252">
        <v>11450</v>
      </c>
      <c r="F1311" s="3252">
        <v>10006</v>
      </c>
      <c r="G1311" s="1698"/>
    </row>
    <row r="1312" spans="1:7" ht="15.75">
      <c r="A1312" s="3252">
        <v>62400</v>
      </c>
      <c r="B1312" s="3252">
        <v>62450</v>
      </c>
      <c r="C1312" s="3252">
        <v>11463</v>
      </c>
      <c r="D1312" s="3252">
        <v>8456</v>
      </c>
      <c r="E1312" s="3252">
        <v>11463</v>
      </c>
      <c r="F1312" s="3252">
        <v>10019</v>
      </c>
      <c r="G1312" s="1698"/>
    </row>
    <row r="1313" spans="1:7" ht="15.75">
      <c r="A1313" s="3252">
        <v>62450</v>
      </c>
      <c r="B1313" s="3252">
        <v>62500</v>
      </c>
      <c r="C1313" s="3252">
        <v>11475</v>
      </c>
      <c r="D1313" s="3252">
        <v>8464</v>
      </c>
      <c r="E1313" s="3252">
        <v>11475</v>
      </c>
      <c r="F1313" s="3252">
        <v>10031</v>
      </c>
      <c r="G1313" s="1698"/>
    </row>
    <row r="1314" spans="1:7" ht="15.75">
      <c r="A1314" s="3252">
        <v>62500</v>
      </c>
      <c r="B1314" s="3252">
        <v>62550</v>
      </c>
      <c r="C1314" s="3252">
        <v>11488</v>
      </c>
      <c r="D1314" s="3252">
        <v>8471</v>
      </c>
      <c r="E1314" s="3252">
        <v>11488</v>
      </c>
      <c r="F1314" s="3252">
        <v>10044</v>
      </c>
      <c r="G1314" s="1698"/>
    </row>
    <row r="1315" spans="1:7" ht="15.75">
      <c r="A1315" s="3252">
        <v>62550</v>
      </c>
      <c r="B1315" s="3252">
        <v>62600</v>
      </c>
      <c r="C1315" s="3252">
        <v>11500</v>
      </c>
      <c r="D1315" s="3252">
        <v>8479</v>
      </c>
      <c r="E1315" s="3252">
        <v>11500</v>
      </c>
      <c r="F1315" s="3252">
        <v>10056</v>
      </c>
      <c r="G1315" s="1698"/>
    </row>
    <row r="1316" spans="1:7" ht="15.75">
      <c r="A1316" s="3252">
        <v>62600</v>
      </c>
      <c r="B1316" s="3252">
        <v>62650</v>
      </c>
      <c r="C1316" s="3252">
        <v>11513</v>
      </c>
      <c r="D1316" s="3252">
        <v>8486</v>
      </c>
      <c r="E1316" s="3252">
        <v>11513</v>
      </c>
      <c r="F1316" s="3252">
        <v>10069</v>
      </c>
      <c r="G1316" s="1698"/>
    </row>
    <row r="1317" spans="1:7" ht="15.75">
      <c r="A1317" s="3252">
        <v>62650</v>
      </c>
      <c r="B1317" s="3252">
        <v>62700</v>
      </c>
      <c r="C1317" s="3252">
        <v>11525</v>
      </c>
      <c r="D1317" s="3252">
        <v>8494</v>
      </c>
      <c r="E1317" s="3252">
        <v>11525</v>
      </c>
      <c r="F1317" s="3252">
        <v>10081</v>
      </c>
      <c r="G1317" s="1698"/>
    </row>
    <row r="1318" spans="1:7" ht="15.75">
      <c r="A1318" s="3252">
        <v>62700</v>
      </c>
      <c r="B1318" s="3252">
        <v>62750</v>
      </c>
      <c r="C1318" s="3252">
        <v>11538</v>
      </c>
      <c r="D1318" s="3252">
        <v>8501</v>
      </c>
      <c r="E1318" s="3252">
        <v>11538</v>
      </c>
      <c r="F1318" s="3252">
        <v>10094</v>
      </c>
      <c r="G1318" s="1698"/>
    </row>
    <row r="1319" spans="1:7" ht="15.75">
      <c r="A1319" s="3252">
        <v>62750</v>
      </c>
      <c r="B1319" s="3252">
        <v>62800</v>
      </c>
      <c r="C1319" s="3252">
        <v>11550</v>
      </c>
      <c r="D1319" s="3252">
        <v>8509</v>
      </c>
      <c r="E1319" s="3252">
        <v>11550</v>
      </c>
      <c r="F1319" s="3252">
        <v>10106</v>
      </c>
      <c r="G1319" s="1698"/>
    </row>
    <row r="1320" spans="1:7" ht="15.75">
      <c r="A1320" s="3252">
        <v>62800</v>
      </c>
      <c r="B1320" s="3252">
        <v>62850</v>
      </c>
      <c r="C1320" s="3252">
        <v>11563</v>
      </c>
      <c r="D1320" s="3252">
        <v>8516</v>
      </c>
      <c r="E1320" s="3252">
        <v>11563</v>
      </c>
      <c r="F1320" s="3252">
        <v>10119</v>
      </c>
      <c r="G1320" s="1698"/>
    </row>
    <row r="1321" spans="1:7" ht="15.75">
      <c r="A1321" s="3252">
        <v>62850</v>
      </c>
      <c r="B1321" s="3252">
        <v>62900</v>
      </c>
      <c r="C1321" s="3252">
        <v>11575</v>
      </c>
      <c r="D1321" s="3252">
        <v>8524</v>
      </c>
      <c r="E1321" s="3252">
        <v>11575</v>
      </c>
      <c r="F1321" s="3252">
        <v>10131</v>
      </c>
      <c r="G1321" s="1698"/>
    </row>
    <row r="1322" spans="1:7" ht="15.75">
      <c r="A1322" s="3252">
        <v>62900</v>
      </c>
      <c r="B1322" s="3252">
        <v>62950</v>
      </c>
      <c r="C1322" s="3252">
        <v>11588</v>
      </c>
      <c r="D1322" s="3252">
        <v>8531</v>
      </c>
      <c r="E1322" s="3252">
        <v>11588</v>
      </c>
      <c r="F1322" s="3252">
        <v>10144</v>
      </c>
      <c r="G1322" s="1698"/>
    </row>
    <row r="1323" spans="1:7" ht="15.75">
      <c r="A1323" s="3252">
        <v>62950</v>
      </c>
      <c r="B1323" s="3252">
        <v>63000</v>
      </c>
      <c r="C1323" s="3252">
        <v>11600</v>
      </c>
      <c r="D1323" s="3252">
        <v>8539</v>
      </c>
      <c r="E1323" s="3252">
        <v>11600</v>
      </c>
      <c r="F1323" s="3252">
        <v>10156</v>
      </c>
      <c r="G1323" s="1698"/>
    </row>
    <row r="1324" spans="1:7" ht="15.75">
      <c r="A1324" s="3252">
        <v>63000</v>
      </c>
      <c r="B1324" s="3252">
        <v>63050</v>
      </c>
      <c r="C1324" s="3252">
        <v>11613</v>
      </c>
      <c r="D1324" s="3252">
        <v>8546</v>
      </c>
      <c r="E1324" s="3252">
        <v>11613</v>
      </c>
      <c r="F1324" s="3252">
        <v>10169</v>
      </c>
      <c r="G1324" s="1698"/>
    </row>
    <row r="1325" spans="1:7" ht="15.75">
      <c r="A1325" s="3252">
        <v>63050</v>
      </c>
      <c r="B1325" s="3252">
        <v>63100</v>
      </c>
      <c r="C1325" s="3252">
        <v>11625</v>
      </c>
      <c r="D1325" s="3252">
        <v>8554</v>
      </c>
      <c r="E1325" s="3252">
        <v>11625</v>
      </c>
      <c r="F1325" s="3252">
        <v>10181</v>
      </c>
      <c r="G1325" s="1698"/>
    </row>
    <row r="1326" spans="1:7" ht="15.75">
      <c r="A1326" s="3252">
        <v>63100</v>
      </c>
      <c r="B1326" s="3252">
        <v>63150</v>
      </c>
      <c r="C1326" s="3252">
        <v>11638</v>
      </c>
      <c r="D1326" s="3252">
        <v>8561</v>
      </c>
      <c r="E1326" s="3252">
        <v>11638</v>
      </c>
      <c r="F1326" s="3252">
        <v>10194</v>
      </c>
      <c r="G1326" s="1698"/>
    </row>
    <row r="1327" spans="1:7" ht="15.75">
      <c r="A1327" s="3252">
        <v>63150</v>
      </c>
      <c r="B1327" s="3252">
        <v>63200</v>
      </c>
      <c r="C1327" s="3252">
        <v>11650</v>
      </c>
      <c r="D1327" s="3252">
        <v>8569</v>
      </c>
      <c r="E1327" s="3252">
        <v>11650</v>
      </c>
      <c r="F1327" s="3252">
        <v>10206</v>
      </c>
      <c r="G1327" s="1698"/>
    </row>
    <row r="1328" spans="1:7" ht="15.75">
      <c r="A1328" s="3252">
        <v>63200</v>
      </c>
      <c r="B1328" s="3252">
        <v>63250</v>
      </c>
      <c r="C1328" s="3252">
        <v>11663</v>
      </c>
      <c r="D1328" s="3252">
        <v>8576</v>
      </c>
      <c r="E1328" s="3252">
        <v>11663</v>
      </c>
      <c r="F1328" s="3252">
        <v>10219</v>
      </c>
      <c r="G1328" s="1698"/>
    </row>
    <row r="1329" spans="1:7" ht="15.75">
      <c r="A1329" s="3252">
        <v>63250</v>
      </c>
      <c r="B1329" s="3252">
        <v>63300</v>
      </c>
      <c r="C1329" s="3252">
        <v>11675</v>
      </c>
      <c r="D1329" s="3252">
        <v>8584</v>
      </c>
      <c r="E1329" s="3252">
        <v>11675</v>
      </c>
      <c r="F1329" s="3252">
        <v>10231</v>
      </c>
      <c r="G1329" s="1698"/>
    </row>
    <row r="1330" spans="1:7" ht="15.75">
      <c r="A1330" s="3252">
        <v>63300</v>
      </c>
      <c r="B1330" s="3252">
        <v>63350</v>
      </c>
      <c r="C1330" s="3252">
        <v>11688</v>
      </c>
      <c r="D1330" s="3252">
        <v>8591</v>
      </c>
      <c r="E1330" s="3252">
        <v>11688</v>
      </c>
      <c r="F1330" s="3252">
        <v>10244</v>
      </c>
      <c r="G1330" s="1698"/>
    </row>
    <row r="1331" spans="1:7" ht="15.75">
      <c r="A1331" s="3252">
        <v>63350</v>
      </c>
      <c r="B1331" s="3252">
        <v>63400</v>
      </c>
      <c r="C1331" s="3252">
        <v>11700</v>
      </c>
      <c r="D1331" s="3252">
        <v>8599</v>
      </c>
      <c r="E1331" s="3252">
        <v>11700</v>
      </c>
      <c r="F1331" s="3252">
        <v>10256</v>
      </c>
      <c r="G1331" s="1698"/>
    </row>
    <row r="1332" spans="1:7" ht="15.75">
      <c r="A1332" s="3252">
        <v>63400</v>
      </c>
      <c r="B1332" s="3252">
        <v>63450</v>
      </c>
      <c r="C1332" s="3252">
        <v>11713</v>
      </c>
      <c r="D1332" s="3252">
        <v>8606</v>
      </c>
      <c r="E1332" s="3252">
        <v>11713</v>
      </c>
      <c r="F1332" s="3252">
        <v>10269</v>
      </c>
      <c r="G1332" s="1698"/>
    </row>
    <row r="1333" spans="1:7" ht="15.75">
      <c r="A1333" s="3252">
        <v>63450</v>
      </c>
      <c r="B1333" s="3252">
        <v>63500</v>
      </c>
      <c r="C1333" s="3252">
        <v>11725</v>
      </c>
      <c r="D1333" s="3252">
        <v>8614</v>
      </c>
      <c r="E1333" s="3252">
        <v>11725</v>
      </c>
      <c r="F1333" s="3252">
        <v>10281</v>
      </c>
      <c r="G1333" s="1698"/>
    </row>
    <row r="1334" spans="1:7" ht="15.75">
      <c r="A1334" s="3252">
        <v>63500</v>
      </c>
      <c r="B1334" s="3252">
        <v>63550</v>
      </c>
      <c r="C1334" s="3252">
        <v>11738</v>
      </c>
      <c r="D1334" s="3252">
        <v>8621</v>
      </c>
      <c r="E1334" s="3252">
        <v>11738</v>
      </c>
      <c r="F1334" s="3252">
        <v>10294</v>
      </c>
      <c r="G1334" s="1698"/>
    </row>
    <row r="1335" spans="1:7" ht="15.75">
      <c r="A1335" s="3252">
        <v>63550</v>
      </c>
      <c r="B1335" s="3252">
        <v>63600</v>
      </c>
      <c r="C1335" s="3252">
        <v>11750</v>
      </c>
      <c r="D1335" s="3252">
        <v>8629</v>
      </c>
      <c r="E1335" s="3252">
        <v>11750</v>
      </c>
      <c r="F1335" s="3252">
        <v>10306</v>
      </c>
      <c r="G1335" s="1698"/>
    </row>
    <row r="1336" spans="1:7" ht="15.75">
      <c r="A1336" s="3252">
        <v>63600</v>
      </c>
      <c r="B1336" s="3252">
        <v>63650</v>
      </c>
      <c r="C1336" s="3252">
        <v>11763</v>
      </c>
      <c r="D1336" s="3252">
        <v>8636</v>
      </c>
      <c r="E1336" s="3252">
        <v>11763</v>
      </c>
      <c r="F1336" s="3252">
        <v>10319</v>
      </c>
      <c r="G1336" s="1698"/>
    </row>
    <row r="1337" spans="1:7" ht="15.75">
      <c r="A1337" s="3252">
        <v>63650</v>
      </c>
      <c r="B1337" s="3252">
        <v>63700</v>
      </c>
      <c r="C1337" s="3252">
        <v>11775</v>
      </c>
      <c r="D1337" s="3252">
        <v>8644</v>
      </c>
      <c r="E1337" s="3252">
        <v>11775</v>
      </c>
      <c r="F1337" s="3252">
        <v>10331</v>
      </c>
      <c r="G1337" s="1698"/>
    </row>
    <row r="1338" spans="1:7" ht="15.75">
      <c r="A1338" s="3252">
        <v>63700</v>
      </c>
      <c r="B1338" s="3252">
        <v>63750</v>
      </c>
      <c r="C1338" s="3252">
        <v>11788</v>
      </c>
      <c r="D1338" s="3252">
        <v>8651</v>
      </c>
      <c r="E1338" s="3252">
        <v>11788</v>
      </c>
      <c r="F1338" s="3252">
        <v>10344</v>
      </c>
      <c r="G1338" s="1698"/>
    </row>
    <row r="1339" spans="1:7" ht="15.75">
      <c r="A1339" s="3252">
        <v>63750</v>
      </c>
      <c r="B1339" s="3252">
        <v>63800</v>
      </c>
      <c r="C1339" s="3252">
        <v>11800</v>
      </c>
      <c r="D1339" s="3252">
        <v>8659</v>
      </c>
      <c r="E1339" s="3252">
        <v>11800</v>
      </c>
      <c r="F1339" s="3252">
        <v>10356</v>
      </c>
      <c r="G1339" s="1698"/>
    </row>
    <row r="1340" spans="1:7" ht="15.75">
      <c r="A1340" s="3252">
        <v>63800</v>
      </c>
      <c r="B1340" s="3252">
        <v>63850</v>
      </c>
      <c r="C1340" s="3252">
        <v>11813</v>
      </c>
      <c r="D1340" s="3252">
        <v>8666</v>
      </c>
      <c r="E1340" s="3252">
        <v>11813</v>
      </c>
      <c r="F1340" s="3252">
        <v>10369</v>
      </c>
      <c r="G1340" s="1698"/>
    </row>
    <row r="1341" spans="1:7" ht="15.75">
      <c r="A1341" s="3252">
        <v>63850</v>
      </c>
      <c r="B1341" s="3252">
        <v>63900</v>
      </c>
      <c r="C1341" s="3252">
        <v>11825</v>
      </c>
      <c r="D1341" s="3252">
        <v>8674</v>
      </c>
      <c r="E1341" s="3252">
        <v>11825</v>
      </c>
      <c r="F1341" s="3252">
        <v>10381</v>
      </c>
      <c r="G1341" s="1698"/>
    </row>
    <row r="1342" spans="1:7" ht="15.75">
      <c r="A1342" s="3252">
        <v>63900</v>
      </c>
      <c r="B1342" s="3252">
        <v>63950</v>
      </c>
      <c r="C1342" s="3252">
        <v>11838</v>
      </c>
      <c r="D1342" s="3252">
        <v>8681</v>
      </c>
      <c r="E1342" s="3252">
        <v>11838</v>
      </c>
      <c r="F1342" s="3252">
        <v>10394</v>
      </c>
      <c r="G1342" s="1698"/>
    </row>
    <row r="1343" spans="1:7" ht="15.75">
      <c r="A1343" s="3252">
        <v>63950</v>
      </c>
      <c r="B1343" s="3252">
        <v>64000</v>
      </c>
      <c r="C1343" s="3252">
        <v>11850</v>
      </c>
      <c r="D1343" s="3252">
        <v>8689</v>
      </c>
      <c r="E1343" s="3252">
        <v>11850</v>
      </c>
      <c r="F1343" s="3252">
        <v>10406</v>
      </c>
      <c r="G1343" s="1698"/>
    </row>
    <row r="1344" spans="1:7" ht="15.75">
      <c r="A1344" s="3252">
        <v>64000</v>
      </c>
      <c r="B1344" s="3252">
        <v>64050</v>
      </c>
      <c r="C1344" s="3252">
        <v>11863</v>
      </c>
      <c r="D1344" s="3252">
        <v>8696</v>
      </c>
      <c r="E1344" s="3252">
        <v>11863</v>
      </c>
      <c r="F1344" s="3252">
        <v>10419</v>
      </c>
      <c r="G1344" s="1698"/>
    </row>
    <row r="1345" spans="1:7" ht="15.75">
      <c r="A1345" s="3252">
        <v>64050</v>
      </c>
      <c r="B1345" s="3252">
        <v>64100</v>
      </c>
      <c r="C1345" s="3252">
        <v>11875</v>
      </c>
      <c r="D1345" s="3252">
        <v>8704</v>
      </c>
      <c r="E1345" s="3252">
        <v>11875</v>
      </c>
      <c r="F1345" s="3252">
        <v>10431</v>
      </c>
      <c r="G1345" s="1698"/>
    </row>
    <row r="1346" spans="1:7" ht="15.75">
      <c r="A1346" s="3252">
        <v>64100</v>
      </c>
      <c r="B1346" s="3252">
        <v>64150</v>
      </c>
      <c r="C1346" s="3252">
        <v>11888</v>
      </c>
      <c r="D1346" s="3252">
        <v>8711</v>
      </c>
      <c r="E1346" s="3252">
        <v>11888</v>
      </c>
      <c r="F1346" s="3252">
        <v>10444</v>
      </c>
      <c r="G1346" s="1698"/>
    </row>
    <row r="1347" spans="1:7" ht="15.75">
      <c r="A1347" s="3252">
        <v>64150</v>
      </c>
      <c r="B1347" s="3252">
        <v>64200</v>
      </c>
      <c r="C1347" s="3252">
        <v>11900</v>
      </c>
      <c r="D1347" s="3252">
        <v>8719</v>
      </c>
      <c r="E1347" s="3252">
        <v>11900</v>
      </c>
      <c r="F1347" s="3252">
        <v>10456</v>
      </c>
      <c r="G1347" s="1698"/>
    </row>
    <row r="1348" spans="1:7" ht="15.75">
      <c r="A1348" s="3252">
        <v>64200</v>
      </c>
      <c r="B1348" s="3252">
        <v>64250</v>
      </c>
      <c r="C1348" s="3252">
        <v>11913</v>
      </c>
      <c r="D1348" s="3252">
        <v>8726</v>
      </c>
      <c r="E1348" s="3252">
        <v>11913</v>
      </c>
      <c r="F1348" s="3252">
        <v>10469</v>
      </c>
      <c r="G1348" s="1698"/>
    </row>
    <row r="1349" spans="1:7" ht="15.75">
      <c r="A1349" s="3252">
        <v>64250</v>
      </c>
      <c r="B1349" s="3252">
        <v>64300</v>
      </c>
      <c r="C1349" s="3252">
        <v>11925</v>
      </c>
      <c r="D1349" s="3252">
        <v>8734</v>
      </c>
      <c r="E1349" s="3252">
        <v>11925</v>
      </c>
      <c r="F1349" s="3252">
        <v>10481</v>
      </c>
      <c r="G1349" s="1698"/>
    </row>
    <row r="1350" spans="1:7" ht="15.75">
      <c r="A1350" s="3252">
        <v>64300</v>
      </c>
      <c r="B1350" s="3252">
        <v>64350</v>
      </c>
      <c r="C1350" s="3252">
        <v>11938</v>
      </c>
      <c r="D1350" s="3252">
        <v>8741</v>
      </c>
      <c r="E1350" s="3252">
        <v>11938</v>
      </c>
      <c r="F1350" s="3252">
        <v>10494</v>
      </c>
      <c r="G1350" s="1698"/>
    </row>
    <row r="1351" spans="1:7" ht="15.75">
      <c r="A1351" s="3252">
        <v>64350</v>
      </c>
      <c r="B1351" s="3252">
        <v>64400</v>
      </c>
      <c r="C1351" s="3252">
        <v>11950</v>
      </c>
      <c r="D1351" s="3252">
        <v>8749</v>
      </c>
      <c r="E1351" s="3252">
        <v>11950</v>
      </c>
      <c r="F1351" s="3252">
        <v>10506</v>
      </c>
      <c r="G1351" s="1698"/>
    </row>
    <row r="1352" spans="1:7" ht="15.75">
      <c r="A1352" s="3252">
        <v>64400</v>
      </c>
      <c r="B1352" s="3252">
        <v>64450</v>
      </c>
      <c r="C1352" s="3252">
        <v>11963</v>
      </c>
      <c r="D1352" s="3252">
        <v>8756</v>
      </c>
      <c r="E1352" s="3252">
        <v>11963</v>
      </c>
      <c r="F1352" s="3252">
        <v>10519</v>
      </c>
      <c r="G1352" s="1698"/>
    </row>
    <row r="1353" spans="1:7" ht="15.75">
      <c r="A1353" s="3252">
        <v>64450</v>
      </c>
      <c r="B1353" s="3252">
        <v>64500</v>
      </c>
      <c r="C1353" s="3252">
        <v>11975</v>
      </c>
      <c r="D1353" s="3252">
        <v>8764</v>
      </c>
      <c r="E1353" s="3252">
        <v>11975</v>
      </c>
      <c r="F1353" s="3252">
        <v>10531</v>
      </c>
      <c r="G1353" s="1698"/>
    </row>
    <row r="1354" spans="1:7" ht="15.75">
      <c r="A1354" s="3252">
        <v>64500</v>
      </c>
      <c r="B1354" s="3252">
        <v>64550</v>
      </c>
      <c r="C1354" s="3252">
        <v>11988</v>
      </c>
      <c r="D1354" s="3252">
        <v>8771</v>
      </c>
      <c r="E1354" s="3252">
        <v>11988</v>
      </c>
      <c r="F1354" s="3252">
        <v>10544</v>
      </c>
      <c r="G1354" s="1698"/>
    </row>
    <row r="1355" spans="1:7" ht="15.75">
      <c r="A1355" s="3252">
        <v>64550</v>
      </c>
      <c r="B1355" s="3252">
        <v>64600</v>
      </c>
      <c r="C1355" s="3252">
        <v>12000</v>
      </c>
      <c r="D1355" s="3252">
        <v>8779</v>
      </c>
      <c r="E1355" s="3252">
        <v>12000</v>
      </c>
      <c r="F1355" s="3252">
        <v>10556</v>
      </c>
      <c r="G1355" s="1698"/>
    </row>
    <row r="1356" spans="1:7" ht="15.75">
      <c r="A1356" s="3252">
        <v>64600</v>
      </c>
      <c r="B1356" s="3252">
        <v>64650</v>
      </c>
      <c r="C1356" s="3252">
        <v>12013</v>
      </c>
      <c r="D1356" s="3252">
        <v>8786</v>
      </c>
      <c r="E1356" s="3252">
        <v>12013</v>
      </c>
      <c r="F1356" s="3252">
        <v>10569</v>
      </c>
      <c r="G1356" s="1698"/>
    </row>
    <row r="1357" spans="1:7" ht="15.75">
      <c r="A1357" s="3252">
        <v>64650</v>
      </c>
      <c r="B1357" s="3252">
        <v>64700</v>
      </c>
      <c r="C1357" s="3252">
        <v>12025</v>
      </c>
      <c r="D1357" s="3252">
        <v>8794</v>
      </c>
      <c r="E1357" s="3252">
        <v>12025</v>
      </c>
      <c r="F1357" s="3252">
        <v>10581</v>
      </c>
      <c r="G1357" s="1698"/>
    </row>
    <row r="1358" spans="1:7" ht="15.75">
      <c r="A1358" s="3252">
        <v>64700</v>
      </c>
      <c r="B1358" s="3252">
        <v>64750</v>
      </c>
      <c r="C1358" s="3252">
        <v>12038</v>
      </c>
      <c r="D1358" s="3252">
        <v>8801</v>
      </c>
      <c r="E1358" s="3252">
        <v>12038</v>
      </c>
      <c r="F1358" s="3252">
        <v>10594</v>
      </c>
      <c r="G1358" s="1698"/>
    </row>
    <row r="1359" spans="1:7" ht="15.75">
      <c r="A1359" s="3252">
        <v>64750</v>
      </c>
      <c r="B1359" s="3252">
        <v>64800</v>
      </c>
      <c r="C1359" s="3252">
        <v>12050</v>
      </c>
      <c r="D1359" s="3252">
        <v>8809</v>
      </c>
      <c r="E1359" s="3252">
        <v>12050</v>
      </c>
      <c r="F1359" s="3252">
        <v>10606</v>
      </c>
      <c r="G1359" s="1698"/>
    </row>
    <row r="1360" spans="1:7" ht="15.75">
      <c r="A1360" s="3252">
        <v>64800</v>
      </c>
      <c r="B1360" s="3252">
        <v>64850</v>
      </c>
      <c r="C1360" s="3252">
        <v>12063</v>
      </c>
      <c r="D1360" s="3252">
        <v>8816</v>
      </c>
      <c r="E1360" s="3252">
        <v>12063</v>
      </c>
      <c r="F1360" s="3252">
        <v>10619</v>
      </c>
      <c r="G1360" s="1698"/>
    </row>
    <row r="1361" spans="1:7" ht="15.75">
      <c r="A1361" s="3252">
        <v>64850</v>
      </c>
      <c r="B1361" s="3252">
        <v>64900</v>
      </c>
      <c r="C1361" s="3252">
        <v>12075</v>
      </c>
      <c r="D1361" s="3252">
        <v>8824</v>
      </c>
      <c r="E1361" s="3252">
        <v>12075</v>
      </c>
      <c r="F1361" s="3252">
        <v>10631</v>
      </c>
      <c r="G1361" s="1698"/>
    </row>
    <row r="1362" spans="1:7" ht="15.75">
      <c r="A1362" s="3252">
        <v>64900</v>
      </c>
      <c r="B1362" s="3252">
        <v>64950</v>
      </c>
      <c r="C1362" s="3252">
        <v>12088</v>
      </c>
      <c r="D1362" s="3252">
        <v>8831</v>
      </c>
      <c r="E1362" s="3252">
        <v>12088</v>
      </c>
      <c r="F1362" s="3252">
        <v>10644</v>
      </c>
      <c r="G1362" s="1698"/>
    </row>
    <row r="1363" spans="1:7" ht="15.75">
      <c r="A1363" s="3252">
        <v>64950</v>
      </c>
      <c r="B1363" s="3252">
        <v>65000</v>
      </c>
      <c r="C1363" s="3252">
        <v>12100</v>
      </c>
      <c r="D1363" s="3252">
        <v>8839</v>
      </c>
      <c r="E1363" s="3252">
        <v>12100</v>
      </c>
      <c r="F1363" s="3252">
        <v>10656</v>
      </c>
      <c r="G1363" s="1698"/>
    </row>
    <row r="1364" spans="1:7" ht="15.75">
      <c r="A1364" s="3252">
        <v>65000</v>
      </c>
      <c r="B1364" s="3252">
        <v>65050</v>
      </c>
      <c r="C1364" s="3252">
        <v>12113</v>
      </c>
      <c r="D1364" s="3252">
        <v>8846</v>
      </c>
      <c r="E1364" s="3252">
        <v>12113</v>
      </c>
      <c r="F1364" s="3252">
        <v>10669</v>
      </c>
      <c r="G1364" s="1698"/>
    </row>
    <row r="1365" spans="1:7" ht="15.75">
      <c r="A1365" s="3252">
        <v>65050</v>
      </c>
      <c r="B1365" s="3252">
        <v>65100</v>
      </c>
      <c r="C1365" s="3252">
        <v>12125</v>
      </c>
      <c r="D1365" s="3252">
        <v>8854</v>
      </c>
      <c r="E1365" s="3252">
        <v>12125</v>
      </c>
      <c r="F1365" s="3252">
        <v>10681</v>
      </c>
      <c r="G1365" s="1698"/>
    </row>
    <row r="1366" spans="1:7" ht="15.75">
      <c r="A1366" s="3252">
        <v>65100</v>
      </c>
      <c r="B1366" s="3252">
        <v>65150</v>
      </c>
      <c r="C1366" s="3252">
        <v>12138</v>
      </c>
      <c r="D1366" s="3252">
        <v>8861</v>
      </c>
      <c r="E1366" s="3252">
        <v>12138</v>
      </c>
      <c r="F1366" s="3252">
        <v>10694</v>
      </c>
      <c r="G1366" s="1698"/>
    </row>
    <row r="1367" spans="1:7" ht="15.75">
      <c r="A1367" s="3252">
        <v>65150</v>
      </c>
      <c r="B1367" s="3252">
        <v>65200</v>
      </c>
      <c r="C1367" s="3252">
        <v>12150</v>
      </c>
      <c r="D1367" s="3252">
        <v>8869</v>
      </c>
      <c r="E1367" s="3252">
        <v>12150</v>
      </c>
      <c r="F1367" s="3252">
        <v>10706</v>
      </c>
      <c r="G1367" s="1698"/>
    </row>
    <row r="1368" spans="1:7" ht="15.75">
      <c r="A1368" s="3252">
        <v>65200</v>
      </c>
      <c r="B1368" s="3252">
        <v>65250</v>
      </c>
      <c r="C1368" s="3252">
        <v>12163</v>
      </c>
      <c r="D1368" s="3252">
        <v>8876</v>
      </c>
      <c r="E1368" s="3252">
        <v>12163</v>
      </c>
      <c r="F1368" s="3252">
        <v>10719</v>
      </c>
      <c r="G1368" s="1698"/>
    </row>
    <row r="1369" spans="1:7" ht="15.75">
      <c r="A1369" s="3252">
        <v>65250</v>
      </c>
      <c r="B1369" s="3252">
        <v>65300</v>
      </c>
      <c r="C1369" s="3252">
        <v>12175</v>
      </c>
      <c r="D1369" s="3252">
        <v>8884</v>
      </c>
      <c r="E1369" s="3252">
        <v>12175</v>
      </c>
      <c r="F1369" s="3252">
        <v>10731</v>
      </c>
      <c r="G1369" s="1698"/>
    </row>
    <row r="1370" spans="1:7" ht="15.75">
      <c r="A1370" s="3252">
        <v>65300</v>
      </c>
      <c r="B1370" s="3252">
        <v>65350</v>
      </c>
      <c r="C1370" s="3252">
        <v>12188</v>
      </c>
      <c r="D1370" s="3252">
        <v>8891</v>
      </c>
      <c r="E1370" s="3252">
        <v>12188</v>
      </c>
      <c r="F1370" s="3252">
        <v>10744</v>
      </c>
      <c r="G1370" s="1698"/>
    </row>
    <row r="1371" spans="1:7" ht="15.75">
      <c r="A1371" s="3252">
        <v>65350</v>
      </c>
      <c r="B1371" s="3252">
        <v>65400</v>
      </c>
      <c r="C1371" s="3252">
        <v>12200</v>
      </c>
      <c r="D1371" s="3252">
        <v>8899</v>
      </c>
      <c r="E1371" s="3252">
        <v>12200</v>
      </c>
      <c r="F1371" s="3252">
        <v>10756</v>
      </c>
      <c r="G1371" s="1698"/>
    </row>
    <row r="1372" spans="1:7" ht="15.75">
      <c r="A1372" s="3252">
        <v>65400</v>
      </c>
      <c r="B1372" s="3252">
        <v>65450</v>
      </c>
      <c r="C1372" s="3252">
        <v>12213</v>
      </c>
      <c r="D1372" s="3252">
        <v>8906</v>
      </c>
      <c r="E1372" s="3252">
        <v>12213</v>
      </c>
      <c r="F1372" s="3252">
        <v>10769</v>
      </c>
      <c r="G1372" s="1698"/>
    </row>
    <row r="1373" spans="1:7" ht="15.75">
      <c r="A1373" s="3252">
        <v>65450</v>
      </c>
      <c r="B1373" s="3252">
        <v>65500</v>
      </c>
      <c r="C1373" s="3252">
        <v>12225</v>
      </c>
      <c r="D1373" s="3252">
        <v>8914</v>
      </c>
      <c r="E1373" s="3252">
        <v>12225</v>
      </c>
      <c r="F1373" s="3252">
        <v>10781</v>
      </c>
      <c r="G1373" s="1698"/>
    </row>
    <row r="1374" spans="1:7" ht="15.75">
      <c r="A1374" s="3252">
        <v>65500</v>
      </c>
      <c r="B1374" s="3252">
        <v>65550</v>
      </c>
      <c r="C1374" s="3252">
        <v>12238</v>
      </c>
      <c r="D1374" s="3252">
        <v>8921</v>
      </c>
      <c r="E1374" s="3252">
        <v>12238</v>
      </c>
      <c r="F1374" s="3252">
        <v>10794</v>
      </c>
      <c r="G1374" s="1698"/>
    </row>
    <row r="1375" spans="1:7" ht="15.75">
      <c r="A1375" s="3252">
        <v>65550</v>
      </c>
      <c r="B1375" s="3252">
        <v>65600</v>
      </c>
      <c r="C1375" s="3252">
        <v>12250</v>
      </c>
      <c r="D1375" s="3252">
        <v>8929</v>
      </c>
      <c r="E1375" s="3252">
        <v>12250</v>
      </c>
      <c r="F1375" s="3252">
        <v>10806</v>
      </c>
      <c r="G1375" s="1698"/>
    </row>
    <row r="1376" spans="1:7" ht="15.75">
      <c r="A1376" s="3252">
        <v>65600</v>
      </c>
      <c r="B1376" s="3252">
        <v>65650</v>
      </c>
      <c r="C1376" s="3252">
        <v>12263</v>
      </c>
      <c r="D1376" s="3252">
        <v>8936</v>
      </c>
      <c r="E1376" s="3252">
        <v>12263</v>
      </c>
      <c r="F1376" s="3252">
        <v>10819</v>
      </c>
      <c r="G1376" s="1698"/>
    </row>
    <row r="1377" spans="1:7" ht="15.75">
      <c r="A1377" s="3252">
        <v>65650</v>
      </c>
      <c r="B1377" s="3252">
        <v>65700</v>
      </c>
      <c r="C1377" s="3252">
        <v>12275</v>
      </c>
      <c r="D1377" s="3252">
        <v>8944</v>
      </c>
      <c r="E1377" s="3252">
        <v>12275</v>
      </c>
      <c r="F1377" s="3252">
        <v>10831</v>
      </c>
      <c r="G1377" s="1698"/>
    </row>
    <row r="1378" spans="1:7" ht="15.75">
      <c r="A1378" s="3252">
        <v>65700</v>
      </c>
      <c r="B1378" s="3252">
        <v>65750</v>
      </c>
      <c r="C1378" s="3252">
        <v>12288</v>
      </c>
      <c r="D1378" s="3252">
        <v>8951</v>
      </c>
      <c r="E1378" s="3252">
        <v>12288</v>
      </c>
      <c r="F1378" s="3252">
        <v>10844</v>
      </c>
      <c r="G1378" s="1698"/>
    </row>
    <row r="1379" spans="1:7" ht="15.75">
      <c r="A1379" s="3252">
        <v>65750</v>
      </c>
      <c r="B1379" s="3252">
        <v>65800</v>
      </c>
      <c r="C1379" s="3252">
        <v>12300</v>
      </c>
      <c r="D1379" s="3252">
        <v>8959</v>
      </c>
      <c r="E1379" s="3252">
        <v>12300</v>
      </c>
      <c r="F1379" s="3252">
        <v>10856</v>
      </c>
      <c r="G1379" s="1698"/>
    </row>
    <row r="1380" spans="1:7" ht="15.75">
      <c r="A1380" s="3252">
        <v>65800</v>
      </c>
      <c r="B1380" s="3252">
        <v>65850</v>
      </c>
      <c r="C1380" s="3252">
        <v>12313</v>
      </c>
      <c r="D1380" s="3252">
        <v>8966</v>
      </c>
      <c r="E1380" s="3252">
        <v>12313</v>
      </c>
      <c r="F1380" s="3252">
        <v>10869</v>
      </c>
      <c r="G1380" s="1698"/>
    </row>
    <row r="1381" spans="1:7" ht="15.75">
      <c r="A1381" s="3252">
        <v>65850</v>
      </c>
      <c r="B1381" s="3252">
        <v>65900</v>
      </c>
      <c r="C1381" s="3252">
        <v>12325</v>
      </c>
      <c r="D1381" s="3252">
        <v>8974</v>
      </c>
      <c r="E1381" s="3252">
        <v>12325</v>
      </c>
      <c r="F1381" s="3252">
        <v>10881</v>
      </c>
      <c r="G1381" s="1698"/>
    </row>
    <row r="1382" spans="1:7" ht="15.75">
      <c r="A1382" s="3252">
        <v>65900</v>
      </c>
      <c r="B1382" s="3252">
        <v>65950</v>
      </c>
      <c r="C1382" s="3252">
        <v>12338</v>
      </c>
      <c r="D1382" s="3252">
        <v>8981</v>
      </c>
      <c r="E1382" s="3252">
        <v>12338</v>
      </c>
      <c r="F1382" s="3252">
        <v>10894</v>
      </c>
      <c r="G1382" s="1698"/>
    </row>
    <row r="1383" spans="1:7" ht="15.75">
      <c r="A1383" s="3252">
        <v>65950</v>
      </c>
      <c r="B1383" s="3252">
        <v>66000</v>
      </c>
      <c r="C1383" s="3252">
        <v>12350</v>
      </c>
      <c r="D1383" s="3252">
        <v>8989</v>
      </c>
      <c r="E1383" s="3252">
        <v>12350</v>
      </c>
      <c r="F1383" s="3252">
        <v>10906</v>
      </c>
      <c r="G1383" s="1698"/>
    </row>
    <row r="1384" spans="1:7" ht="15.75">
      <c r="A1384" s="3252">
        <v>66000</v>
      </c>
      <c r="B1384" s="3252">
        <v>66050</v>
      </c>
      <c r="C1384" s="3252">
        <v>12363</v>
      </c>
      <c r="D1384" s="3252">
        <v>8996</v>
      </c>
      <c r="E1384" s="3252">
        <v>12363</v>
      </c>
      <c r="F1384" s="3252">
        <v>10919</v>
      </c>
      <c r="G1384" s="1698"/>
    </row>
    <row r="1385" spans="1:7" ht="15.75">
      <c r="A1385" s="3252">
        <v>66050</v>
      </c>
      <c r="B1385" s="3252">
        <v>66100</v>
      </c>
      <c r="C1385" s="3252">
        <v>12375</v>
      </c>
      <c r="D1385" s="3252">
        <v>9004</v>
      </c>
      <c r="E1385" s="3252">
        <v>12375</v>
      </c>
      <c r="F1385" s="3252">
        <v>10931</v>
      </c>
      <c r="G1385" s="1698"/>
    </row>
    <row r="1386" spans="1:7" ht="15.75">
      <c r="A1386" s="3252">
        <v>66100</v>
      </c>
      <c r="B1386" s="3252">
        <v>66150</v>
      </c>
      <c r="C1386" s="3252">
        <v>12388</v>
      </c>
      <c r="D1386" s="3252">
        <v>9011</v>
      </c>
      <c r="E1386" s="3252">
        <v>12388</v>
      </c>
      <c r="F1386" s="3252">
        <v>10944</v>
      </c>
      <c r="G1386" s="1698"/>
    </row>
    <row r="1387" spans="1:7" ht="15.75">
      <c r="A1387" s="3252">
        <v>66150</v>
      </c>
      <c r="B1387" s="3252">
        <v>66200</v>
      </c>
      <c r="C1387" s="3252">
        <v>12400</v>
      </c>
      <c r="D1387" s="3252">
        <v>9019</v>
      </c>
      <c r="E1387" s="3252">
        <v>12400</v>
      </c>
      <c r="F1387" s="3252">
        <v>10956</v>
      </c>
      <c r="G1387" s="1698"/>
    </row>
    <row r="1388" spans="1:7" ht="15.75">
      <c r="A1388" s="3252">
        <v>66200</v>
      </c>
      <c r="B1388" s="3252">
        <v>66250</v>
      </c>
      <c r="C1388" s="3252">
        <v>12413</v>
      </c>
      <c r="D1388" s="3252">
        <v>9026</v>
      </c>
      <c r="E1388" s="3252">
        <v>12413</v>
      </c>
      <c r="F1388" s="3252">
        <v>10969</v>
      </c>
      <c r="G1388" s="1698"/>
    </row>
    <row r="1389" spans="1:7" ht="15.75">
      <c r="A1389" s="3252">
        <v>66250</v>
      </c>
      <c r="B1389" s="3252">
        <v>66300</v>
      </c>
      <c r="C1389" s="3252">
        <v>12425</v>
      </c>
      <c r="D1389" s="3252">
        <v>9034</v>
      </c>
      <c r="E1389" s="3252">
        <v>12425</v>
      </c>
      <c r="F1389" s="3252">
        <v>10981</v>
      </c>
      <c r="G1389" s="1698"/>
    </row>
    <row r="1390" spans="1:7" ht="15.75">
      <c r="A1390" s="3252">
        <v>66300</v>
      </c>
      <c r="B1390" s="3252">
        <v>66350</v>
      </c>
      <c r="C1390" s="3252">
        <v>12438</v>
      </c>
      <c r="D1390" s="3252">
        <v>9041</v>
      </c>
      <c r="E1390" s="3252">
        <v>12438</v>
      </c>
      <c r="F1390" s="3252">
        <v>10994</v>
      </c>
      <c r="G1390" s="1698"/>
    </row>
    <row r="1391" spans="1:7" ht="15.75">
      <c r="A1391" s="3252">
        <v>66350</v>
      </c>
      <c r="B1391" s="3252">
        <v>66400</v>
      </c>
      <c r="C1391" s="3252">
        <v>12450</v>
      </c>
      <c r="D1391" s="3252">
        <v>9049</v>
      </c>
      <c r="E1391" s="3252">
        <v>12450</v>
      </c>
      <c r="F1391" s="3252">
        <v>11006</v>
      </c>
      <c r="G1391" s="1698"/>
    </row>
    <row r="1392" spans="1:7" ht="15.75">
      <c r="A1392" s="3252">
        <v>66400</v>
      </c>
      <c r="B1392" s="3252">
        <v>66450</v>
      </c>
      <c r="C1392" s="3252">
        <v>12463</v>
      </c>
      <c r="D1392" s="3252">
        <v>9056</v>
      </c>
      <c r="E1392" s="3252">
        <v>12463</v>
      </c>
      <c r="F1392" s="3252">
        <v>11019</v>
      </c>
      <c r="G1392" s="1698"/>
    </row>
    <row r="1393" spans="1:7" ht="15.75">
      <c r="A1393" s="3252">
        <v>66450</v>
      </c>
      <c r="B1393" s="3252">
        <v>66500</v>
      </c>
      <c r="C1393" s="3252">
        <v>12475</v>
      </c>
      <c r="D1393" s="3252">
        <v>9064</v>
      </c>
      <c r="E1393" s="3252">
        <v>12475</v>
      </c>
      <c r="F1393" s="3252">
        <v>11031</v>
      </c>
      <c r="G1393" s="1698"/>
    </row>
    <row r="1394" spans="1:7" ht="15.75">
      <c r="A1394" s="3252">
        <v>66500</v>
      </c>
      <c r="B1394" s="3252">
        <v>66550</v>
      </c>
      <c r="C1394" s="3252">
        <v>12488</v>
      </c>
      <c r="D1394" s="3252">
        <v>9071</v>
      </c>
      <c r="E1394" s="3252">
        <v>12488</v>
      </c>
      <c r="F1394" s="3252">
        <v>11044</v>
      </c>
      <c r="G1394" s="1698"/>
    </row>
    <row r="1395" spans="1:7" ht="15.75">
      <c r="A1395" s="3252">
        <v>66550</v>
      </c>
      <c r="B1395" s="3252">
        <v>66600</v>
      </c>
      <c r="C1395" s="3252">
        <v>12500</v>
      </c>
      <c r="D1395" s="3252">
        <v>9079</v>
      </c>
      <c r="E1395" s="3252">
        <v>12500</v>
      </c>
      <c r="F1395" s="3252">
        <v>11056</v>
      </c>
      <c r="G1395" s="1698"/>
    </row>
    <row r="1396" spans="1:7" ht="15.75">
      <c r="A1396" s="3252">
        <v>66600</v>
      </c>
      <c r="B1396" s="3252">
        <v>66650</v>
      </c>
      <c r="C1396" s="3252">
        <v>12513</v>
      </c>
      <c r="D1396" s="3252">
        <v>9086</v>
      </c>
      <c r="E1396" s="3252">
        <v>12513</v>
      </c>
      <c r="F1396" s="3252">
        <v>11069</v>
      </c>
      <c r="G1396" s="1698"/>
    </row>
    <row r="1397" spans="1:7" ht="15.75">
      <c r="A1397" s="3252">
        <v>66650</v>
      </c>
      <c r="B1397" s="3252">
        <v>66700</v>
      </c>
      <c r="C1397" s="3252">
        <v>12525</v>
      </c>
      <c r="D1397" s="3252">
        <v>9094</v>
      </c>
      <c r="E1397" s="3252">
        <v>12525</v>
      </c>
      <c r="F1397" s="3252">
        <v>11081</v>
      </c>
      <c r="G1397" s="1698"/>
    </row>
    <row r="1398" spans="1:7" ht="15.75">
      <c r="A1398" s="3252">
        <v>66700</v>
      </c>
      <c r="B1398" s="3252">
        <v>66750</v>
      </c>
      <c r="C1398" s="3252">
        <v>12538</v>
      </c>
      <c r="D1398" s="3252">
        <v>9101</v>
      </c>
      <c r="E1398" s="3252">
        <v>12538</v>
      </c>
      <c r="F1398" s="3252">
        <v>11094</v>
      </c>
      <c r="G1398" s="1698"/>
    </row>
    <row r="1399" spans="1:7" ht="15.75">
      <c r="A1399" s="3252">
        <v>66750</v>
      </c>
      <c r="B1399" s="3252">
        <v>66800</v>
      </c>
      <c r="C1399" s="3252">
        <v>12550</v>
      </c>
      <c r="D1399" s="3252">
        <v>9109</v>
      </c>
      <c r="E1399" s="3252">
        <v>12550</v>
      </c>
      <c r="F1399" s="3252">
        <v>11106</v>
      </c>
      <c r="G1399" s="1698"/>
    </row>
    <row r="1400" spans="1:7" ht="15.75">
      <c r="A1400" s="3252">
        <v>66800</v>
      </c>
      <c r="B1400" s="3252">
        <v>66850</v>
      </c>
      <c r="C1400" s="3252">
        <v>12563</v>
      </c>
      <c r="D1400" s="3252">
        <v>9116</v>
      </c>
      <c r="E1400" s="3252">
        <v>12563</v>
      </c>
      <c r="F1400" s="3252">
        <v>11119</v>
      </c>
      <c r="G1400" s="1698"/>
    </row>
    <row r="1401" spans="1:7" ht="15.75">
      <c r="A1401" s="3252">
        <v>66850</v>
      </c>
      <c r="B1401" s="3252">
        <v>66900</v>
      </c>
      <c r="C1401" s="3252">
        <v>12575</v>
      </c>
      <c r="D1401" s="3252">
        <v>9124</v>
      </c>
      <c r="E1401" s="3252">
        <v>12575</v>
      </c>
      <c r="F1401" s="3252">
        <v>11131</v>
      </c>
      <c r="G1401" s="1698"/>
    </row>
    <row r="1402" spans="1:7" ht="15.75">
      <c r="A1402" s="3252">
        <v>66900</v>
      </c>
      <c r="B1402" s="3252">
        <v>66950</v>
      </c>
      <c r="C1402" s="3252">
        <v>12588</v>
      </c>
      <c r="D1402" s="3252">
        <v>9131</v>
      </c>
      <c r="E1402" s="3252">
        <v>12588</v>
      </c>
      <c r="F1402" s="3252">
        <v>11144</v>
      </c>
      <c r="G1402" s="1698"/>
    </row>
    <row r="1403" spans="1:7" ht="15.75">
      <c r="A1403" s="3252">
        <v>66950</v>
      </c>
      <c r="B1403" s="3252">
        <v>67000</v>
      </c>
      <c r="C1403" s="3252">
        <v>12600</v>
      </c>
      <c r="D1403" s="3252">
        <v>9139</v>
      </c>
      <c r="E1403" s="3252">
        <v>12600</v>
      </c>
      <c r="F1403" s="3252">
        <v>11156</v>
      </c>
      <c r="G1403" s="1698"/>
    </row>
    <row r="1404" spans="1:7" ht="15.75">
      <c r="A1404" s="3252">
        <v>67000</v>
      </c>
      <c r="B1404" s="3252">
        <v>67050</v>
      </c>
      <c r="C1404" s="3252">
        <v>12613</v>
      </c>
      <c r="D1404" s="3252">
        <v>9146</v>
      </c>
      <c r="E1404" s="3252">
        <v>12613</v>
      </c>
      <c r="F1404" s="3252">
        <v>11169</v>
      </c>
      <c r="G1404" s="1698"/>
    </row>
    <row r="1405" spans="1:7" ht="15.75">
      <c r="A1405" s="3252">
        <v>67050</v>
      </c>
      <c r="B1405" s="3252">
        <v>67100</v>
      </c>
      <c r="C1405" s="3252">
        <v>12625</v>
      </c>
      <c r="D1405" s="3252">
        <v>9154</v>
      </c>
      <c r="E1405" s="3252">
        <v>12625</v>
      </c>
      <c r="F1405" s="3252">
        <v>11181</v>
      </c>
      <c r="G1405" s="1698"/>
    </row>
    <row r="1406" spans="1:7" ht="15.75">
      <c r="A1406" s="3252">
        <v>67100</v>
      </c>
      <c r="B1406" s="3252">
        <v>67150</v>
      </c>
      <c r="C1406" s="3252">
        <v>12638</v>
      </c>
      <c r="D1406" s="3252">
        <v>9161</v>
      </c>
      <c r="E1406" s="3252">
        <v>12638</v>
      </c>
      <c r="F1406" s="3252">
        <v>11194</v>
      </c>
      <c r="G1406" s="1698"/>
    </row>
    <row r="1407" spans="1:7" ht="15.75">
      <c r="A1407" s="3252">
        <v>67150</v>
      </c>
      <c r="B1407" s="3252">
        <v>67200</v>
      </c>
      <c r="C1407" s="3252">
        <v>12650</v>
      </c>
      <c r="D1407" s="3252">
        <v>9169</v>
      </c>
      <c r="E1407" s="3252">
        <v>12650</v>
      </c>
      <c r="F1407" s="3252">
        <v>11206</v>
      </c>
      <c r="G1407" s="1698"/>
    </row>
    <row r="1408" spans="1:7" ht="15.75">
      <c r="A1408" s="3252">
        <v>67200</v>
      </c>
      <c r="B1408" s="3252">
        <v>67250</v>
      </c>
      <c r="C1408" s="3252">
        <v>12663</v>
      </c>
      <c r="D1408" s="3252">
        <v>9176</v>
      </c>
      <c r="E1408" s="3252">
        <v>12663</v>
      </c>
      <c r="F1408" s="3252">
        <v>11219</v>
      </c>
      <c r="G1408" s="1698"/>
    </row>
    <row r="1409" spans="1:7" ht="15.75">
      <c r="A1409" s="3252">
        <v>67250</v>
      </c>
      <c r="B1409" s="3252">
        <v>67300</v>
      </c>
      <c r="C1409" s="3252">
        <v>12675</v>
      </c>
      <c r="D1409" s="3252">
        <v>9184</v>
      </c>
      <c r="E1409" s="3252">
        <v>12675</v>
      </c>
      <c r="F1409" s="3252">
        <v>11231</v>
      </c>
      <c r="G1409" s="1698"/>
    </row>
    <row r="1410" spans="1:7" ht="15.75">
      <c r="A1410" s="3252">
        <v>67300</v>
      </c>
      <c r="B1410" s="3252">
        <v>67350</v>
      </c>
      <c r="C1410" s="3252">
        <v>12688</v>
      </c>
      <c r="D1410" s="3252">
        <v>9191</v>
      </c>
      <c r="E1410" s="3252">
        <v>12688</v>
      </c>
      <c r="F1410" s="3252">
        <v>11244</v>
      </c>
      <c r="G1410" s="1698"/>
    </row>
    <row r="1411" spans="1:7" ht="15.75">
      <c r="A1411" s="3252">
        <v>67350</v>
      </c>
      <c r="B1411" s="3252">
        <v>67400</v>
      </c>
      <c r="C1411" s="3252">
        <v>12700</v>
      </c>
      <c r="D1411" s="3252">
        <v>9199</v>
      </c>
      <c r="E1411" s="3252">
        <v>12700</v>
      </c>
      <c r="F1411" s="3252">
        <v>11256</v>
      </c>
      <c r="G1411" s="1698"/>
    </row>
    <row r="1412" spans="1:7" ht="15.75">
      <c r="A1412" s="3252">
        <v>67400</v>
      </c>
      <c r="B1412" s="3252">
        <v>67450</v>
      </c>
      <c r="C1412" s="3252">
        <v>12713</v>
      </c>
      <c r="D1412" s="3252">
        <v>9206</v>
      </c>
      <c r="E1412" s="3252">
        <v>12713</v>
      </c>
      <c r="F1412" s="3252">
        <v>11269</v>
      </c>
      <c r="G1412" s="1698"/>
    </row>
    <row r="1413" spans="1:7" ht="15.75">
      <c r="A1413" s="3252">
        <v>67450</v>
      </c>
      <c r="B1413" s="3252">
        <v>67500</v>
      </c>
      <c r="C1413" s="3252">
        <v>12725</v>
      </c>
      <c r="D1413" s="3252">
        <v>9214</v>
      </c>
      <c r="E1413" s="3252">
        <v>12725</v>
      </c>
      <c r="F1413" s="3252">
        <v>11281</v>
      </c>
      <c r="G1413" s="1698"/>
    </row>
    <row r="1414" spans="1:7" ht="15.75">
      <c r="A1414" s="3252">
        <v>67500</v>
      </c>
      <c r="B1414" s="3252">
        <v>67550</v>
      </c>
      <c r="C1414" s="3252">
        <v>12738</v>
      </c>
      <c r="D1414" s="3252">
        <v>9221</v>
      </c>
      <c r="E1414" s="3252">
        <v>12738</v>
      </c>
      <c r="F1414" s="3252">
        <v>11294</v>
      </c>
      <c r="G1414" s="1698"/>
    </row>
    <row r="1415" spans="1:7" ht="15.75">
      <c r="A1415" s="3252">
        <v>67550</v>
      </c>
      <c r="B1415" s="3252">
        <v>67600</v>
      </c>
      <c r="C1415" s="3252">
        <v>12750</v>
      </c>
      <c r="D1415" s="3252">
        <v>9229</v>
      </c>
      <c r="E1415" s="3252">
        <v>12750</v>
      </c>
      <c r="F1415" s="3252">
        <v>11306</v>
      </c>
      <c r="G1415" s="1698"/>
    </row>
    <row r="1416" spans="1:7" ht="15.75">
      <c r="A1416" s="3252">
        <v>67600</v>
      </c>
      <c r="B1416" s="3252">
        <v>67650</v>
      </c>
      <c r="C1416" s="3252">
        <v>12763</v>
      </c>
      <c r="D1416" s="3252">
        <v>9236</v>
      </c>
      <c r="E1416" s="3252">
        <v>12763</v>
      </c>
      <c r="F1416" s="3252">
        <v>11319</v>
      </c>
      <c r="G1416" s="1698"/>
    </row>
    <row r="1417" spans="1:7" ht="15.75">
      <c r="A1417" s="3252">
        <v>67650</v>
      </c>
      <c r="B1417" s="3252">
        <v>67700</v>
      </c>
      <c r="C1417" s="3252">
        <v>12775</v>
      </c>
      <c r="D1417" s="3252">
        <v>9244</v>
      </c>
      <c r="E1417" s="3252">
        <v>12775</v>
      </c>
      <c r="F1417" s="3252">
        <v>11331</v>
      </c>
      <c r="G1417" s="1698"/>
    </row>
    <row r="1418" spans="1:7" ht="15.75">
      <c r="A1418" s="3252">
        <v>67700</v>
      </c>
      <c r="B1418" s="3252">
        <v>67750</v>
      </c>
      <c r="C1418" s="3252">
        <v>12788</v>
      </c>
      <c r="D1418" s="3252">
        <v>9251</v>
      </c>
      <c r="E1418" s="3252">
        <v>12788</v>
      </c>
      <c r="F1418" s="3252">
        <v>11344</v>
      </c>
      <c r="G1418" s="1698"/>
    </row>
    <row r="1419" spans="1:7" ht="15.75">
      <c r="A1419" s="3252">
        <v>67750</v>
      </c>
      <c r="B1419" s="3252">
        <v>67800</v>
      </c>
      <c r="C1419" s="3252">
        <v>12800</v>
      </c>
      <c r="D1419" s="3252">
        <v>9259</v>
      </c>
      <c r="E1419" s="3252">
        <v>12800</v>
      </c>
      <c r="F1419" s="3252">
        <v>11356</v>
      </c>
      <c r="G1419" s="1698"/>
    </row>
    <row r="1420" spans="1:7" ht="15.75">
      <c r="A1420" s="3252">
        <v>67800</v>
      </c>
      <c r="B1420" s="3252">
        <v>67850</v>
      </c>
      <c r="C1420" s="3252">
        <v>12813</v>
      </c>
      <c r="D1420" s="3252">
        <v>9266</v>
      </c>
      <c r="E1420" s="3252">
        <v>12813</v>
      </c>
      <c r="F1420" s="3252">
        <v>11369</v>
      </c>
      <c r="G1420" s="1698"/>
    </row>
    <row r="1421" spans="1:7" ht="15.75">
      <c r="A1421" s="3252">
        <v>67850</v>
      </c>
      <c r="B1421" s="3252">
        <v>67900</v>
      </c>
      <c r="C1421" s="3252">
        <v>12825</v>
      </c>
      <c r="D1421" s="3252">
        <v>9274</v>
      </c>
      <c r="E1421" s="3252">
        <v>12825</v>
      </c>
      <c r="F1421" s="3252">
        <v>11381</v>
      </c>
      <c r="G1421" s="1698"/>
    </row>
    <row r="1422" spans="1:7" ht="15.75">
      <c r="A1422" s="3252">
        <v>67900</v>
      </c>
      <c r="B1422" s="3252">
        <v>67950</v>
      </c>
      <c r="C1422" s="3252">
        <v>12838</v>
      </c>
      <c r="D1422" s="3252">
        <v>9281</v>
      </c>
      <c r="E1422" s="3252">
        <v>12838</v>
      </c>
      <c r="F1422" s="3252">
        <v>11394</v>
      </c>
      <c r="G1422" s="1698"/>
    </row>
    <row r="1423" spans="1:7" ht="15.75">
      <c r="A1423" s="3252">
        <v>67950</v>
      </c>
      <c r="B1423" s="3252">
        <v>68000</v>
      </c>
      <c r="C1423" s="3252">
        <v>12850</v>
      </c>
      <c r="D1423" s="3252">
        <v>9289</v>
      </c>
      <c r="E1423" s="3252">
        <v>12850</v>
      </c>
      <c r="F1423" s="3252">
        <v>11406</v>
      </c>
      <c r="G1423" s="1698"/>
    </row>
    <row r="1424" spans="1:7" ht="15.75">
      <c r="A1424" s="3252">
        <v>68000</v>
      </c>
      <c r="B1424" s="3252">
        <v>68050</v>
      </c>
      <c r="C1424" s="3252">
        <v>12863</v>
      </c>
      <c r="D1424" s="3252">
        <v>9296</v>
      </c>
      <c r="E1424" s="3252">
        <v>12863</v>
      </c>
      <c r="F1424" s="3252">
        <v>11419</v>
      </c>
      <c r="G1424" s="1698"/>
    </row>
    <row r="1425" spans="1:7" ht="15.75">
      <c r="A1425" s="3252">
        <v>68050</v>
      </c>
      <c r="B1425" s="3252">
        <v>68100</v>
      </c>
      <c r="C1425" s="3252">
        <v>12875</v>
      </c>
      <c r="D1425" s="3252">
        <v>9304</v>
      </c>
      <c r="E1425" s="3252">
        <v>12875</v>
      </c>
      <c r="F1425" s="3252">
        <v>11431</v>
      </c>
      <c r="G1425" s="1698"/>
    </row>
    <row r="1426" spans="1:7" ht="15.75">
      <c r="A1426" s="3252">
        <v>68100</v>
      </c>
      <c r="B1426" s="3252">
        <v>68150</v>
      </c>
      <c r="C1426" s="3252">
        <v>12888</v>
      </c>
      <c r="D1426" s="3252">
        <v>9311</v>
      </c>
      <c r="E1426" s="3252">
        <v>12888</v>
      </c>
      <c r="F1426" s="3252">
        <v>11444</v>
      </c>
      <c r="G1426" s="1698"/>
    </row>
    <row r="1427" spans="1:7" ht="15.75">
      <c r="A1427" s="3252">
        <v>68150</v>
      </c>
      <c r="B1427" s="3252">
        <v>68200</v>
      </c>
      <c r="C1427" s="3252">
        <v>12900</v>
      </c>
      <c r="D1427" s="3252">
        <v>9319</v>
      </c>
      <c r="E1427" s="3252">
        <v>12900</v>
      </c>
      <c r="F1427" s="3252">
        <v>11456</v>
      </c>
      <c r="G1427" s="1698"/>
    </row>
    <row r="1428" spans="1:7" ht="15.75">
      <c r="A1428" s="3252">
        <v>68200</v>
      </c>
      <c r="B1428" s="3252">
        <v>68250</v>
      </c>
      <c r="C1428" s="3252">
        <v>12913</v>
      </c>
      <c r="D1428" s="3252">
        <v>9326</v>
      </c>
      <c r="E1428" s="3252">
        <v>12913</v>
      </c>
      <c r="F1428" s="3252">
        <v>11469</v>
      </c>
      <c r="G1428" s="1698"/>
    </row>
    <row r="1429" spans="1:7" ht="15.75">
      <c r="A1429" s="3252">
        <v>68250</v>
      </c>
      <c r="B1429" s="3252">
        <v>68300</v>
      </c>
      <c r="C1429" s="3252">
        <v>12925</v>
      </c>
      <c r="D1429" s="3252">
        <v>9334</v>
      </c>
      <c r="E1429" s="3252">
        <v>12925</v>
      </c>
      <c r="F1429" s="3252">
        <v>11481</v>
      </c>
      <c r="G1429" s="1698"/>
    </row>
    <row r="1430" spans="1:7" ht="15.75">
      <c r="A1430" s="3252">
        <v>68300</v>
      </c>
      <c r="B1430" s="3252">
        <v>68350</v>
      </c>
      <c r="C1430" s="3252">
        <v>12938</v>
      </c>
      <c r="D1430" s="3252">
        <v>9341</v>
      </c>
      <c r="E1430" s="3252">
        <v>12938</v>
      </c>
      <c r="F1430" s="3252">
        <v>11494</v>
      </c>
      <c r="G1430" s="1698"/>
    </row>
    <row r="1431" spans="1:7" ht="15.75">
      <c r="A1431" s="3252">
        <v>68350</v>
      </c>
      <c r="B1431" s="3252">
        <v>68400</v>
      </c>
      <c r="C1431" s="3252">
        <v>12950</v>
      </c>
      <c r="D1431" s="3252">
        <v>9349</v>
      </c>
      <c r="E1431" s="3252">
        <v>12950</v>
      </c>
      <c r="F1431" s="3252">
        <v>11506</v>
      </c>
      <c r="G1431" s="1698"/>
    </row>
    <row r="1432" spans="1:7" ht="15.75">
      <c r="A1432" s="3252">
        <v>68400</v>
      </c>
      <c r="B1432" s="3252">
        <v>68450</v>
      </c>
      <c r="C1432" s="3252">
        <v>12963</v>
      </c>
      <c r="D1432" s="3252">
        <v>9356</v>
      </c>
      <c r="E1432" s="3252">
        <v>12963</v>
      </c>
      <c r="F1432" s="3252">
        <v>11519</v>
      </c>
      <c r="G1432" s="1698"/>
    </row>
    <row r="1433" spans="1:7" ht="15.75">
      <c r="A1433" s="3252">
        <v>68450</v>
      </c>
      <c r="B1433" s="3252">
        <v>68500</v>
      </c>
      <c r="C1433" s="3252">
        <v>12975</v>
      </c>
      <c r="D1433" s="3252">
        <v>9364</v>
      </c>
      <c r="E1433" s="3252">
        <v>12975</v>
      </c>
      <c r="F1433" s="3252">
        <v>11531</v>
      </c>
      <c r="G1433" s="1698"/>
    </row>
    <row r="1434" spans="1:7" ht="15.75">
      <c r="A1434" s="3252">
        <v>68500</v>
      </c>
      <c r="B1434" s="3252">
        <v>68550</v>
      </c>
      <c r="C1434" s="3252">
        <v>12988</v>
      </c>
      <c r="D1434" s="3252">
        <v>9371</v>
      </c>
      <c r="E1434" s="3252">
        <v>12988</v>
      </c>
      <c r="F1434" s="3252">
        <v>11544</v>
      </c>
      <c r="G1434" s="1698"/>
    </row>
    <row r="1435" spans="1:7" ht="15.75">
      <c r="A1435" s="3252">
        <v>68550</v>
      </c>
      <c r="B1435" s="3252">
        <v>68600</v>
      </c>
      <c r="C1435" s="3252">
        <v>13000</v>
      </c>
      <c r="D1435" s="3252">
        <v>9379</v>
      </c>
      <c r="E1435" s="3252">
        <v>13000</v>
      </c>
      <c r="F1435" s="3252">
        <v>11556</v>
      </c>
      <c r="G1435" s="1698"/>
    </row>
    <row r="1436" spans="1:7" ht="15.75">
      <c r="A1436" s="3252">
        <v>68600</v>
      </c>
      <c r="B1436" s="3252">
        <v>68650</v>
      </c>
      <c r="C1436" s="3252">
        <v>13013</v>
      </c>
      <c r="D1436" s="3252">
        <v>9386</v>
      </c>
      <c r="E1436" s="3252">
        <v>13013</v>
      </c>
      <c r="F1436" s="3252">
        <v>11569</v>
      </c>
      <c r="G1436" s="1698"/>
    </row>
    <row r="1437" spans="1:7" ht="15.75">
      <c r="A1437" s="3252">
        <v>68650</v>
      </c>
      <c r="B1437" s="3252">
        <v>68700</v>
      </c>
      <c r="C1437" s="3252">
        <v>13025</v>
      </c>
      <c r="D1437" s="3252">
        <v>9394</v>
      </c>
      <c r="E1437" s="3252">
        <v>13025</v>
      </c>
      <c r="F1437" s="3252">
        <v>11581</v>
      </c>
      <c r="G1437" s="1698"/>
    </row>
    <row r="1438" spans="1:7" ht="15.75">
      <c r="A1438" s="3252">
        <v>68700</v>
      </c>
      <c r="B1438" s="3252">
        <v>68750</v>
      </c>
      <c r="C1438" s="3252">
        <v>13038</v>
      </c>
      <c r="D1438" s="3252">
        <v>9401</v>
      </c>
      <c r="E1438" s="3252">
        <v>13038</v>
      </c>
      <c r="F1438" s="3252">
        <v>11594</v>
      </c>
      <c r="G1438" s="1698"/>
    </row>
    <row r="1439" spans="1:7" ht="15.75">
      <c r="A1439" s="3252">
        <v>68750</v>
      </c>
      <c r="B1439" s="3252">
        <v>68800</v>
      </c>
      <c r="C1439" s="3252">
        <v>13050</v>
      </c>
      <c r="D1439" s="3252">
        <v>9409</v>
      </c>
      <c r="E1439" s="3252">
        <v>13050</v>
      </c>
      <c r="F1439" s="3252">
        <v>11606</v>
      </c>
      <c r="G1439" s="1698"/>
    </row>
    <row r="1440" spans="1:7" ht="15.75">
      <c r="A1440" s="3252">
        <v>68800</v>
      </c>
      <c r="B1440" s="3252">
        <v>68850</v>
      </c>
      <c r="C1440" s="3252">
        <v>13063</v>
      </c>
      <c r="D1440" s="3252">
        <v>9416</v>
      </c>
      <c r="E1440" s="3252">
        <v>13063</v>
      </c>
      <c r="F1440" s="3252">
        <v>11619</v>
      </c>
      <c r="G1440" s="1698"/>
    </row>
    <row r="1441" spans="1:7" ht="15.75">
      <c r="A1441" s="3252">
        <v>68850</v>
      </c>
      <c r="B1441" s="3252">
        <v>68900</v>
      </c>
      <c r="C1441" s="3252">
        <v>13075</v>
      </c>
      <c r="D1441" s="3252">
        <v>9424</v>
      </c>
      <c r="E1441" s="3252">
        <v>13075</v>
      </c>
      <c r="F1441" s="3252">
        <v>11631</v>
      </c>
      <c r="G1441" s="1698"/>
    </row>
    <row r="1442" spans="1:7" ht="15.75">
      <c r="A1442" s="3252">
        <v>68900</v>
      </c>
      <c r="B1442" s="3252">
        <v>68950</v>
      </c>
      <c r="C1442" s="3252">
        <v>13088</v>
      </c>
      <c r="D1442" s="3252">
        <v>9431</v>
      </c>
      <c r="E1442" s="3252">
        <v>13088</v>
      </c>
      <c r="F1442" s="3252">
        <v>11644</v>
      </c>
      <c r="G1442" s="1698"/>
    </row>
    <row r="1443" spans="1:7" ht="15.75">
      <c r="A1443" s="3252">
        <v>68950</v>
      </c>
      <c r="B1443" s="3252">
        <v>69000</v>
      </c>
      <c r="C1443" s="3252">
        <v>13100</v>
      </c>
      <c r="D1443" s="3252">
        <v>9439</v>
      </c>
      <c r="E1443" s="3252">
        <v>13100</v>
      </c>
      <c r="F1443" s="3252">
        <v>11656</v>
      </c>
      <c r="G1443" s="1698"/>
    </row>
    <row r="1444" spans="1:7" ht="15.75">
      <c r="A1444" s="3252">
        <v>69000</v>
      </c>
      <c r="B1444" s="3252">
        <v>69050</v>
      </c>
      <c r="C1444" s="3252">
        <v>13113</v>
      </c>
      <c r="D1444" s="3252">
        <v>9446</v>
      </c>
      <c r="E1444" s="3252">
        <v>13113</v>
      </c>
      <c r="F1444" s="3252">
        <v>11669</v>
      </c>
      <c r="G1444" s="1698"/>
    </row>
    <row r="1445" spans="1:7" ht="15.75">
      <c r="A1445" s="3252">
        <v>69050</v>
      </c>
      <c r="B1445" s="3252">
        <v>69100</v>
      </c>
      <c r="C1445" s="3252">
        <v>13125</v>
      </c>
      <c r="D1445" s="3252">
        <v>9454</v>
      </c>
      <c r="E1445" s="3252">
        <v>13125</v>
      </c>
      <c r="F1445" s="3252">
        <v>11681</v>
      </c>
      <c r="G1445" s="1698"/>
    </row>
    <row r="1446" spans="1:7" ht="15.75">
      <c r="A1446" s="3252">
        <v>69100</v>
      </c>
      <c r="B1446" s="3252">
        <v>69150</v>
      </c>
      <c r="C1446" s="3252">
        <v>13138</v>
      </c>
      <c r="D1446" s="3252">
        <v>9461</v>
      </c>
      <c r="E1446" s="3252">
        <v>13138</v>
      </c>
      <c r="F1446" s="3252">
        <v>11694</v>
      </c>
      <c r="G1446" s="1698"/>
    </row>
    <row r="1447" spans="1:7" ht="15.75">
      <c r="A1447" s="3252">
        <v>69150</v>
      </c>
      <c r="B1447" s="3252">
        <v>69200</v>
      </c>
      <c r="C1447" s="3252">
        <v>13150</v>
      </c>
      <c r="D1447" s="3252">
        <v>9469</v>
      </c>
      <c r="E1447" s="3252">
        <v>13150</v>
      </c>
      <c r="F1447" s="3252">
        <v>11706</v>
      </c>
      <c r="G1447" s="1698"/>
    </row>
    <row r="1448" spans="1:7" ht="15.75">
      <c r="A1448" s="3252">
        <v>69200</v>
      </c>
      <c r="B1448" s="3252">
        <v>69250</v>
      </c>
      <c r="C1448" s="3252">
        <v>13163</v>
      </c>
      <c r="D1448" s="3252">
        <v>9476</v>
      </c>
      <c r="E1448" s="3252">
        <v>13163</v>
      </c>
      <c r="F1448" s="3252">
        <v>11719</v>
      </c>
      <c r="G1448" s="1698"/>
    </row>
    <row r="1449" spans="1:7" ht="15.75">
      <c r="A1449" s="3252">
        <v>69250</v>
      </c>
      <c r="B1449" s="3252">
        <v>69300</v>
      </c>
      <c r="C1449" s="3252">
        <v>13175</v>
      </c>
      <c r="D1449" s="3252">
        <v>9484</v>
      </c>
      <c r="E1449" s="3252">
        <v>13175</v>
      </c>
      <c r="F1449" s="3252">
        <v>11731</v>
      </c>
      <c r="G1449" s="1698"/>
    </row>
    <row r="1450" spans="1:7" ht="15.75">
      <c r="A1450" s="3252">
        <v>69300</v>
      </c>
      <c r="B1450" s="3252">
        <v>69350</v>
      </c>
      <c r="C1450" s="3252">
        <v>13188</v>
      </c>
      <c r="D1450" s="3252">
        <v>9491</v>
      </c>
      <c r="E1450" s="3252">
        <v>13188</v>
      </c>
      <c r="F1450" s="3252">
        <v>11744</v>
      </c>
      <c r="G1450" s="1698"/>
    </row>
    <row r="1451" spans="1:7" ht="15.75">
      <c r="A1451" s="3252">
        <v>69350</v>
      </c>
      <c r="B1451" s="3252">
        <v>69400</v>
      </c>
      <c r="C1451" s="3252">
        <v>13200</v>
      </c>
      <c r="D1451" s="3252">
        <v>9499</v>
      </c>
      <c r="E1451" s="3252">
        <v>13200</v>
      </c>
      <c r="F1451" s="3252">
        <v>11756</v>
      </c>
      <c r="G1451" s="1698"/>
    </row>
    <row r="1452" spans="1:7" ht="15.75">
      <c r="A1452" s="3252">
        <v>69400</v>
      </c>
      <c r="B1452" s="3252">
        <v>69450</v>
      </c>
      <c r="C1452" s="3252">
        <v>13213</v>
      </c>
      <c r="D1452" s="3252">
        <v>9506</v>
      </c>
      <c r="E1452" s="3252">
        <v>13213</v>
      </c>
      <c r="F1452" s="3252">
        <v>11769</v>
      </c>
      <c r="G1452" s="1698"/>
    </row>
    <row r="1453" spans="1:7" ht="15.75">
      <c r="A1453" s="3252">
        <v>69450</v>
      </c>
      <c r="B1453" s="3252">
        <v>69500</v>
      </c>
      <c r="C1453" s="3252">
        <v>13225</v>
      </c>
      <c r="D1453" s="3252">
        <v>9514</v>
      </c>
      <c r="E1453" s="3252">
        <v>13225</v>
      </c>
      <c r="F1453" s="3252">
        <v>11781</v>
      </c>
      <c r="G1453" s="1698"/>
    </row>
    <row r="1454" spans="1:7" ht="15.75">
      <c r="A1454" s="3252">
        <v>69500</v>
      </c>
      <c r="B1454" s="3252">
        <v>69550</v>
      </c>
      <c r="C1454" s="3252">
        <v>13238</v>
      </c>
      <c r="D1454" s="3252">
        <v>9521</v>
      </c>
      <c r="E1454" s="3252">
        <v>13238</v>
      </c>
      <c r="F1454" s="3252">
        <v>11794</v>
      </c>
      <c r="G1454" s="1698"/>
    </row>
    <row r="1455" spans="1:7" ht="15.75">
      <c r="A1455" s="3252">
        <v>69550</v>
      </c>
      <c r="B1455" s="3252">
        <v>69600</v>
      </c>
      <c r="C1455" s="3252">
        <v>13250</v>
      </c>
      <c r="D1455" s="3252">
        <v>9529</v>
      </c>
      <c r="E1455" s="3252">
        <v>13250</v>
      </c>
      <c r="F1455" s="3252">
        <v>11806</v>
      </c>
      <c r="G1455" s="1698"/>
    </row>
    <row r="1456" spans="1:7" ht="15.75">
      <c r="A1456" s="3252">
        <v>69600</v>
      </c>
      <c r="B1456" s="3252">
        <v>69650</v>
      </c>
      <c r="C1456" s="3252">
        <v>13263</v>
      </c>
      <c r="D1456" s="3252">
        <v>9536</v>
      </c>
      <c r="E1456" s="3252">
        <v>13263</v>
      </c>
      <c r="F1456" s="3252">
        <v>11819</v>
      </c>
      <c r="G1456" s="1698"/>
    </row>
    <row r="1457" spans="1:7" ht="15.75">
      <c r="A1457" s="3252">
        <v>69650</v>
      </c>
      <c r="B1457" s="3252">
        <v>69700</v>
      </c>
      <c r="C1457" s="3252">
        <v>13275</v>
      </c>
      <c r="D1457" s="3252">
        <v>9544</v>
      </c>
      <c r="E1457" s="3252">
        <v>13275</v>
      </c>
      <c r="F1457" s="3252">
        <v>11831</v>
      </c>
      <c r="G1457" s="1698"/>
    </row>
    <row r="1458" spans="1:7" ht="15.75">
      <c r="A1458" s="3252">
        <v>69700</v>
      </c>
      <c r="B1458" s="3252">
        <v>69750</v>
      </c>
      <c r="C1458" s="3252">
        <v>13288</v>
      </c>
      <c r="D1458" s="3252">
        <v>9551</v>
      </c>
      <c r="E1458" s="3252">
        <v>13288</v>
      </c>
      <c r="F1458" s="3252">
        <v>11844</v>
      </c>
      <c r="G1458" s="1698"/>
    </row>
    <row r="1459" spans="1:7" ht="15.75">
      <c r="A1459" s="3252">
        <v>69750</v>
      </c>
      <c r="B1459" s="3252">
        <v>69800</v>
      </c>
      <c r="C1459" s="3252">
        <v>13300</v>
      </c>
      <c r="D1459" s="3252">
        <v>9559</v>
      </c>
      <c r="E1459" s="3252">
        <v>13300</v>
      </c>
      <c r="F1459" s="3252">
        <v>11856</v>
      </c>
      <c r="G1459" s="1698"/>
    </row>
    <row r="1460" spans="1:7" ht="15.75">
      <c r="A1460" s="3252">
        <v>69800</v>
      </c>
      <c r="B1460" s="3252">
        <v>69850</v>
      </c>
      <c r="C1460" s="3252">
        <v>13313</v>
      </c>
      <c r="D1460" s="3252">
        <v>9566</v>
      </c>
      <c r="E1460" s="3252">
        <v>13313</v>
      </c>
      <c r="F1460" s="3252">
        <v>11869</v>
      </c>
      <c r="G1460" s="1698"/>
    </row>
    <row r="1461" spans="1:7" ht="15.75">
      <c r="A1461" s="3252">
        <v>69850</v>
      </c>
      <c r="B1461" s="3252">
        <v>69900</v>
      </c>
      <c r="C1461" s="3252">
        <v>13325</v>
      </c>
      <c r="D1461" s="3252">
        <v>9574</v>
      </c>
      <c r="E1461" s="3252">
        <v>13325</v>
      </c>
      <c r="F1461" s="3252">
        <v>11881</v>
      </c>
      <c r="G1461" s="1698"/>
    </row>
    <row r="1462" spans="1:7" ht="15.75">
      <c r="A1462" s="3252">
        <v>69900</v>
      </c>
      <c r="B1462" s="3252">
        <v>69950</v>
      </c>
      <c r="C1462" s="3252">
        <v>13338</v>
      </c>
      <c r="D1462" s="3252">
        <v>9581</v>
      </c>
      <c r="E1462" s="3252">
        <v>13338</v>
      </c>
      <c r="F1462" s="3252">
        <v>11894</v>
      </c>
      <c r="G1462" s="1698"/>
    </row>
    <row r="1463" spans="1:7" ht="15.75">
      <c r="A1463" s="3252">
        <v>69950</v>
      </c>
      <c r="B1463" s="3252">
        <v>70000</v>
      </c>
      <c r="C1463" s="3252">
        <v>13350</v>
      </c>
      <c r="D1463" s="3252">
        <v>9589</v>
      </c>
      <c r="E1463" s="3252">
        <v>13350</v>
      </c>
      <c r="F1463" s="3252">
        <v>11906</v>
      </c>
      <c r="G1463" s="1698"/>
    </row>
    <row r="1464" spans="1:7" ht="15.75">
      <c r="A1464" s="3252">
        <v>70000</v>
      </c>
      <c r="B1464" s="3252">
        <v>70050</v>
      </c>
      <c r="C1464" s="3252">
        <v>13363</v>
      </c>
      <c r="D1464" s="3252">
        <v>9596</v>
      </c>
      <c r="E1464" s="3252">
        <v>13363</v>
      </c>
      <c r="F1464" s="3252">
        <v>11919</v>
      </c>
      <c r="G1464" s="1698"/>
    </row>
    <row r="1465" spans="1:7" ht="15.75">
      <c r="A1465" s="3252">
        <v>70050</v>
      </c>
      <c r="B1465" s="3252">
        <v>70100</v>
      </c>
      <c r="C1465" s="3252">
        <v>13375</v>
      </c>
      <c r="D1465" s="3252">
        <v>9604</v>
      </c>
      <c r="E1465" s="3252">
        <v>13375</v>
      </c>
      <c r="F1465" s="3252">
        <v>11931</v>
      </c>
      <c r="G1465" s="1698"/>
    </row>
    <row r="1466" spans="1:7" ht="15.75">
      <c r="A1466" s="3252">
        <v>70100</v>
      </c>
      <c r="B1466" s="3252">
        <v>70150</v>
      </c>
      <c r="C1466" s="3252">
        <v>13388</v>
      </c>
      <c r="D1466" s="3252">
        <v>9611</v>
      </c>
      <c r="E1466" s="3252">
        <v>13388</v>
      </c>
      <c r="F1466" s="3252">
        <v>11944</v>
      </c>
      <c r="G1466" s="1698"/>
    </row>
    <row r="1467" spans="1:7" ht="15.75">
      <c r="A1467" s="3252">
        <v>70150</v>
      </c>
      <c r="B1467" s="3252">
        <v>70200</v>
      </c>
      <c r="C1467" s="3252">
        <v>13400</v>
      </c>
      <c r="D1467" s="3252">
        <v>9619</v>
      </c>
      <c r="E1467" s="3252">
        <v>13400</v>
      </c>
      <c r="F1467" s="3252">
        <v>11956</v>
      </c>
      <c r="G1467" s="1698"/>
    </row>
    <row r="1468" spans="1:7" ht="15.75">
      <c r="A1468" s="3252">
        <v>70200</v>
      </c>
      <c r="B1468" s="3252">
        <v>70250</v>
      </c>
      <c r="C1468" s="3252">
        <v>13413</v>
      </c>
      <c r="D1468" s="3252">
        <v>9626</v>
      </c>
      <c r="E1468" s="3252">
        <v>13413</v>
      </c>
      <c r="F1468" s="3252">
        <v>11969</v>
      </c>
      <c r="G1468" s="1698"/>
    </row>
    <row r="1469" spans="1:7" ht="15.75">
      <c r="A1469" s="3252">
        <v>70250</v>
      </c>
      <c r="B1469" s="3252">
        <v>70300</v>
      </c>
      <c r="C1469" s="3252">
        <v>13425</v>
      </c>
      <c r="D1469" s="3252">
        <v>9634</v>
      </c>
      <c r="E1469" s="3252">
        <v>13425</v>
      </c>
      <c r="F1469" s="3252">
        <v>11981</v>
      </c>
      <c r="G1469" s="1698"/>
    </row>
    <row r="1470" spans="1:7" ht="15.75">
      <c r="A1470" s="3252">
        <v>70300</v>
      </c>
      <c r="B1470" s="3252">
        <v>70350</v>
      </c>
      <c r="C1470" s="3252">
        <v>13438</v>
      </c>
      <c r="D1470" s="3252">
        <v>9641</v>
      </c>
      <c r="E1470" s="3252">
        <v>13438</v>
      </c>
      <c r="F1470" s="3252">
        <v>11994</v>
      </c>
      <c r="G1470" s="1698"/>
    </row>
    <row r="1471" spans="1:7" ht="15.75">
      <c r="A1471" s="3252">
        <v>70350</v>
      </c>
      <c r="B1471" s="3252">
        <v>70400</v>
      </c>
      <c r="C1471" s="3252">
        <v>13450</v>
      </c>
      <c r="D1471" s="3252">
        <v>9649</v>
      </c>
      <c r="E1471" s="3252">
        <v>13450</v>
      </c>
      <c r="F1471" s="3252">
        <v>12006</v>
      </c>
      <c r="G1471" s="1698"/>
    </row>
    <row r="1472" spans="1:7" ht="15.75">
      <c r="A1472" s="3252">
        <v>70400</v>
      </c>
      <c r="B1472" s="3252">
        <v>70450</v>
      </c>
      <c r="C1472" s="3252">
        <v>13463</v>
      </c>
      <c r="D1472" s="3252">
        <v>9656</v>
      </c>
      <c r="E1472" s="3252">
        <v>13463</v>
      </c>
      <c r="F1472" s="3252">
        <v>12019</v>
      </c>
      <c r="G1472" s="1698"/>
    </row>
    <row r="1473" spans="1:7" ht="15.75">
      <c r="A1473" s="3252">
        <v>70450</v>
      </c>
      <c r="B1473" s="3252">
        <v>70500</v>
      </c>
      <c r="C1473" s="3252">
        <v>13475</v>
      </c>
      <c r="D1473" s="3252">
        <v>9664</v>
      </c>
      <c r="E1473" s="3252">
        <v>13475</v>
      </c>
      <c r="F1473" s="3252">
        <v>12031</v>
      </c>
      <c r="G1473" s="1698"/>
    </row>
    <row r="1474" spans="1:7" ht="15.75">
      <c r="A1474" s="3252">
        <v>70500</v>
      </c>
      <c r="B1474" s="3252">
        <v>70550</v>
      </c>
      <c r="C1474" s="3252">
        <v>13488</v>
      </c>
      <c r="D1474" s="3252">
        <v>9671</v>
      </c>
      <c r="E1474" s="3252">
        <v>13488</v>
      </c>
      <c r="F1474" s="3252">
        <v>12044</v>
      </c>
      <c r="G1474" s="1698"/>
    </row>
    <row r="1475" spans="1:7" ht="15.75">
      <c r="A1475" s="3252">
        <v>70550</v>
      </c>
      <c r="B1475" s="3252">
        <v>70600</v>
      </c>
      <c r="C1475" s="3252">
        <v>13500</v>
      </c>
      <c r="D1475" s="3252">
        <v>9679</v>
      </c>
      <c r="E1475" s="3252">
        <v>13500</v>
      </c>
      <c r="F1475" s="3252">
        <v>12056</v>
      </c>
      <c r="G1475" s="1698"/>
    </row>
    <row r="1476" spans="1:7" ht="15.75">
      <c r="A1476" s="3252">
        <v>70600</v>
      </c>
      <c r="B1476" s="3252">
        <v>70650</v>
      </c>
      <c r="C1476" s="3252">
        <v>13513</v>
      </c>
      <c r="D1476" s="3252">
        <v>9686</v>
      </c>
      <c r="E1476" s="3252">
        <v>13513</v>
      </c>
      <c r="F1476" s="3252">
        <v>12069</v>
      </c>
      <c r="G1476" s="1698"/>
    </row>
    <row r="1477" spans="1:7" ht="15.75">
      <c r="A1477" s="3252">
        <v>70650</v>
      </c>
      <c r="B1477" s="3252">
        <v>70700</v>
      </c>
      <c r="C1477" s="3252">
        <v>13525</v>
      </c>
      <c r="D1477" s="3252">
        <v>9694</v>
      </c>
      <c r="E1477" s="3252">
        <v>13525</v>
      </c>
      <c r="F1477" s="3252">
        <v>12081</v>
      </c>
      <c r="G1477" s="1698"/>
    </row>
    <row r="1478" spans="1:7" ht="15.75">
      <c r="A1478" s="3252">
        <v>70700</v>
      </c>
      <c r="B1478" s="3252">
        <v>70750</v>
      </c>
      <c r="C1478" s="3252">
        <v>13538</v>
      </c>
      <c r="D1478" s="3252">
        <v>9701</v>
      </c>
      <c r="E1478" s="3252">
        <v>13538</v>
      </c>
      <c r="F1478" s="3252">
        <v>12094</v>
      </c>
      <c r="G1478" s="1698"/>
    </row>
    <row r="1479" spans="1:7" ht="15.75">
      <c r="A1479" s="3252">
        <v>70750</v>
      </c>
      <c r="B1479" s="3252">
        <v>70800</v>
      </c>
      <c r="C1479" s="3252">
        <v>13550</v>
      </c>
      <c r="D1479" s="3252">
        <v>9709</v>
      </c>
      <c r="E1479" s="3252">
        <v>13550</v>
      </c>
      <c r="F1479" s="3252">
        <v>12106</v>
      </c>
      <c r="G1479" s="1698"/>
    </row>
    <row r="1480" spans="1:7" ht="15.75">
      <c r="A1480" s="3252">
        <v>70800</v>
      </c>
      <c r="B1480" s="3252">
        <v>70850</v>
      </c>
      <c r="C1480" s="3252">
        <v>13563</v>
      </c>
      <c r="D1480" s="3252">
        <v>9716</v>
      </c>
      <c r="E1480" s="3252">
        <v>13563</v>
      </c>
      <c r="F1480" s="3252">
        <v>12119</v>
      </c>
      <c r="G1480" s="1698"/>
    </row>
    <row r="1481" spans="1:7" ht="15.75">
      <c r="A1481" s="3252">
        <v>70850</v>
      </c>
      <c r="B1481" s="3252">
        <v>70900</v>
      </c>
      <c r="C1481" s="3252">
        <v>13575</v>
      </c>
      <c r="D1481" s="3252">
        <v>9724</v>
      </c>
      <c r="E1481" s="3252">
        <v>13575</v>
      </c>
      <c r="F1481" s="3252">
        <v>12131</v>
      </c>
      <c r="G1481" s="1698"/>
    </row>
    <row r="1482" spans="1:7" ht="15.75">
      <c r="A1482" s="3252">
        <v>70900</v>
      </c>
      <c r="B1482" s="3252">
        <v>70950</v>
      </c>
      <c r="C1482" s="3252">
        <v>13588</v>
      </c>
      <c r="D1482" s="3252">
        <v>9731</v>
      </c>
      <c r="E1482" s="3252">
        <v>13588</v>
      </c>
      <c r="F1482" s="3252">
        <v>12144</v>
      </c>
      <c r="G1482" s="1698"/>
    </row>
    <row r="1483" spans="1:7" ht="15.75">
      <c r="A1483" s="3252">
        <v>70950</v>
      </c>
      <c r="B1483" s="3252">
        <v>71000</v>
      </c>
      <c r="C1483" s="3252">
        <v>13600</v>
      </c>
      <c r="D1483" s="3252">
        <v>9739</v>
      </c>
      <c r="E1483" s="3252">
        <v>13600</v>
      </c>
      <c r="F1483" s="3252">
        <v>12156</v>
      </c>
      <c r="G1483" s="1698"/>
    </row>
    <row r="1484" spans="1:7" ht="15.75">
      <c r="A1484" s="3252">
        <v>71000</v>
      </c>
      <c r="B1484" s="3252">
        <v>71050</v>
      </c>
      <c r="C1484" s="3252">
        <v>13613</v>
      </c>
      <c r="D1484" s="3252">
        <v>9746</v>
      </c>
      <c r="E1484" s="3252">
        <v>13613</v>
      </c>
      <c r="F1484" s="3252">
        <v>12169</v>
      </c>
      <c r="G1484" s="1698"/>
    </row>
    <row r="1485" spans="1:7" ht="15.75">
      <c r="A1485" s="3252">
        <v>71050</v>
      </c>
      <c r="B1485" s="3252">
        <v>71100</v>
      </c>
      <c r="C1485" s="3252">
        <v>13625</v>
      </c>
      <c r="D1485" s="3252">
        <v>9754</v>
      </c>
      <c r="E1485" s="3252">
        <v>13625</v>
      </c>
      <c r="F1485" s="3252">
        <v>12181</v>
      </c>
      <c r="G1485" s="1698"/>
    </row>
    <row r="1486" spans="1:7" ht="15.75">
      <c r="A1486" s="3252">
        <v>71100</v>
      </c>
      <c r="B1486" s="3252">
        <v>71150</v>
      </c>
      <c r="C1486" s="3252">
        <v>13638</v>
      </c>
      <c r="D1486" s="3252">
        <v>9761</v>
      </c>
      <c r="E1486" s="3252">
        <v>13638</v>
      </c>
      <c r="F1486" s="3252">
        <v>12194</v>
      </c>
      <c r="G1486" s="1698"/>
    </row>
    <row r="1487" spans="1:7" ht="15.75">
      <c r="A1487" s="3252">
        <v>71150</v>
      </c>
      <c r="B1487" s="3252">
        <v>71200</v>
      </c>
      <c r="C1487" s="3252">
        <v>13650</v>
      </c>
      <c r="D1487" s="3252">
        <v>9769</v>
      </c>
      <c r="E1487" s="3252">
        <v>13650</v>
      </c>
      <c r="F1487" s="3252">
        <v>12206</v>
      </c>
      <c r="G1487" s="1698"/>
    </row>
    <row r="1488" spans="1:7" ht="15.75">
      <c r="A1488" s="3252">
        <v>71200</v>
      </c>
      <c r="B1488" s="3252">
        <v>71250</v>
      </c>
      <c r="C1488" s="3252">
        <v>13663</v>
      </c>
      <c r="D1488" s="3252">
        <v>9776</v>
      </c>
      <c r="E1488" s="3252">
        <v>13663</v>
      </c>
      <c r="F1488" s="3252">
        <v>12219</v>
      </c>
      <c r="G1488" s="1698"/>
    </row>
    <row r="1489" spans="1:7" ht="15.75">
      <c r="A1489" s="3252">
        <v>71250</v>
      </c>
      <c r="B1489" s="3252">
        <v>71300</v>
      </c>
      <c r="C1489" s="3252">
        <v>13675</v>
      </c>
      <c r="D1489" s="3252">
        <v>9784</v>
      </c>
      <c r="E1489" s="3252">
        <v>13675</v>
      </c>
      <c r="F1489" s="3252">
        <v>12231</v>
      </c>
      <c r="G1489" s="1698"/>
    </row>
    <row r="1490" spans="1:7" ht="15.75">
      <c r="A1490" s="3252">
        <v>71300</v>
      </c>
      <c r="B1490" s="3252">
        <v>71350</v>
      </c>
      <c r="C1490" s="3252">
        <v>13688</v>
      </c>
      <c r="D1490" s="3252">
        <v>9791</v>
      </c>
      <c r="E1490" s="3252">
        <v>13688</v>
      </c>
      <c r="F1490" s="3252">
        <v>12244</v>
      </c>
      <c r="G1490" s="1698"/>
    </row>
    <row r="1491" spans="1:7" ht="15.75">
      <c r="A1491" s="3252">
        <v>71350</v>
      </c>
      <c r="B1491" s="3252">
        <v>71400</v>
      </c>
      <c r="C1491" s="3252">
        <v>13700</v>
      </c>
      <c r="D1491" s="3252">
        <v>9799</v>
      </c>
      <c r="E1491" s="3252">
        <v>13700</v>
      </c>
      <c r="F1491" s="3252">
        <v>12256</v>
      </c>
      <c r="G1491" s="1698"/>
    </row>
    <row r="1492" spans="1:7" ht="15.75">
      <c r="A1492" s="3252">
        <v>71400</v>
      </c>
      <c r="B1492" s="3252">
        <v>71450</v>
      </c>
      <c r="C1492" s="3252">
        <v>13713</v>
      </c>
      <c r="D1492" s="3252">
        <v>9806</v>
      </c>
      <c r="E1492" s="3252">
        <v>13713</v>
      </c>
      <c r="F1492" s="3252">
        <v>12269</v>
      </c>
      <c r="G1492" s="1698"/>
    </row>
    <row r="1493" spans="1:7" ht="15.75">
      <c r="A1493" s="3252">
        <v>71450</v>
      </c>
      <c r="B1493" s="3252">
        <v>71500</v>
      </c>
      <c r="C1493" s="3252">
        <v>13725</v>
      </c>
      <c r="D1493" s="3252">
        <v>9814</v>
      </c>
      <c r="E1493" s="3252">
        <v>13725</v>
      </c>
      <c r="F1493" s="3252">
        <v>12281</v>
      </c>
      <c r="G1493" s="1698"/>
    </row>
    <row r="1494" spans="1:7" ht="15.75">
      <c r="A1494" s="3252">
        <v>71500</v>
      </c>
      <c r="B1494" s="3252">
        <v>71550</v>
      </c>
      <c r="C1494" s="3252">
        <v>13738</v>
      </c>
      <c r="D1494" s="3252">
        <v>9821</v>
      </c>
      <c r="E1494" s="3252">
        <v>13738</v>
      </c>
      <c r="F1494" s="3252">
        <v>12294</v>
      </c>
      <c r="G1494" s="1698"/>
    </row>
    <row r="1495" spans="1:7" ht="15.75">
      <c r="A1495" s="3252">
        <v>71550</v>
      </c>
      <c r="B1495" s="3252">
        <v>71600</v>
      </c>
      <c r="C1495" s="3252">
        <v>13750</v>
      </c>
      <c r="D1495" s="3252">
        <v>9829</v>
      </c>
      <c r="E1495" s="3252">
        <v>13750</v>
      </c>
      <c r="F1495" s="3252">
        <v>12306</v>
      </c>
      <c r="G1495" s="1698"/>
    </row>
    <row r="1496" spans="1:7" ht="15.75">
      <c r="A1496" s="3252">
        <v>71600</v>
      </c>
      <c r="B1496" s="3252">
        <v>71650</v>
      </c>
      <c r="C1496" s="3252">
        <v>13763</v>
      </c>
      <c r="D1496" s="3252">
        <v>9836</v>
      </c>
      <c r="E1496" s="3252">
        <v>13763</v>
      </c>
      <c r="F1496" s="3252">
        <v>12319</v>
      </c>
      <c r="G1496" s="1698"/>
    </row>
    <row r="1497" spans="1:7" ht="15.75">
      <c r="A1497" s="3252">
        <v>71650</v>
      </c>
      <c r="B1497" s="3252">
        <v>71700</v>
      </c>
      <c r="C1497" s="3252">
        <v>13775</v>
      </c>
      <c r="D1497" s="3252">
        <v>9844</v>
      </c>
      <c r="E1497" s="3252">
        <v>13775</v>
      </c>
      <c r="F1497" s="3252">
        <v>12331</v>
      </c>
      <c r="G1497" s="1698"/>
    </row>
    <row r="1498" spans="1:7" ht="15.75">
      <c r="A1498" s="3252">
        <v>71700</v>
      </c>
      <c r="B1498" s="3252">
        <v>71750</v>
      </c>
      <c r="C1498" s="3252">
        <v>13788</v>
      </c>
      <c r="D1498" s="3252">
        <v>9851</v>
      </c>
      <c r="E1498" s="3252">
        <v>13788</v>
      </c>
      <c r="F1498" s="3252">
        <v>12344</v>
      </c>
      <c r="G1498" s="1698"/>
    </row>
    <row r="1499" spans="1:7" ht="15.75">
      <c r="A1499" s="3252">
        <v>71750</v>
      </c>
      <c r="B1499" s="3252">
        <v>71800</v>
      </c>
      <c r="C1499" s="3252">
        <v>13800</v>
      </c>
      <c r="D1499" s="3252">
        <v>9859</v>
      </c>
      <c r="E1499" s="3252">
        <v>13800</v>
      </c>
      <c r="F1499" s="3252">
        <v>12356</v>
      </c>
      <c r="G1499" s="1698"/>
    </row>
    <row r="1500" spans="1:7" ht="15.75">
      <c r="A1500" s="3252">
        <v>71800</v>
      </c>
      <c r="B1500" s="3252">
        <v>71850</v>
      </c>
      <c r="C1500" s="3252">
        <v>13813</v>
      </c>
      <c r="D1500" s="3252">
        <v>9866</v>
      </c>
      <c r="E1500" s="3252">
        <v>13813</v>
      </c>
      <c r="F1500" s="3252">
        <v>12369</v>
      </c>
      <c r="G1500" s="1698"/>
    </row>
    <row r="1501" spans="1:7" ht="15.75">
      <c r="A1501" s="3252">
        <v>71850</v>
      </c>
      <c r="B1501" s="3252">
        <v>71900</v>
      </c>
      <c r="C1501" s="3252">
        <v>13825</v>
      </c>
      <c r="D1501" s="3252">
        <v>9874</v>
      </c>
      <c r="E1501" s="3252">
        <v>13825</v>
      </c>
      <c r="F1501" s="3252">
        <v>12381</v>
      </c>
      <c r="G1501" s="1698"/>
    </row>
    <row r="1502" spans="1:7" ht="15.75">
      <c r="A1502" s="3252">
        <v>71900</v>
      </c>
      <c r="B1502" s="3252">
        <v>71950</v>
      </c>
      <c r="C1502" s="3252">
        <v>13838</v>
      </c>
      <c r="D1502" s="3252">
        <v>9881</v>
      </c>
      <c r="E1502" s="3252">
        <v>13838</v>
      </c>
      <c r="F1502" s="3252">
        <v>12394</v>
      </c>
      <c r="G1502" s="1698"/>
    </row>
    <row r="1503" spans="1:7" ht="15.75">
      <c r="A1503" s="3252">
        <v>71950</v>
      </c>
      <c r="B1503" s="3252">
        <v>72000</v>
      </c>
      <c r="C1503" s="3252">
        <v>13850</v>
      </c>
      <c r="D1503" s="3252">
        <v>9889</v>
      </c>
      <c r="E1503" s="3252">
        <v>13850</v>
      </c>
      <c r="F1503" s="3252">
        <v>12406</v>
      </c>
      <c r="G1503" s="1698"/>
    </row>
    <row r="1504" spans="1:7" ht="15.75">
      <c r="A1504" s="3252">
        <v>72000</v>
      </c>
      <c r="B1504" s="3252">
        <v>72050</v>
      </c>
      <c r="C1504" s="3252">
        <v>13863</v>
      </c>
      <c r="D1504" s="3252">
        <v>9896</v>
      </c>
      <c r="E1504" s="3252">
        <v>13863</v>
      </c>
      <c r="F1504" s="3252">
        <v>12419</v>
      </c>
      <c r="G1504" s="1698"/>
    </row>
    <row r="1505" spans="1:7" ht="15.75">
      <c r="A1505" s="3252">
        <v>72050</v>
      </c>
      <c r="B1505" s="3252">
        <v>72100</v>
      </c>
      <c r="C1505" s="3252">
        <v>13875</v>
      </c>
      <c r="D1505" s="3252">
        <v>9904</v>
      </c>
      <c r="E1505" s="3252">
        <v>13875</v>
      </c>
      <c r="F1505" s="3252">
        <v>12431</v>
      </c>
      <c r="G1505" s="1698"/>
    </row>
    <row r="1506" spans="1:7" ht="15.75">
      <c r="A1506" s="3252">
        <v>72100</v>
      </c>
      <c r="B1506" s="3252">
        <v>72150</v>
      </c>
      <c r="C1506" s="3252">
        <v>13888</v>
      </c>
      <c r="D1506" s="3252">
        <v>9911</v>
      </c>
      <c r="E1506" s="3252">
        <v>13888</v>
      </c>
      <c r="F1506" s="3252">
        <v>12444</v>
      </c>
      <c r="G1506" s="1698"/>
    </row>
    <row r="1507" spans="1:7" ht="15.75">
      <c r="A1507" s="3252">
        <v>72150</v>
      </c>
      <c r="B1507" s="3252">
        <v>72200</v>
      </c>
      <c r="C1507" s="3252">
        <v>13900</v>
      </c>
      <c r="D1507" s="3252">
        <v>9919</v>
      </c>
      <c r="E1507" s="3252">
        <v>13900</v>
      </c>
      <c r="F1507" s="3252">
        <v>12456</v>
      </c>
      <c r="G1507" s="1698"/>
    </row>
    <row r="1508" spans="1:7" ht="15.75">
      <c r="A1508" s="3252">
        <v>72200</v>
      </c>
      <c r="B1508" s="3252">
        <v>72250</v>
      </c>
      <c r="C1508" s="3252">
        <v>13913</v>
      </c>
      <c r="D1508" s="3252">
        <v>9926</v>
      </c>
      <c r="E1508" s="3252">
        <v>13913</v>
      </c>
      <c r="F1508" s="3252">
        <v>12469</v>
      </c>
      <c r="G1508" s="1698"/>
    </row>
    <row r="1509" spans="1:7" ht="15.75">
      <c r="A1509" s="3252">
        <v>72250</v>
      </c>
      <c r="B1509" s="3252">
        <v>72300</v>
      </c>
      <c r="C1509" s="3252">
        <v>13925</v>
      </c>
      <c r="D1509" s="3252">
        <v>9934</v>
      </c>
      <c r="E1509" s="3252">
        <v>13925</v>
      </c>
      <c r="F1509" s="3252">
        <v>12481</v>
      </c>
      <c r="G1509" s="1698"/>
    </row>
    <row r="1510" spans="1:7" ht="15.75">
      <c r="A1510" s="3252">
        <v>72300</v>
      </c>
      <c r="B1510" s="3252">
        <v>72350</v>
      </c>
      <c r="C1510" s="3252">
        <v>13938</v>
      </c>
      <c r="D1510" s="3252">
        <v>9941</v>
      </c>
      <c r="E1510" s="3252">
        <v>13938</v>
      </c>
      <c r="F1510" s="3252">
        <v>12494</v>
      </c>
      <c r="G1510" s="1698"/>
    </row>
    <row r="1511" spans="1:7" ht="15.75">
      <c r="A1511" s="3252">
        <v>72350</v>
      </c>
      <c r="B1511" s="3252">
        <v>72400</v>
      </c>
      <c r="C1511" s="3252">
        <v>13950</v>
      </c>
      <c r="D1511" s="3252">
        <v>9949</v>
      </c>
      <c r="E1511" s="3252">
        <v>13950</v>
      </c>
      <c r="F1511" s="3252">
        <v>12506</v>
      </c>
      <c r="G1511" s="1698"/>
    </row>
    <row r="1512" spans="1:7" ht="15.75">
      <c r="A1512" s="3252">
        <v>72400</v>
      </c>
      <c r="B1512" s="3252">
        <v>72450</v>
      </c>
      <c r="C1512" s="3252">
        <v>13963</v>
      </c>
      <c r="D1512" s="3252">
        <v>9956</v>
      </c>
      <c r="E1512" s="3252">
        <v>13963</v>
      </c>
      <c r="F1512" s="3252">
        <v>12519</v>
      </c>
      <c r="G1512" s="1698"/>
    </row>
    <row r="1513" spans="1:7" ht="15.75">
      <c r="A1513" s="3252">
        <v>72450</v>
      </c>
      <c r="B1513" s="3252">
        <v>72500</v>
      </c>
      <c r="C1513" s="3252">
        <v>13975</v>
      </c>
      <c r="D1513" s="3252">
        <v>9964</v>
      </c>
      <c r="E1513" s="3252">
        <v>13975</v>
      </c>
      <c r="F1513" s="3252">
        <v>12531</v>
      </c>
      <c r="G1513" s="1698"/>
    </row>
    <row r="1514" spans="1:7" ht="15.75">
      <c r="A1514" s="3252">
        <v>72500</v>
      </c>
      <c r="B1514" s="3252">
        <v>72550</v>
      </c>
      <c r="C1514" s="3252">
        <v>13988</v>
      </c>
      <c r="D1514" s="3252">
        <v>9971</v>
      </c>
      <c r="E1514" s="3252">
        <v>13988</v>
      </c>
      <c r="F1514" s="3252">
        <v>12544</v>
      </c>
      <c r="G1514" s="1698"/>
    </row>
    <row r="1515" spans="1:7" ht="15.75">
      <c r="A1515" s="3252">
        <v>72550</v>
      </c>
      <c r="B1515" s="3252">
        <v>72600</v>
      </c>
      <c r="C1515" s="3252">
        <v>14000</v>
      </c>
      <c r="D1515" s="3252">
        <v>9979</v>
      </c>
      <c r="E1515" s="3252">
        <v>14000</v>
      </c>
      <c r="F1515" s="3252">
        <v>12556</v>
      </c>
      <c r="G1515" s="1698"/>
    </row>
    <row r="1516" spans="1:7" ht="15.75">
      <c r="A1516" s="3252">
        <v>72600</v>
      </c>
      <c r="B1516" s="3252">
        <v>72650</v>
      </c>
      <c r="C1516" s="3252">
        <v>14013</v>
      </c>
      <c r="D1516" s="3252">
        <v>9986</v>
      </c>
      <c r="E1516" s="3252">
        <v>14013</v>
      </c>
      <c r="F1516" s="3252">
        <v>12569</v>
      </c>
      <c r="G1516" s="1698"/>
    </row>
    <row r="1517" spans="1:7" ht="15.75">
      <c r="A1517" s="3252">
        <v>72650</v>
      </c>
      <c r="B1517" s="3252">
        <v>72700</v>
      </c>
      <c r="C1517" s="3252">
        <v>14025</v>
      </c>
      <c r="D1517" s="3252">
        <v>9994</v>
      </c>
      <c r="E1517" s="3252">
        <v>14025</v>
      </c>
      <c r="F1517" s="3252">
        <v>12581</v>
      </c>
      <c r="G1517" s="1698"/>
    </row>
    <row r="1518" spans="1:7" ht="15.75">
      <c r="A1518" s="3252">
        <v>72700</v>
      </c>
      <c r="B1518" s="3252">
        <v>72750</v>
      </c>
      <c r="C1518" s="3252">
        <v>14038</v>
      </c>
      <c r="D1518" s="3252">
        <v>10001</v>
      </c>
      <c r="E1518" s="3252">
        <v>14038</v>
      </c>
      <c r="F1518" s="3252">
        <v>12594</v>
      </c>
      <c r="G1518" s="1698"/>
    </row>
    <row r="1519" spans="1:7" ht="15.75">
      <c r="A1519" s="3252">
        <v>72750</v>
      </c>
      <c r="B1519" s="3252">
        <v>72800</v>
      </c>
      <c r="C1519" s="3252">
        <v>14050</v>
      </c>
      <c r="D1519" s="3252">
        <v>10009</v>
      </c>
      <c r="E1519" s="3252">
        <v>14050</v>
      </c>
      <c r="F1519" s="3252">
        <v>12606</v>
      </c>
      <c r="G1519" s="1698"/>
    </row>
    <row r="1520" spans="1:7" ht="15.75">
      <c r="A1520" s="3252">
        <v>72800</v>
      </c>
      <c r="B1520" s="3252">
        <v>72850</v>
      </c>
      <c r="C1520" s="3252">
        <v>14063</v>
      </c>
      <c r="D1520" s="3252">
        <v>10016</v>
      </c>
      <c r="E1520" s="3252">
        <v>14063</v>
      </c>
      <c r="F1520" s="3252">
        <v>12619</v>
      </c>
      <c r="G1520" s="1698"/>
    </row>
    <row r="1521" spans="1:7" ht="15.75">
      <c r="A1521" s="3252">
        <v>72850</v>
      </c>
      <c r="B1521" s="3252">
        <v>72900</v>
      </c>
      <c r="C1521" s="3252">
        <v>14075</v>
      </c>
      <c r="D1521" s="3252">
        <v>10024</v>
      </c>
      <c r="E1521" s="3252">
        <v>14075</v>
      </c>
      <c r="F1521" s="3252">
        <v>12631</v>
      </c>
      <c r="G1521" s="1698"/>
    </row>
    <row r="1522" spans="1:7" ht="15.75">
      <c r="A1522" s="3252">
        <v>72900</v>
      </c>
      <c r="B1522" s="3252">
        <v>72950</v>
      </c>
      <c r="C1522" s="3252">
        <v>14088</v>
      </c>
      <c r="D1522" s="3252">
        <v>10031</v>
      </c>
      <c r="E1522" s="3252">
        <v>14088</v>
      </c>
      <c r="F1522" s="3252">
        <v>12644</v>
      </c>
      <c r="G1522" s="1698"/>
    </row>
    <row r="1523" spans="1:7" ht="15.75">
      <c r="A1523" s="3252">
        <v>72950</v>
      </c>
      <c r="B1523" s="3252">
        <v>73000</v>
      </c>
      <c r="C1523" s="3252">
        <v>14100</v>
      </c>
      <c r="D1523" s="3252">
        <v>10039</v>
      </c>
      <c r="E1523" s="3252">
        <v>14100</v>
      </c>
      <c r="F1523" s="3252">
        <v>12656</v>
      </c>
      <c r="G1523" s="1698"/>
    </row>
    <row r="1524" spans="1:7" ht="15.75">
      <c r="A1524" s="3252">
        <v>73000</v>
      </c>
      <c r="B1524" s="3252">
        <v>73050</v>
      </c>
      <c r="C1524" s="3252">
        <v>14113</v>
      </c>
      <c r="D1524" s="3252">
        <v>10046</v>
      </c>
      <c r="E1524" s="3252">
        <v>14113</v>
      </c>
      <c r="F1524" s="3252">
        <v>12669</v>
      </c>
      <c r="G1524" s="1698"/>
    </row>
    <row r="1525" spans="1:7" ht="15.75">
      <c r="A1525" s="3252">
        <v>73050</v>
      </c>
      <c r="B1525" s="3252">
        <v>73100</v>
      </c>
      <c r="C1525" s="3252">
        <v>14125</v>
      </c>
      <c r="D1525" s="3252">
        <v>10054</v>
      </c>
      <c r="E1525" s="3252">
        <v>14125</v>
      </c>
      <c r="F1525" s="3252">
        <v>12681</v>
      </c>
      <c r="G1525" s="1698"/>
    </row>
    <row r="1526" spans="1:7" ht="15.75">
      <c r="A1526" s="3252">
        <v>73100</v>
      </c>
      <c r="B1526" s="3252">
        <v>73150</v>
      </c>
      <c r="C1526" s="3252">
        <v>14138</v>
      </c>
      <c r="D1526" s="3252">
        <v>10061</v>
      </c>
      <c r="E1526" s="3252">
        <v>14138</v>
      </c>
      <c r="F1526" s="3252">
        <v>12694</v>
      </c>
      <c r="G1526" s="1698"/>
    </row>
    <row r="1527" spans="1:7" ht="15.75">
      <c r="A1527" s="3252">
        <v>73150</v>
      </c>
      <c r="B1527" s="3252">
        <v>73200</v>
      </c>
      <c r="C1527" s="3252">
        <v>14150</v>
      </c>
      <c r="D1527" s="3252">
        <v>10069</v>
      </c>
      <c r="E1527" s="3252">
        <v>14150</v>
      </c>
      <c r="F1527" s="3252">
        <v>12706</v>
      </c>
      <c r="G1527" s="1698"/>
    </row>
    <row r="1528" spans="1:7" ht="15.75">
      <c r="A1528" s="3252">
        <v>73200</v>
      </c>
      <c r="B1528" s="3252">
        <v>73250</v>
      </c>
      <c r="C1528" s="3252">
        <v>14163</v>
      </c>
      <c r="D1528" s="3252">
        <v>10076</v>
      </c>
      <c r="E1528" s="3252">
        <v>14163</v>
      </c>
      <c r="F1528" s="3252">
        <v>12719</v>
      </c>
      <c r="G1528" s="1698"/>
    </row>
    <row r="1529" spans="1:7" ht="15.75">
      <c r="A1529" s="3252">
        <v>73250</v>
      </c>
      <c r="B1529" s="3252">
        <v>73300</v>
      </c>
      <c r="C1529" s="3252">
        <v>14175</v>
      </c>
      <c r="D1529" s="3252">
        <v>10084</v>
      </c>
      <c r="E1529" s="3252">
        <v>14175</v>
      </c>
      <c r="F1529" s="3252">
        <v>12731</v>
      </c>
      <c r="G1529" s="1698"/>
    </row>
    <row r="1530" spans="1:7" ht="15.75">
      <c r="A1530" s="3252">
        <v>73300</v>
      </c>
      <c r="B1530" s="3252">
        <v>73350</v>
      </c>
      <c r="C1530" s="3252">
        <v>14188</v>
      </c>
      <c r="D1530" s="3252">
        <v>10091</v>
      </c>
      <c r="E1530" s="3252">
        <v>14188</v>
      </c>
      <c r="F1530" s="3252">
        <v>12744</v>
      </c>
      <c r="G1530" s="1698"/>
    </row>
    <row r="1531" spans="1:7" ht="15.75">
      <c r="A1531" s="3252">
        <v>73350</v>
      </c>
      <c r="B1531" s="3252">
        <v>73400</v>
      </c>
      <c r="C1531" s="3252">
        <v>14200</v>
      </c>
      <c r="D1531" s="3252">
        <v>10099</v>
      </c>
      <c r="E1531" s="3252">
        <v>14200</v>
      </c>
      <c r="F1531" s="3252">
        <v>12756</v>
      </c>
      <c r="G1531" s="1698"/>
    </row>
    <row r="1532" spans="1:7" ht="15.75">
      <c r="A1532" s="3252">
        <v>73400</v>
      </c>
      <c r="B1532" s="3252">
        <v>73450</v>
      </c>
      <c r="C1532" s="3252">
        <v>14213</v>
      </c>
      <c r="D1532" s="3252">
        <v>10106</v>
      </c>
      <c r="E1532" s="3252">
        <v>14213</v>
      </c>
      <c r="F1532" s="3252">
        <v>12769</v>
      </c>
      <c r="G1532" s="1698"/>
    </row>
    <row r="1533" spans="1:7" ht="15.75">
      <c r="A1533" s="3252">
        <v>73450</v>
      </c>
      <c r="B1533" s="3252">
        <v>73500</v>
      </c>
      <c r="C1533" s="3252">
        <v>14225</v>
      </c>
      <c r="D1533" s="3252">
        <v>10114</v>
      </c>
      <c r="E1533" s="3252">
        <v>14225</v>
      </c>
      <c r="F1533" s="3252">
        <v>12781</v>
      </c>
      <c r="G1533" s="1698"/>
    </row>
    <row r="1534" spans="1:7" ht="15.75">
      <c r="A1534" s="3252">
        <v>73500</v>
      </c>
      <c r="B1534" s="3252">
        <v>73550</v>
      </c>
      <c r="C1534" s="3252">
        <v>14238</v>
      </c>
      <c r="D1534" s="3252">
        <v>10121</v>
      </c>
      <c r="E1534" s="3252">
        <v>14238</v>
      </c>
      <c r="F1534" s="3252">
        <v>12794</v>
      </c>
      <c r="G1534" s="1698"/>
    </row>
    <row r="1535" spans="1:7" ht="15.75">
      <c r="A1535" s="3252">
        <v>73550</v>
      </c>
      <c r="B1535" s="3252">
        <v>73600</v>
      </c>
      <c r="C1535" s="3252">
        <v>14250</v>
      </c>
      <c r="D1535" s="3252">
        <v>10129</v>
      </c>
      <c r="E1535" s="3252">
        <v>14250</v>
      </c>
      <c r="F1535" s="3252">
        <v>12806</v>
      </c>
      <c r="G1535" s="1698"/>
    </row>
    <row r="1536" spans="1:7" ht="15.75">
      <c r="A1536" s="3252">
        <v>73600</v>
      </c>
      <c r="B1536" s="3252">
        <v>73650</v>
      </c>
      <c r="C1536" s="3252">
        <v>14263</v>
      </c>
      <c r="D1536" s="3252">
        <v>10136</v>
      </c>
      <c r="E1536" s="3252">
        <v>14263</v>
      </c>
      <c r="F1536" s="3252">
        <v>12819</v>
      </c>
      <c r="G1536" s="1698"/>
    </row>
    <row r="1537" spans="1:7" ht="15.75">
      <c r="A1537" s="3252">
        <v>73650</v>
      </c>
      <c r="B1537" s="3252">
        <v>73700</v>
      </c>
      <c r="C1537" s="3252">
        <v>14275</v>
      </c>
      <c r="D1537" s="3252">
        <v>10144</v>
      </c>
      <c r="E1537" s="3252">
        <v>14275</v>
      </c>
      <c r="F1537" s="3252">
        <v>12831</v>
      </c>
      <c r="G1537" s="1698"/>
    </row>
    <row r="1538" spans="1:7" ht="15.75">
      <c r="A1538" s="3252">
        <v>73700</v>
      </c>
      <c r="B1538" s="3252">
        <v>73750</v>
      </c>
      <c r="C1538" s="3252">
        <v>14288</v>
      </c>
      <c r="D1538" s="3252">
        <v>10151</v>
      </c>
      <c r="E1538" s="3252">
        <v>14288</v>
      </c>
      <c r="F1538" s="3252">
        <v>12844</v>
      </c>
      <c r="G1538" s="1698"/>
    </row>
    <row r="1539" spans="1:7" ht="15.75">
      <c r="A1539" s="3252">
        <v>73750</v>
      </c>
      <c r="B1539" s="3252">
        <v>73800</v>
      </c>
      <c r="C1539" s="3252">
        <v>14300</v>
      </c>
      <c r="D1539" s="3252">
        <v>10159</v>
      </c>
      <c r="E1539" s="3252">
        <v>14300</v>
      </c>
      <c r="F1539" s="3252">
        <v>12856</v>
      </c>
      <c r="G1539" s="1698"/>
    </row>
    <row r="1540" spans="1:7" ht="15.75">
      <c r="A1540" s="3252">
        <v>73800</v>
      </c>
      <c r="B1540" s="3252">
        <v>73850</v>
      </c>
      <c r="C1540" s="3252">
        <v>14313</v>
      </c>
      <c r="D1540" s="3252">
        <v>10169</v>
      </c>
      <c r="E1540" s="3252">
        <v>14313</v>
      </c>
      <c r="F1540" s="3252">
        <v>12869</v>
      </c>
      <c r="G1540" s="1698"/>
    </row>
    <row r="1541" spans="1:7" ht="15.75">
      <c r="A1541" s="3252">
        <v>73850</v>
      </c>
      <c r="B1541" s="3252">
        <v>73900</v>
      </c>
      <c r="C1541" s="3252">
        <v>14325</v>
      </c>
      <c r="D1541" s="3252">
        <v>10181</v>
      </c>
      <c r="E1541" s="3252">
        <v>14325</v>
      </c>
      <c r="F1541" s="3252">
        <v>12881</v>
      </c>
      <c r="G1541" s="1698"/>
    </row>
    <row r="1542" spans="1:7" ht="15.75">
      <c r="A1542" s="3252">
        <v>73900</v>
      </c>
      <c r="B1542" s="3252">
        <v>73950</v>
      </c>
      <c r="C1542" s="3252">
        <v>14338</v>
      </c>
      <c r="D1542" s="3252">
        <v>10194</v>
      </c>
      <c r="E1542" s="3252">
        <v>14338</v>
      </c>
      <c r="F1542" s="3252">
        <v>12894</v>
      </c>
      <c r="G1542" s="1698"/>
    </row>
    <row r="1543" spans="1:7" ht="15.75">
      <c r="A1543" s="3252">
        <v>73950</v>
      </c>
      <c r="B1543" s="3252">
        <v>74000</v>
      </c>
      <c r="C1543" s="3252">
        <v>14350</v>
      </c>
      <c r="D1543" s="3252">
        <v>10206</v>
      </c>
      <c r="E1543" s="3252">
        <v>14350</v>
      </c>
      <c r="F1543" s="3252">
        <v>12906</v>
      </c>
      <c r="G1543" s="1698"/>
    </row>
    <row r="1544" spans="1:7" ht="15.75">
      <c r="A1544" s="3252">
        <v>74000</v>
      </c>
      <c r="B1544" s="3252">
        <v>74050</v>
      </c>
      <c r="C1544" s="3252">
        <v>14363</v>
      </c>
      <c r="D1544" s="3252">
        <v>10219</v>
      </c>
      <c r="E1544" s="3252">
        <v>14363</v>
      </c>
      <c r="F1544" s="3252">
        <v>12919</v>
      </c>
      <c r="G1544" s="1698"/>
    </row>
    <row r="1545" spans="1:7" ht="15.75">
      <c r="A1545" s="3252">
        <v>74050</v>
      </c>
      <c r="B1545" s="3252">
        <v>74100</v>
      </c>
      <c r="C1545" s="3252">
        <v>14375</v>
      </c>
      <c r="D1545" s="3252">
        <v>10231</v>
      </c>
      <c r="E1545" s="3252">
        <v>14375</v>
      </c>
      <c r="F1545" s="3252">
        <v>12931</v>
      </c>
      <c r="G1545" s="1698"/>
    </row>
    <row r="1546" spans="1:7" ht="15.75">
      <c r="A1546" s="3252">
        <v>74100</v>
      </c>
      <c r="B1546" s="3252">
        <v>74150</v>
      </c>
      <c r="C1546" s="3252">
        <v>14388</v>
      </c>
      <c r="D1546" s="3252">
        <v>10244</v>
      </c>
      <c r="E1546" s="3252">
        <v>14388</v>
      </c>
      <c r="F1546" s="3252">
        <v>12944</v>
      </c>
      <c r="G1546" s="1698"/>
    </row>
    <row r="1547" spans="1:7" ht="15.75">
      <c r="A1547" s="3252">
        <v>74150</v>
      </c>
      <c r="B1547" s="3252">
        <v>74200</v>
      </c>
      <c r="C1547" s="3252">
        <v>14400</v>
      </c>
      <c r="D1547" s="3252">
        <v>10256</v>
      </c>
      <c r="E1547" s="3252">
        <v>14400</v>
      </c>
      <c r="F1547" s="3252">
        <v>12956</v>
      </c>
      <c r="G1547" s="1698"/>
    </row>
    <row r="1548" spans="1:7" ht="15.75">
      <c r="A1548" s="3252">
        <v>74200</v>
      </c>
      <c r="B1548" s="3252">
        <v>74250</v>
      </c>
      <c r="C1548" s="3252">
        <v>14413</v>
      </c>
      <c r="D1548" s="3252">
        <v>10269</v>
      </c>
      <c r="E1548" s="3252">
        <v>14413</v>
      </c>
      <c r="F1548" s="3252">
        <v>12969</v>
      </c>
      <c r="G1548" s="1698"/>
    </row>
    <row r="1549" spans="1:7" ht="15.75">
      <c r="A1549" s="3252">
        <v>74250</v>
      </c>
      <c r="B1549" s="3252">
        <v>74300</v>
      </c>
      <c r="C1549" s="3252">
        <v>14425</v>
      </c>
      <c r="D1549" s="3252">
        <v>10281</v>
      </c>
      <c r="E1549" s="3252">
        <v>14425</v>
      </c>
      <c r="F1549" s="3252">
        <v>12981</v>
      </c>
      <c r="G1549" s="1698"/>
    </row>
    <row r="1550" spans="1:7" ht="15.75">
      <c r="A1550" s="3252">
        <v>74300</v>
      </c>
      <c r="B1550" s="3252">
        <v>74350</v>
      </c>
      <c r="C1550" s="3252">
        <v>14438</v>
      </c>
      <c r="D1550" s="3252">
        <v>10294</v>
      </c>
      <c r="E1550" s="3252">
        <v>14438</v>
      </c>
      <c r="F1550" s="3252">
        <v>12994</v>
      </c>
      <c r="G1550" s="1698"/>
    </row>
    <row r="1551" spans="1:7" ht="15.75">
      <c r="A1551" s="3252">
        <v>74350</v>
      </c>
      <c r="B1551" s="3252">
        <v>74400</v>
      </c>
      <c r="C1551" s="3252">
        <v>14450</v>
      </c>
      <c r="D1551" s="3252">
        <v>10306</v>
      </c>
      <c r="E1551" s="3252">
        <v>14450</v>
      </c>
      <c r="F1551" s="3252">
        <v>13006</v>
      </c>
      <c r="G1551" s="1698"/>
    </row>
    <row r="1552" spans="1:7" ht="15.75">
      <c r="A1552" s="3252">
        <v>74400</v>
      </c>
      <c r="B1552" s="3252">
        <v>74450</v>
      </c>
      <c r="C1552" s="3252">
        <v>14463</v>
      </c>
      <c r="D1552" s="3252">
        <v>10319</v>
      </c>
      <c r="E1552" s="3252">
        <v>14463</v>
      </c>
      <c r="F1552" s="3252">
        <v>13019</v>
      </c>
      <c r="G1552" s="1698"/>
    </row>
    <row r="1553" spans="1:7" ht="15.75">
      <c r="A1553" s="3252">
        <v>74450</v>
      </c>
      <c r="B1553" s="3252">
        <v>74500</v>
      </c>
      <c r="C1553" s="3252">
        <v>14475</v>
      </c>
      <c r="D1553" s="3252">
        <v>10331</v>
      </c>
      <c r="E1553" s="3252">
        <v>14477</v>
      </c>
      <c r="F1553" s="3252">
        <v>13031</v>
      </c>
      <c r="G1553" s="1698"/>
    </row>
    <row r="1554" spans="1:7" ht="15.75">
      <c r="A1554" s="3252">
        <v>74500</v>
      </c>
      <c r="B1554" s="3252">
        <v>74550</v>
      </c>
      <c r="C1554" s="3252">
        <v>14488</v>
      </c>
      <c r="D1554" s="3252">
        <v>10344</v>
      </c>
      <c r="E1554" s="3252">
        <v>14491</v>
      </c>
      <c r="F1554" s="3252">
        <v>13044</v>
      </c>
      <c r="G1554" s="1698"/>
    </row>
    <row r="1555" spans="1:7" ht="15.75">
      <c r="A1555" s="3252">
        <v>74550</v>
      </c>
      <c r="B1555" s="3252">
        <v>74600</v>
      </c>
      <c r="C1555" s="3252">
        <v>14500</v>
      </c>
      <c r="D1555" s="3252">
        <v>10356</v>
      </c>
      <c r="E1555" s="3252">
        <v>14505</v>
      </c>
      <c r="F1555" s="3252">
        <v>13056</v>
      </c>
      <c r="G1555" s="1698"/>
    </row>
    <row r="1556" spans="1:7" ht="15.75">
      <c r="A1556" s="3252">
        <v>74600</v>
      </c>
      <c r="B1556" s="3252">
        <v>74650</v>
      </c>
      <c r="C1556" s="3252">
        <v>14513</v>
      </c>
      <c r="D1556" s="3252">
        <v>10369</v>
      </c>
      <c r="E1556" s="3252">
        <v>14519</v>
      </c>
      <c r="F1556" s="3252">
        <v>13069</v>
      </c>
      <c r="G1556" s="1698"/>
    </row>
    <row r="1557" spans="1:7" ht="15.75">
      <c r="A1557" s="3252">
        <v>74650</v>
      </c>
      <c r="B1557" s="3252">
        <v>74700</v>
      </c>
      <c r="C1557" s="3252">
        <v>14525</v>
      </c>
      <c r="D1557" s="3252">
        <v>10381</v>
      </c>
      <c r="E1557" s="3252">
        <v>14533</v>
      </c>
      <c r="F1557" s="3252">
        <v>13081</v>
      </c>
      <c r="G1557" s="1698"/>
    </row>
    <row r="1558" spans="1:7" ht="15.75">
      <c r="A1558" s="3252">
        <v>74700</v>
      </c>
      <c r="B1558" s="3252">
        <v>74750</v>
      </c>
      <c r="C1558" s="3252">
        <v>14538</v>
      </c>
      <c r="D1558" s="3252">
        <v>10394</v>
      </c>
      <c r="E1558" s="3252">
        <v>14547</v>
      </c>
      <c r="F1558" s="3252">
        <v>13094</v>
      </c>
      <c r="G1558" s="1698"/>
    </row>
    <row r="1559" spans="1:7" ht="15.75">
      <c r="A1559" s="3252">
        <v>74750</v>
      </c>
      <c r="B1559" s="3252">
        <v>74800</v>
      </c>
      <c r="C1559" s="3252">
        <v>14550</v>
      </c>
      <c r="D1559" s="3252">
        <v>10406</v>
      </c>
      <c r="E1559" s="3252">
        <v>14561</v>
      </c>
      <c r="F1559" s="3252">
        <v>13106</v>
      </c>
      <c r="G1559" s="1698"/>
    </row>
    <row r="1560" spans="1:7" ht="15.75">
      <c r="A1560" s="3252">
        <v>74800</v>
      </c>
      <c r="B1560" s="3252">
        <v>74850</v>
      </c>
      <c r="C1560" s="3252">
        <v>14563</v>
      </c>
      <c r="D1560" s="3252">
        <v>10419</v>
      </c>
      <c r="E1560" s="3252">
        <v>14575</v>
      </c>
      <c r="F1560" s="3252">
        <v>13119</v>
      </c>
      <c r="G1560" s="1698"/>
    </row>
    <row r="1561" spans="1:7" ht="15.75">
      <c r="A1561" s="3252">
        <v>74850</v>
      </c>
      <c r="B1561" s="3252">
        <v>74900</v>
      </c>
      <c r="C1561" s="3252">
        <v>14575</v>
      </c>
      <c r="D1561" s="3252">
        <v>10431</v>
      </c>
      <c r="E1561" s="3252">
        <v>14589</v>
      </c>
      <c r="F1561" s="3252">
        <v>13131</v>
      </c>
      <c r="G1561" s="1698"/>
    </row>
    <row r="1562" spans="1:7" ht="15.75">
      <c r="A1562" s="3252">
        <v>74900</v>
      </c>
      <c r="B1562" s="3252">
        <v>74950</v>
      </c>
      <c r="C1562" s="3252">
        <v>14588</v>
      </c>
      <c r="D1562" s="3252">
        <v>10444</v>
      </c>
      <c r="E1562" s="3252">
        <v>14603</v>
      </c>
      <c r="F1562" s="3252">
        <v>13144</v>
      </c>
      <c r="G1562" s="1698"/>
    </row>
    <row r="1563" spans="1:7" ht="15.75">
      <c r="A1563" s="3252">
        <v>74950</v>
      </c>
      <c r="B1563" s="3252">
        <v>75000</v>
      </c>
      <c r="C1563" s="3252">
        <v>14600</v>
      </c>
      <c r="D1563" s="3252">
        <v>10456</v>
      </c>
      <c r="E1563" s="3252">
        <v>14617</v>
      </c>
      <c r="F1563" s="3252">
        <v>13156</v>
      </c>
      <c r="G1563" s="1698"/>
    </row>
    <row r="1564" spans="1:7" ht="15.75">
      <c r="A1564" s="3252">
        <v>75000</v>
      </c>
      <c r="B1564" s="3252">
        <v>75050</v>
      </c>
      <c r="C1564" s="3252">
        <v>14613</v>
      </c>
      <c r="D1564" s="3252">
        <v>10469</v>
      </c>
      <c r="E1564" s="3252">
        <v>14631</v>
      </c>
      <c r="F1564" s="3252">
        <v>13169</v>
      </c>
      <c r="G1564" s="1698"/>
    </row>
    <row r="1565" spans="1:7" ht="15.75">
      <c r="A1565" s="3252">
        <v>75050</v>
      </c>
      <c r="B1565" s="3252">
        <v>75100</v>
      </c>
      <c r="C1565" s="3252">
        <v>14625</v>
      </c>
      <c r="D1565" s="3252">
        <v>10481</v>
      </c>
      <c r="E1565" s="3252">
        <v>14645</v>
      </c>
      <c r="F1565" s="3252">
        <v>13181</v>
      </c>
      <c r="G1565" s="1698"/>
    </row>
    <row r="1566" spans="1:7" ht="15.75">
      <c r="A1566" s="3252">
        <v>75100</v>
      </c>
      <c r="B1566" s="3252">
        <v>75150</v>
      </c>
      <c r="C1566" s="3252">
        <v>14638</v>
      </c>
      <c r="D1566" s="3252">
        <v>10494</v>
      </c>
      <c r="E1566" s="3252">
        <v>14659</v>
      </c>
      <c r="F1566" s="3252">
        <v>13194</v>
      </c>
      <c r="G1566" s="1698"/>
    </row>
    <row r="1567" spans="1:7" ht="15.75">
      <c r="A1567" s="3252">
        <v>75150</v>
      </c>
      <c r="B1567" s="3252">
        <v>75200</v>
      </c>
      <c r="C1567" s="3252">
        <v>14650</v>
      </c>
      <c r="D1567" s="3252">
        <v>10506</v>
      </c>
      <c r="E1567" s="3252">
        <v>14673</v>
      </c>
      <c r="F1567" s="3252">
        <v>13206</v>
      </c>
      <c r="G1567" s="1698"/>
    </row>
    <row r="1568" spans="1:7" ht="15.75">
      <c r="A1568" s="3252">
        <v>75200</v>
      </c>
      <c r="B1568" s="3252">
        <v>75250</v>
      </c>
      <c r="C1568" s="3252">
        <v>14663</v>
      </c>
      <c r="D1568" s="3252">
        <v>10519</v>
      </c>
      <c r="E1568" s="3252">
        <v>14687</v>
      </c>
      <c r="F1568" s="3252">
        <v>13219</v>
      </c>
      <c r="G1568" s="1698"/>
    </row>
    <row r="1569" spans="1:7" ht="15.75">
      <c r="A1569" s="3252">
        <v>75250</v>
      </c>
      <c r="B1569" s="3252">
        <v>75300</v>
      </c>
      <c r="C1569" s="3252">
        <v>14675</v>
      </c>
      <c r="D1569" s="3252">
        <v>10531</v>
      </c>
      <c r="E1569" s="3252">
        <v>14701</v>
      </c>
      <c r="F1569" s="3252">
        <v>13231</v>
      </c>
      <c r="G1569" s="1698"/>
    </row>
    <row r="1570" spans="1:7" ht="15.75">
      <c r="A1570" s="3252">
        <v>75300</v>
      </c>
      <c r="B1570" s="3252">
        <v>75350</v>
      </c>
      <c r="C1570" s="3252">
        <v>14688</v>
      </c>
      <c r="D1570" s="3252">
        <v>10544</v>
      </c>
      <c r="E1570" s="3252">
        <v>14715</v>
      </c>
      <c r="F1570" s="3252">
        <v>13244</v>
      </c>
      <c r="G1570" s="1698"/>
    </row>
    <row r="1571" spans="1:7" ht="15.75">
      <c r="A1571" s="3252">
        <v>75350</v>
      </c>
      <c r="B1571" s="3252">
        <v>75400</v>
      </c>
      <c r="C1571" s="3252">
        <v>14700</v>
      </c>
      <c r="D1571" s="3252">
        <v>10556</v>
      </c>
      <c r="E1571" s="3252">
        <v>14729</v>
      </c>
      <c r="F1571" s="3252">
        <v>13256</v>
      </c>
      <c r="G1571" s="1698"/>
    </row>
    <row r="1572" spans="1:7" ht="15.75">
      <c r="A1572" s="3252">
        <v>75400</v>
      </c>
      <c r="B1572" s="3252">
        <v>75450</v>
      </c>
      <c r="C1572" s="3252">
        <v>14713</v>
      </c>
      <c r="D1572" s="3252">
        <v>10569</v>
      </c>
      <c r="E1572" s="3252">
        <v>14743</v>
      </c>
      <c r="F1572" s="3252">
        <v>13269</v>
      </c>
      <c r="G1572" s="1698"/>
    </row>
    <row r="1573" spans="1:7" ht="15.75">
      <c r="A1573" s="3252">
        <v>75450</v>
      </c>
      <c r="B1573" s="3252">
        <v>75500</v>
      </c>
      <c r="C1573" s="3252">
        <v>14725</v>
      </c>
      <c r="D1573" s="3252">
        <v>10581</v>
      </c>
      <c r="E1573" s="3252">
        <v>14757</v>
      </c>
      <c r="F1573" s="3252">
        <v>13281</v>
      </c>
      <c r="G1573" s="1698"/>
    </row>
    <row r="1574" spans="1:7" ht="15.75">
      <c r="A1574" s="3252">
        <v>75500</v>
      </c>
      <c r="B1574" s="3252">
        <v>75550</v>
      </c>
      <c r="C1574" s="3252">
        <v>14738</v>
      </c>
      <c r="D1574" s="3252">
        <v>10594</v>
      </c>
      <c r="E1574" s="3252">
        <v>14771</v>
      </c>
      <c r="F1574" s="3252">
        <v>13294</v>
      </c>
      <c r="G1574" s="1698"/>
    </row>
    <row r="1575" spans="1:7" ht="15.75">
      <c r="A1575" s="3252">
        <v>75550</v>
      </c>
      <c r="B1575" s="3252">
        <v>75600</v>
      </c>
      <c r="C1575" s="3252">
        <v>14750</v>
      </c>
      <c r="D1575" s="3252">
        <v>10606</v>
      </c>
      <c r="E1575" s="3252">
        <v>14785</v>
      </c>
      <c r="F1575" s="3252">
        <v>13306</v>
      </c>
      <c r="G1575" s="1698"/>
    </row>
    <row r="1576" spans="1:7" ht="15.75">
      <c r="A1576" s="3252">
        <v>75600</v>
      </c>
      <c r="B1576" s="3252">
        <v>75650</v>
      </c>
      <c r="C1576" s="3252">
        <v>14763</v>
      </c>
      <c r="D1576" s="3252">
        <v>10619</v>
      </c>
      <c r="E1576" s="3252">
        <v>14799</v>
      </c>
      <c r="F1576" s="3252">
        <v>13319</v>
      </c>
      <c r="G1576" s="1698"/>
    </row>
    <row r="1577" spans="1:7" ht="15.75">
      <c r="A1577" s="3252">
        <v>75650</v>
      </c>
      <c r="B1577" s="3252">
        <v>75700</v>
      </c>
      <c r="C1577" s="3252">
        <v>14775</v>
      </c>
      <c r="D1577" s="3252">
        <v>10631</v>
      </c>
      <c r="E1577" s="3252">
        <v>14813</v>
      </c>
      <c r="F1577" s="3252">
        <v>13331</v>
      </c>
      <c r="G1577" s="1698"/>
    </row>
    <row r="1578" spans="1:7" ht="15.75">
      <c r="A1578" s="3252">
        <v>75700</v>
      </c>
      <c r="B1578" s="3252">
        <v>75750</v>
      </c>
      <c r="C1578" s="3252">
        <v>14788</v>
      </c>
      <c r="D1578" s="3252">
        <v>10644</v>
      </c>
      <c r="E1578" s="3252">
        <v>14827</v>
      </c>
      <c r="F1578" s="3252">
        <v>13344</v>
      </c>
      <c r="G1578" s="1698"/>
    </row>
    <row r="1579" spans="1:7" ht="15.75">
      <c r="A1579" s="3252">
        <v>75750</v>
      </c>
      <c r="B1579" s="3252">
        <v>75800</v>
      </c>
      <c r="C1579" s="3252">
        <v>14800</v>
      </c>
      <c r="D1579" s="3252">
        <v>10656</v>
      </c>
      <c r="E1579" s="3252">
        <v>14841</v>
      </c>
      <c r="F1579" s="3252">
        <v>13356</v>
      </c>
      <c r="G1579" s="1698"/>
    </row>
    <row r="1580" spans="1:7" ht="15.75">
      <c r="A1580" s="3252">
        <v>75800</v>
      </c>
      <c r="B1580" s="3252">
        <v>75850</v>
      </c>
      <c r="C1580" s="3252">
        <v>14813</v>
      </c>
      <c r="D1580" s="3252">
        <v>10669</v>
      </c>
      <c r="E1580" s="3252">
        <v>14855</v>
      </c>
      <c r="F1580" s="3252">
        <v>13369</v>
      </c>
      <c r="G1580" s="1698"/>
    </row>
    <row r="1581" spans="1:7" ht="15.75">
      <c r="A1581" s="3252">
        <v>75850</v>
      </c>
      <c r="B1581" s="3252">
        <v>75900</v>
      </c>
      <c r="C1581" s="3252">
        <v>14825</v>
      </c>
      <c r="D1581" s="3252">
        <v>10681</v>
      </c>
      <c r="E1581" s="3252">
        <v>14869</v>
      </c>
      <c r="F1581" s="3252">
        <v>13381</v>
      </c>
      <c r="G1581" s="1698"/>
    </row>
    <row r="1582" spans="1:7" ht="15.75">
      <c r="A1582" s="3252">
        <v>75900</v>
      </c>
      <c r="B1582" s="3252">
        <v>75950</v>
      </c>
      <c r="C1582" s="3252">
        <v>14838</v>
      </c>
      <c r="D1582" s="3252">
        <v>10694</v>
      </c>
      <c r="E1582" s="3252">
        <v>14883</v>
      </c>
      <c r="F1582" s="3252">
        <v>13394</v>
      </c>
      <c r="G1582" s="1698"/>
    </row>
    <row r="1583" spans="1:7" ht="15.75">
      <c r="A1583" s="3252">
        <v>75950</v>
      </c>
      <c r="B1583" s="3252">
        <v>76000</v>
      </c>
      <c r="C1583" s="3252">
        <v>14850</v>
      </c>
      <c r="D1583" s="3252">
        <v>10706</v>
      </c>
      <c r="E1583" s="3252">
        <v>14897</v>
      </c>
      <c r="F1583" s="3252">
        <v>13406</v>
      </c>
      <c r="G1583" s="1698"/>
    </row>
    <row r="1584" spans="1:7" ht="15.75">
      <c r="A1584" s="3252">
        <v>76000</v>
      </c>
      <c r="B1584" s="3252">
        <v>76050</v>
      </c>
      <c r="C1584" s="3252">
        <v>14863</v>
      </c>
      <c r="D1584" s="3252">
        <v>10719</v>
      </c>
      <c r="E1584" s="3252">
        <v>14911</v>
      </c>
      <c r="F1584" s="3252">
        <v>13419</v>
      </c>
      <c r="G1584" s="1698"/>
    </row>
    <row r="1585" spans="1:7" ht="15.75">
      <c r="A1585" s="3252">
        <v>76050</v>
      </c>
      <c r="B1585" s="3252">
        <v>76100</v>
      </c>
      <c r="C1585" s="3252">
        <v>14875</v>
      </c>
      <c r="D1585" s="3252">
        <v>10731</v>
      </c>
      <c r="E1585" s="3252">
        <v>14925</v>
      </c>
      <c r="F1585" s="3252">
        <v>13431</v>
      </c>
      <c r="G1585" s="1698"/>
    </row>
    <row r="1586" spans="1:7" ht="15.75">
      <c r="A1586" s="3252">
        <v>76100</v>
      </c>
      <c r="B1586" s="3252">
        <v>76150</v>
      </c>
      <c r="C1586" s="3252">
        <v>14888</v>
      </c>
      <c r="D1586" s="3252">
        <v>10744</v>
      </c>
      <c r="E1586" s="3252">
        <v>14939</v>
      </c>
      <c r="F1586" s="3252">
        <v>13444</v>
      </c>
      <c r="G1586" s="1698"/>
    </row>
    <row r="1587" spans="1:7" ht="15.75">
      <c r="A1587" s="3252">
        <v>76150</v>
      </c>
      <c r="B1587" s="3252">
        <v>76200</v>
      </c>
      <c r="C1587" s="3252">
        <v>14900</v>
      </c>
      <c r="D1587" s="3252">
        <v>10756</v>
      </c>
      <c r="E1587" s="3252">
        <v>14953</v>
      </c>
      <c r="F1587" s="3252">
        <v>13456</v>
      </c>
      <c r="G1587" s="1698"/>
    </row>
    <row r="1588" spans="1:7" ht="15.75">
      <c r="A1588" s="3252">
        <v>76200</v>
      </c>
      <c r="B1588" s="3252">
        <v>76250</v>
      </c>
      <c r="C1588" s="3252">
        <v>14913</v>
      </c>
      <c r="D1588" s="3252">
        <v>10769</v>
      </c>
      <c r="E1588" s="3252">
        <v>14967</v>
      </c>
      <c r="F1588" s="3252">
        <v>13469</v>
      </c>
      <c r="G1588" s="1698"/>
    </row>
    <row r="1589" spans="1:7" ht="15.75">
      <c r="A1589" s="3252">
        <v>76250</v>
      </c>
      <c r="B1589" s="3252">
        <v>76300</v>
      </c>
      <c r="C1589" s="3252">
        <v>14925</v>
      </c>
      <c r="D1589" s="3252">
        <v>10781</v>
      </c>
      <c r="E1589" s="3252">
        <v>14981</v>
      </c>
      <c r="F1589" s="3252">
        <v>13481</v>
      </c>
      <c r="G1589" s="1698"/>
    </row>
    <row r="1590" spans="1:7" ht="15.75">
      <c r="A1590" s="3252">
        <v>76300</v>
      </c>
      <c r="B1590" s="3252">
        <v>76350</v>
      </c>
      <c r="C1590" s="3252">
        <v>14938</v>
      </c>
      <c r="D1590" s="3252">
        <v>10794</v>
      </c>
      <c r="E1590" s="3252">
        <v>14995</v>
      </c>
      <c r="F1590" s="3252">
        <v>13494</v>
      </c>
      <c r="G1590" s="1698"/>
    </row>
    <row r="1591" spans="1:7" ht="15.75">
      <c r="A1591" s="3252">
        <v>76350</v>
      </c>
      <c r="B1591" s="3252">
        <v>76400</v>
      </c>
      <c r="C1591" s="3252">
        <v>14950</v>
      </c>
      <c r="D1591" s="3252">
        <v>10806</v>
      </c>
      <c r="E1591" s="3252">
        <v>15009</v>
      </c>
      <c r="F1591" s="3252">
        <v>13506</v>
      </c>
      <c r="G1591" s="1698"/>
    </row>
    <row r="1592" spans="1:7" ht="15.75">
      <c r="A1592" s="3252">
        <v>76400</v>
      </c>
      <c r="B1592" s="3252">
        <v>76450</v>
      </c>
      <c r="C1592" s="3252">
        <v>14963</v>
      </c>
      <c r="D1592" s="3252">
        <v>10819</v>
      </c>
      <c r="E1592" s="3252">
        <v>15023</v>
      </c>
      <c r="F1592" s="3252">
        <v>13519</v>
      </c>
      <c r="G1592" s="1698"/>
    </row>
    <row r="1593" spans="1:7" ht="15.75">
      <c r="A1593" s="3252">
        <v>76450</v>
      </c>
      <c r="B1593" s="3252">
        <v>76500</v>
      </c>
      <c r="C1593" s="3252">
        <v>14975</v>
      </c>
      <c r="D1593" s="3252">
        <v>10831</v>
      </c>
      <c r="E1593" s="3252">
        <v>15037</v>
      </c>
      <c r="F1593" s="3252">
        <v>13531</v>
      </c>
      <c r="G1593" s="1698"/>
    </row>
    <row r="1594" spans="1:7" ht="15.75">
      <c r="A1594" s="3252">
        <v>76500</v>
      </c>
      <c r="B1594" s="3252">
        <v>76550</v>
      </c>
      <c r="C1594" s="3252">
        <v>14988</v>
      </c>
      <c r="D1594" s="3252">
        <v>10844</v>
      </c>
      <c r="E1594" s="3252">
        <v>15051</v>
      </c>
      <c r="F1594" s="3252">
        <v>13544</v>
      </c>
      <c r="G1594" s="1698"/>
    </row>
    <row r="1595" spans="1:7" ht="15.75">
      <c r="A1595" s="3252">
        <v>76550</v>
      </c>
      <c r="B1595" s="3252">
        <v>76600</v>
      </c>
      <c r="C1595" s="3252">
        <v>15000</v>
      </c>
      <c r="D1595" s="3252">
        <v>10856</v>
      </c>
      <c r="E1595" s="3252">
        <v>15065</v>
      </c>
      <c r="F1595" s="3252">
        <v>13556</v>
      </c>
      <c r="G1595" s="1698"/>
    </row>
    <row r="1596" spans="1:7" ht="15.75">
      <c r="A1596" s="3252">
        <v>76600</v>
      </c>
      <c r="B1596" s="3252">
        <v>76650</v>
      </c>
      <c r="C1596" s="3252">
        <v>15013</v>
      </c>
      <c r="D1596" s="3252">
        <v>10869</v>
      </c>
      <c r="E1596" s="3252">
        <v>15079</v>
      </c>
      <c r="F1596" s="3252">
        <v>13569</v>
      </c>
      <c r="G1596" s="1698"/>
    </row>
    <row r="1597" spans="1:7" ht="15.75">
      <c r="A1597" s="3252">
        <v>76650</v>
      </c>
      <c r="B1597" s="3252">
        <v>76700</v>
      </c>
      <c r="C1597" s="3252">
        <v>15025</v>
      </c>
      <c r="D1597" s="3252">
        <v>10881</v>
      </c>
      <c r="E1597" s="3252">
        <v>15093</v>
      </c>
      <c r="F1597" s="3252">
        <v>13581</v>
      </c>
      <c r="G1597" s="1698"/>
    </row>
    <row r="1598" spans="1:7" ht="15.75">
      <c r="A1598" s="3252">
        <v>76700</v>
      </c>
      <c r="B1598" s="3252">
        <v>76750</v>
      </c>
      <c r="C1598" s="3252">
        <v>15038</v>
      </c>
      <c r="D1598" s="3252">
        <v>10894</v>
      </c>
      <c r="E1598" s="3252">
        <v>15107</v>
      </c>
      <c r="F1598" s="3252">
        <v>13594</v>
      </c>
      <c r="G1598" s="1698"/>
    </row>
    <row r="1599" spans="1:7" ht="15.75">
      <c r="A1599" s="3252">
        <v>76750</v>
      </c>
      <c r="B1599" s="3252">
        <v>76800</v>
      </c>
      <c r="C1599" s="3252">
        <v>15050</v>
      </c>
      <c r="D1599" s="3252">
        <v>10906</v>
      </c>
      <c r="E1599" s="3252">
        <v>15121</v>
      </c>
      <c r="F1599" s="3252">
        <v>13606</v>
      </c>
      <c r="G1599" s="1698"/>
    </row>
    <row r="1600" spans="1:7" ht="15.75">
      <c r="A1600" s="3252">
        <v>76800</v>
      </c>
      <c r="B1600" s="3252">
        <v>76850</v>
      </c>
      <c r="C1600" s="3252">
        <v>15063</v>
      </c>
      <c r="D1600" s="3252">
        <v>10919</v>
      </c>
      <c r="E1600" s="3252">
        <v>15135</v>
      </c>
      <c r="F1600" s="3252">
        <v>13619</v>
      </c>
      <c r="G1600" s="1698"/>
    </row>
    <row r="1601" spans="1:7" ht="15.75">
      <c r="A1601" s="3252">
        <v>76850</v>
      </c>
      <c r="B1601" s="3252">
        <v>76900</v>
      </c>
      <c r="C1601" s="3252">
        <v>15075</v>
      </c>
      <c r="D1601" s="3252">
        <v>10931</v>
      </c>
      <c r="E1601" s="3252">
        <v>15149</v>
      </c>
      <c r="F1601" s="3252">
        <v>13631</v>
      </c>
      <c r="G1601" s="1698"/>
    </row>
    <row r="1602" spans="1:7" ht="15.75">
      <c r="A1602" s="3252">
        <v>76900</v>
      </c>
      <c r="B1602" s="3252">
        <v>76950</v>
      </c>
      <c r="C1602" s="3252">
        <v>15088</v>
      </c>
      <c r="D1602" s="3252">
        <v>10944</v>
      </c>
      <c r="E1602" s="3252">
        <v>15163</v>
      </c>
      <c r="F1602" s="3252">
        <v>13644</v>
      </c>
      <c r="G1602" s="1698"/>
    </row>
    <row r="1603" spans="1:7" ht="15.75">
      <c r="A1603" s="3252">
        <v>76950</v>
      </c>
      <c r="B1603" s="3252">
        <v>77000</v>
      </c>
      <c r="C1603" s="3252">
        <v>15100</v>
      </c>
      <c r="D1603" s="3252">
        <v>10956</v>
      </c>
      <c r="E1603" s="3252">
        <v>15177</v>
      </c>
      <c r="F1603" s="3252">
        <v>13656</v>
      </c>
      <c r="G1603" s="1698"/>
    </row>
    <row r="1604" spans="1:7" ht="15.75">
      <c r="A1604" s="3252">
        <v>77000</v>
      </c>
      <c r="B1604" s="3252">
        <v>77050</v>
      </c>
      <c r="C1604" s="3252">
        <v>15113</v>
      </c>
      <c r="D1604" s="3252">
        <v>10969</v>
      </c>
      <c r="E1604" s="3252">
        <v>15191</v>
      </c>
      <c r="F1604" s="3252">
        <v>13669</v>
      </c>
      <c r="G1604" s="1698"/>
    </row>
    <row r="1605" spans="1:7" ht="15.75">
      <c r="A1605" s="3252">
        <v>77050</v>
      </c>
      <c r="B1605" s="3252">
        <v>77100</v>
      </c>
      <c r="C1605" s="3252">
        <v>15125</v>
      </c>
      <c r="D1605" s="3252">
        <v>10981</v>
      </c>
      <c r="E1605" s="3252">
        <v>15205</v>
      </c>
      <c r="F1605" s="3252">
        <v>13681</v>
      </c>
      <c r="G1605" s="1698"/>
    </row>
    <row r="1606" spans="1:7" ht="15.75">
      <c r="A1606" s="3252">
        <v>77100</v>
      </c>
      <c r="B1606" s="3252">
        <v>77150</v>
      </c>
      <c r="C1606" s="3252">
        <v>15138</v>
      </c>
      <c r="D1606" s="3252">
        <v>10994</v>
      </c>
      <c r="E1606" s="3252">
        <v>15219</v>
      </c>
      <c r="F1606" s="3252">
        <v>13694</v>
      </c>
      <c r="G1606" s="1698"/>
    </row>
    <row r="1607" spans="1:7" ht="15.75">
      <c r="A1607" s="3252">
        <v>77150</v>
      </c>
      <c r="B1607" s="3252">
        <v>77200</v>
      </c>
      <c r="C1607" s="3252">
        <v>15150</v>
      </c>
      <c r="D1607" s="3252">
        <v>11006</v>
      </c>
      <c r="E1607" s="3252">
        <v>15233</v>
      </c>
      <c r="F1607" s="3252">
        <v>13706</v>
      </c>
      <c r="G1607" s="1698"/>
    </row>
    <row r="1608" spans="1:7" ht="15.75">
      <c r="A1608" s="3252">
        <v>77200</v>
      </c>
      <c r="B1608" s="3252">
        <v>77250</v>
      </c>
      <c r="C1608" s="3252">
        <v>15163</v>
      </c>
      <c r="D1608" s="3252">
        <v>11019</v>
      </c>
      <c r="E1608" s="3252">
        <v>15247</v>
      </c>
      <c r="F1608" s="3252">
        <v>13719</v>
      </c>
      <c r="G1608" s="1698"/>
    </row>
    <row r="1609" spans="1:7" ht="15.75">
      <c r="A1609" s="3252">
        <v>77250</v>
      </c>
      <c r="B1609" s="3252">
        <v>77300</v>
      </c>
      <c r="C1609" s="3252">
        <v>15175</v>
      </c>
      <c r="D1609" s="3252">
        <v>11031</v>
      </c>
      <c r="E1609" s="3252">
        <v>15261</v>
      </c>
      <c r="F1609" s="3252">
        <v>13731</v>
      </c>
      <c r="G1609" s="1698"/>
    </row>
    <row r="1610" spans="1:7" ht="15.75">
      <c r="A1610" s="3252">
        <v>77300</v>
      </c>
      <c r="B1610" s="3252">
        <v>77350</v>
      </c>
      <c r="C1610" s="3252">
        <v>15188</v>
      </c>
      <c r="D1610" s="3252">
        <v>11044</v>
      </c>
      <c r="E1610" s="3252">
        <v>15275</v>
      </c>
      <c r="F1610" s="3252">
        <v>13744</v>
      </c>
      <c r="G1610" s="1698"/>
    </row>
    <row r="1611" spans="1:7" ht="15.75">
      <c r="A1611" s="3252">
        <v>77350</v>
      </c>
      <c r="B1611" s="3252">
        <v>77400</v>
      </c>
      <c r="C1611" s="3252">
        <v>15200</v>
      </c>
      <c r="D1611" s="3252">
        <v>11056</v>
      </c>
      <c r="E1611" s="3252">
        <v>15289</v>
      </c>
      <c r="F1611" s="3252">
        <v>13756</v>
      </c>
      <c r="G1611" s="1698"/>
    </row>
    <row r="1612" spans="1:7" ht="15.75">
      <c r="A1612" s="3252">
        <v>77400</v>
      </c>
      <c r="B1612" s="3252">
        <v>77450</v>
      </c>
      <c r="C1612" s="3252">
        <v>15213</v>
      </c>
      <c r="D1612" s="3252">
        <v>11069</v>
      </c>
      <c r="E1612" s="3252">
        <v>15303</v>
      </c>
      <c r="F1612" s="3252">
        <v>13769</v>
      </c>
      <c r="G1612" s="1698"/>
    </row>
    <row r="1613" spans="1:7" ht="15.75">
      <c r="A1613" s="3252">
        <v>77450</v>
      </c>
      <c r="B1613" s="3252">
        <v>77500</v>
      </c>
      <c r="C1613" s="3252">
        <v>15225</v>
      </c>
      <c r="D1613" s="3252">
        <v>11081</v>
      </c>
      <c r="E1613" s="3252">
        <v>15317</v>
      </c>
      <c r="F1613" s="3252">
        <v>13781</v>
      </c>
      <c r="G1613" s="1698"/>
    </row>
    <row r="1614" spans="1:7" ht="15.75">
      <c r="A1614" s="3252">
        <v>77500</v>
      </c>
      <c r="B1614" s="3252">
        <v>77550</v>
      </c>
      <c r="C1614" s="3252">
        <v>15238</v>
      </c>
      <c r="D1614" s="3252">
        <v>11094</v>
      </c>
      <c r="E1614" s="3252">
        <v>15331</v>
      </c>
      <c r="F1614" s="3252">
        <v>13794</v>
      </c>
      <c r="G1614" s="1698"/>
    </row>
    <row r="1615" spans="1:7" ht="15.75">
      <c r="A1615" s="3252">
        <v>77550</v>
      </c>
      <c r="B1615" s="3252">
        <v>77600</v>
      </c>
      <c r="C1615" s="3252">
        <v>15250</v>
      </c>
      <c r="D1615" s="3252">
        <v>11106</v>
      </c>
      <c r="E1615" s="3252">
        <v>15345</v>
      </c>
      <c r="F1615" s="3252">
        <v>13806</v>
      </c>
      <c r="G1615" s="1698"/>
    </row>
    <row r="1616" spans="1:7" ht="15.75">
      <c r="A1616" s="3252">
        <v>77600</v>
      </c>
      <c r="B1616" s="3252">
        <v>77650</v>
      </c>
      <c r="C1616" s="3252">
        <v>15263</v>
      </c>
      <c r="D1616" s="3252">
        <v>11119</v>
      </c>
      <c r="E1616" s="3252">
        <v>15359</v>
      </c>
      <c r="F1616" s="3252">
        <v>13819</v>
      </c>
      <c r="G1616" s="1698"/>
    </row>
    <row r="1617" spans="1:7" ht="15.75">
      <c r="A1617" s="3252">
        <v>77650</v>
      </c>
      <c r="B1617" s="3252">
        <v>77700</v>
      </c>
      <c r="C1617" s="3252">
        <v>15275</v>
      </c>
      <c r="D1617" s="3252">
        <v>11131</v>
      </c>
      <c r="E1617" s="3252">
        <v>15373</v>
      </c>
      <c r="F1617" s="3252">
        <v>13831</v>
      </c>
      <c r="G1617" s="1698"/>
    </row>
    <row r="1618" spans="1:7" ht="15.75">
      <c r="A1618" s="3252">
        <v>77700</v>
      </c>
      <c r="B1618" s="3252">
        <v>77750</v>
      </c>
      <c r="C1618" s="3252">
        <v>15288</v>
      </c>
      <c r="D1618" s="3252">
        <v>11144</v>
      </c>
      <c r="E1618" s="3252">
        <v>15387</v>
      </c>
      <c r="F1618" s="3252">
        <v>13844</v>
      </c>
      <c r="G1618" s="1698"/>
    </row>
    <row r="1619" spans="1:7" ht="15.75">
      <c r="A1619" s="3252">
        <v>77750</v>
      </c>
      <c r="B1619" s="3252">
        <v>77800</v>
      </c>
      <c r="C1619" s="3252">
        <v>15300</v>
      </c>
      <c r="D1619" s="3252">
        <v>11156</v>
      </c>
      <c r="E1619" s="3252">
        <v>15401</v>
      </c>
      <c r="F1619" s="3252">
        <v>13856</v>
      </c>
      <c r="G1619" s="1698"/>
    </row>
    <row r="1620" spans="1:7" ht="15.75">
      <c r="A1620" s="3252">
        <v>77800</v>
      </c>
      <c r="B1620" s="3252">
        <v>77850</v>
      </c>
      <c r="C1620" s="3252">
        <v>15313</v>
      </c>
      <c r="D1620" s="3252">
        <v>11169</v>
      </c>
      <c r="E1620" s="3252">
        <v>15415</v>
      </c>
      <c r="F1620" s="3252">
        <v>13869</v>
      </c>
      <c r="G1620" s="1698"/>
    </row>
    <row r="1621" spans="1:7" ht="15.75">
      <c r="A1621" s="3252">
        <v>77850</v>
      </c>
      <c r="B1621" s="3252">
        <v>77900</v>
      </c>
      <c r="C1621" s="3252">
        <v>15325</v>
      </c>
      <c r="D1621" s="3252">
        <v>11181</v>
      </c>
      <c r="E1621" s="3252">
        <v>15429</v>
      </c>
      <c r="F1621" s="3252">
        <v>13881</v>
      </c>
      <c r="G1621" s="1698"/>
    </row>
    <row r="1622" spans="1:7" ht="15.75">
      <c r="A1622" s="3252">
        <v>77900</v>
      </c>
      <c r="B1622" s="3252">
        <v>77950</v>
      </c>
      <c r="C1622" s="3252">
        <v>15338</v>
      </c>
      <c r="D1622" s="3252">
        <v>11194</v>
      </c>
      <c r="E1622" s="3252">
        <v>15443</v>
      </c>
      <c r="F1622" s="3252">
        <v>13894</v>
      </c>
      <c r="G1622" s="1698"/>
    </row>
    <row r="1623" spans="1:7" ht="15.75">
      <c r="A1623" s="3252">
        <v>77950</v>
      </c>
      <c r="B1623" s="3252">
        <v>78000</v>
      </c>
      <c r="C1623" s="3252">
        <v>15350</v>
      </c>
      <c r="D1623" s="3252">
        <v>11206</v>
      </c>
      <c r="E1623" s="3252">
        <v>15457</v>
      </c>
      <c r="F1623" s="3252">
        <v>13906</v>
      </c>
      <c r="G1623" s="1698"/>
    </row>
    <row r="1624" spans="1:7" ht="15.75">
      <c r="A1624" s="3252">
        <v>78000</v>
      </c>
      <c r="B1624" s="3252">
        <v>78050</v>
      </c>
      <c r="C1624" s="3252">
        <v>15363</v>
      </c>
      <c r="D1624" s="3252">
        <v>11219</v>
      </c>
      <c r="E1624" s="3252">
        <v>15471</v>
      </c>
      <c r="F1624" s="3252">
        <v>13919</v>
      </c>
      <c r="G1624" s="1698"/>
    </row>
    <row r="1625" spans="1:7" ht="15.75">
      <c r="A1625" s="3252">
        <v>78050</v>
      </c>
      <c r="B1625" s="3252">
        <v>78100</v>
      </c>
      <c r="C1625" s="3252">
        <v>15375</v>
      </c>
      <c r="D1625" s="3252">
        <v>11231</v>
      </c>
      <c r="E1625" s="3252">
        <v>15485</v>
      </c>
      <c r="F1625" s="3252">
        <v>13931</v>
      </c>
      <c r="G1625" s="1698"/>
    </row>
    <row r="1626" spans="1:7" ht="15.75">
      <c r="A1626" s="3252">
        <v>78100</v>
      </c>
      <c r="B1626" s="3252">
        <v>78150</v>
      </c>
      <c r="C1626" s="3252">
        <v>15388</v>
      </c>
      <c r="D1626" s="3252">
        <v>11244</v>
      </c>
      <c r="E1626" s="3252">
        <v>15499</v>
      </c>
      <c r="F1626" s="3252">
        <v>13944</v>
      </c>
      <c r="G1626" s="1698"/>
    </row>
    <row r="1627" spans="1:7" ht="15.75">
      <c r="A1627" s="3252">
        <v>78150</v>
      </c>
      <c r="B1627" s="3252">
        <v>78200</v>
      </c>
      <c r="C1627" s="3252">
        <v>15400</v>
      </c>
      <c r="D1627" s="3252">
        <v>11256</v>
      </c>
      <c r="E1627" s="3252">
        <v>15513</v>
      </c>
      <c r="F1627" s="3252">
        <v>13956</v>
      </c>
      <c r="G1627" s="1698"/>
    </row>
    <row r="1628" spans="1:7" ht="15.75">
      <c r="A1628" s="3252">
        <v>78200</v>
      </c>
      <c r="B1628" s="3252">
        <v>78250</v>
      </c>
      <c r="C1628" s="3252">
        <v>15413</v>
      </c>
      <c r="D1628" s="3252">
        <v>11269</v>
      </c>
      <c r="E1628" s="3252">
        <v>15527</v>
      </c>
      <c r="F1628" s="3252">
        <v>13969</v>
      </c>
      <c r="G1628" s="1698"/>
    </row>
    <row r="1629" spans="1:7" ht="15.75">
      <c r="A1629" s="3252">
        <v>78250</v>
      </c>
      <c r="B1629" s="3252">
        <v>78300</v>
      </c>
      <c r="C1629" s="3252">
        <v>15425</v>
      </c>
      <c r="D1629" s="3252">
        <v>11281</v>
      </c>
      <c r="E1629" s="3252">
        <v>15541</v>
      </c>
      <c r="F1629" s="3252">
        <v>13981</v>
      </c>
      <c r="G1629" s="1698"/>
    </row>
    <row r="1630" spans="1:7" ht="15.75">
      <c r="A1630" s="3252">
        <v>78300</v>
      </c>
      <c r="B1630" s="3252">
        <v>78350</v>
      </c>
      <c r="C1630" s="3252">
        <v>15438</v>
      </c>
      <c r="D1630" s="3252">
        <v>11294</v>
      </c>
      <c r="E1630" s="3252">
        <v>15555</v>
      </c>
      <c r="F1630" s="3252">
        <v>13994</v>
      </c>
      <c r="G1630" s="1698"/>
    </row>
    <row r="1631" spans="1:7" ht="15.75">
      <c r="A1631" s="3252">
        <v>78350</v>
      </c>
      <c r="B1631" s="3252">
        <v>78400</v>
      </c>
      <c r="C1631" s="3252">
        <v>15450</v>
      </c>
      <c r="D1631" s="3252">
        <v>11306</v>
      </c>
      <c r="E1631" s="3252">
        <v>15569</v>
      </c>
      <c r="F1631" s="3252">
        <v>14006</v>
      </c>
      <c r="G1631" s="1698"/>
    </row>
    <row r="1632" spans="1:7" ht="15.75">
      <c r="A1632" s="3252">
        <v>78400</v>
      </c>
      <c r="B1632" s="3252">
        <v>78450</v>
      </c>
      <c r="C1632" s="3252">
        <v>15463</v>
      </c>
      <c r="D1632" s="3252">
        <v>11319</v>
      </c>
      <c r="E1632" s="3252">
        <v>15583</v>
      </c>
      <c r="F1632" s="3252">
        <v>14019</v>
      </c>
      <c r="G1632" s="1698"/>
    </row>
    <row r="1633" spans="1:7" ht="15.75">
      <c r="A1633" s="3252">
        <v>78450</v>
      </c>
      <c r="B1633" s="3252">
        <v>78500</v>
      </c>
      <c r="C1633" s="3252">
        <v>15475</v>
      </c>
      <c r="D1633" s="3252">
        <v>11331</v>
      </c>
      <c r="E1633" s="3252">
        <v>15597</v>
      </c>
      <c r="F1633" s="3252">
        <v>14031</v>
      </c>
      <c r="G1633" s="1698"/>
    </row>
    <row r="1634" spans="1:7" ht="15.75">
      <c r="A1634" s="3252">
        <v>78500</v>
      </c>
      <c r="B1634" s="3252">
        <v>78550</v>
      </c>
      <c r="C1634" s="3252">
        <v>15488</v>
      </c>
      <c r="D1634" s="3252">
        <v>11344</v>
      </c>
      <c r="E1634" s="3252">
        <v>15611</v>
      </c>
      <c r="F1634" s="3252">
        <v>14044</v>
      </c>
      <c r="G1634" s="1698"/>
    </row>
    <row r="1635" spans="1:7" ht="15.75">
      <c r="A1635" s="3252">
        <v>78550</v>
      </c>
      <c r="B1635" s="3252">
        <v>78600</v>
      </c>
      <c r="C1635" s="3252">
        <v>15500</v>
      </c>
      <c r="D1635" s="3252">
        <v>11356</v>
      </c>
      <c r="E1635" s="3252">
        <v>15625</v>
      </c>
      <c r="F1635" s="3252">
        <v>14056</v>
      </c>
      <c r="G1635" s="1698"/>
    </row>
    <row r="1636" spans="1:7" ht="15.75">
      <c r="A1636" s="3252">
        <v>78600</v>
      </c>
      <c r="B1636" s="3252">
        <v>78650</v>
      </c>
      <c r="C1636" s="3252">
        <v>15513</v>
      </c>
      <c r="D1636" s="3252">
        <v>11369</v>
      </c>
      <c r="E1636" s="3252">
        <v>15639</v>
      </c>
      <c r="F1636" s="3252">
        <v>14069</v>
      </c>
      <c r="G1636" s="1698"/>
    </row>
    <row r="1637" spans="1:7" ht="15.75">
      <c r="A1637" s="3252">
        <v>78650</v>
      </c>
      <c r="B1637" s="3252">
        <v>78700</v>
      </c>
      <c r="C1637" s="3252">
        <v>15525</v>
      </c>
      <c r="D1637" s="3252">
        <v>11381</v>
      </c>
      <c r="E1637" s="3252">
        <v>15653</v>
      </c>
      <c r="F1637" s="3252">
        <v>14081</v>
      </c>
      <c r="G1637" s="1698"/>
    </row>
    <row r="1638" spans="1:7" ht="15.75">
      <c r="A1638" s="3252">
        <v>78700</v>
      </c>
      <c r="B1638" s="3252">
        <v>78750</v>
      </c>
      <c r="C1638" s="3252">
        <v>15538</v>
      </c>
      <c r="D1638" s="3252">
        <v>11394</v>
      </c>
      <c r="E1638" s="3252">
        <v>15667</v>
      </c>
      <c r="F1638" s="3252">
        <v>14094</v>
      </c>
      <c r="G1638" s="1698"/>
    </row>
    <row r="1639" spans="1:7" ht="15.75">
      <c r="A1639" s="3252">
        <v>78750</v>
      </c>
      <c r="B1639" s="3252">
        <v>78800</v>
      </c>
      <c r="C1639" s="3252">
        <v>15550</v>
      </c>
      <c r="D1639" s="3252">
        <v>11406</v>
      </c>
      <c r="E1639" s="3252">
        <v>15681</v>
      </c>
      <c r="F1639" s="3252">
        <v>14106</v>
      </c>
      <c r="G1639" s="1698"/>
    </row>
    <row r="1640" spans="1:7" ht="15.75">
      <c r="A1640" s="3252">
        <v>78800</v>
      </c>
      <c r="B1640" s="3252">
        <v>78850</v>
      </c>
      <c r="C1640" s="3252">
        <v>15563</v>
      </c>
      <c r="D1640" s="3252">
        <v>11419</v>
      </c>
      <c r="E1640" s="3252">
        <v>15695</v>
      </c>
      <c r="F1640" s="3252">
        <v>14119</v>
      </c>
      <c r="G1640" s="1698"/>
    </row>
    <row r="1641" spans="1:7" ht="15.75">
      <c r="A1641" s="3252">
        <v>78850</v>
      </c>
      <c r="B1641" s="3252">
        <v>78900</v>
      </c>
      <c r="C1641" s="3252">
        <v>15575</v>
      </c>
      <c r="D1641" s="3252">
        <v>11431</v>
      </c>
      <c r="E1641" s="3252">
        <v>15709</v>
      </c>
      <c r="F1641" s="3252">
        <v>14131</v>
      </c>
      <c r="G1641" s="1698"/>
    </row>
    <row r="1642" spans="1:7" ht="15.75">
      <c r="A1642" s="3252">
        <v>78900</v>
      </c>
      <c r="B1642" s="3252">
        <v>78950</v>
      </c>
      <c r="C1642" s="3252">
        <v>15588</v>
      </c>
      <c r="D1642" s="3252">
        <v>11444</v>
      </c>
      <c r="E1642" s="3252">
        <v>15723</v>
      </c>
      <c r="F1642" s="3252">
        <v>14144</v>
      </c>
      <c r="G1642" s="1698"/>
    </row>
    <row r="1643" spans="1:7" ht="15.75">
      <c r="A1643" s="3252">
        <v>78950</v>
      </c>
      <c r="B1643" s="3252">
        <v>79000</v>
      </c>
      <c r="C1643" s="3252">
        <v>15600</v>
      </c>
      <c r="D1643" s="3252">
        <v>11456</v>
      </c>
      <c r="E1643" s="3252">
        <v>15737</v>
      </c>
      <c r="F1643" s="3252">
        <v>14156</v>
      </c>
      <c r="G1643" s="1698"/>
    </row>
    <row r="1644" spans="1:7" ht="15.75">
      <c r="A1644" s="3252">
        <v>79000</v>
      </c>
      <c r="B1644" s="3252">
        <v>79050</v>
      </c>
      <c r="C1644" s="3252">
        <v>15613</v>
      </c>
      <c r="D1644" s="3252">
        <v>11469</v>
      </c>
      <c r="E1644" s="3252">
        <v>15751</v>
      </c>
      <c r="F1644" s="3252">
        <v>14169</v>
      </c>
      <c r="G1644" s="1698"/>
    </row>
    <row r="1645" spans="1:7" ht="15.75">
      <c r="A1645" s="3252">
        <v>79050</v>
      </c>
      <c r="B1645" s="3252">
        <v>79100</v>
      </c>
      <c r="C1645" s="3252">
        <v>15625</v>
      </c>
      <c r="D1645" s="3252">
        <v>11481</v>
      </c>
      <c r="E1645" s="3252">
        <v>15765</v>
      </c>
      <c r="F1645" s="3252">
        <v>14181</v>
      </c>
      <c r="G1645" s="1698"/>
    </row>
    <row r="1646" spans="1:7" ht="15.75">
      <c r="A1646" s="3252">
        <v>79100</v>
      </c>
      <c r="B1646" s="3252">
        <v>79150</v>
      </c>
      <c r="C1646" s="3252">
        <v>15638</v>
      </c>
      <c r="D1646" s="3252">
        <v>11494</v>
      </c>
      <c r="E1646" s="3252">
        <v>15779</v>
      </c>
      <c r="F1646" s="3252">
        <v>14194</v>
      </c>
      <c r="G1646" s="1698"/>
    </row>
    <row r="1647" spans="1:7" ht="15.75">
      <c r="A1647" s="3252">
        <v>79150</v>
      </c>
      <c r="B1647" s="3252">
        <v>79200</v>
      </c>
      <c r="C1647" s="3252">
        <v>15650</v>
      </c>
      <c r="D1647" s="3252">
        <v>11506</v>
      </c>
      <c r="E1647" s="3252">
        <v>15793</v>
      </c>
      <c r="F1647" s="3252">
        <v>14206</v>
      </c>
      <c r="G1647" s="1698"/>
    </row>
    <row r="1648" spans="1:7" ht="15.75">
      <c r="A1648" s="3252">
        <v>79200</v>
      </c>
      <c r="B1648" s="3252">
        <v>79250</v>
      </c>
      <c r="C1648" s="3252">
        <v>15663</v>
      </c>
      <c r="D1648" s="3252">
        <v>11519</v>
      </c>
      <c r="E1648" s="3252">
        <v>15807</v>
      </c>
      <c r="F1648" s="3252">
        <v>14219</v>
      </c>
      <c r="G1648" s="1698"/>
    </row>
    <row r="1649" spans="1:7" ht="15.75">
      <c r="A1649" s="3252">
        <v>79250</v>
      </c>
      <c r="B1649" s="3252">
        <v>79300</v>
      </c>
      <c r="C1649" s="3252">
        <v>15675</v>
      </c>
      <c r="D1649" s="3252">
        <v>11531</v>
      </c>
      <c r="E1649" s="3252">
        <v>15821</v>
      </c>
      <c r="F1649" s="3252">
        <v>14231</v>
      </c>
      <c r="G1649" s="1698"/>
    </row>
    <row r="1650" spans="1:7" ht="15.75">
      <c r="A1650" s="3252">
        <v>79300</v>
      </c>
      <c r="B1650" s="3252">
        <v>79350</v>
      </c>
      <c r="C1650" s="3252">
        <v>15688</v>
      </c>
      <c r="D1650" s="3252">
        <v>11544</v>
      </c>
      <c r="E1650" s="3252">
        <v>15835</v>
      </c>
      <c r="F1650" s="3252">
        <v>14244</v>
      </c>
      <c r="G1650" s="1698"/>
    </row>
    <row r="1651" spans="1:7" ht="15.75">
      <c r="A1651" s="3252">
        <v>79350</v>
      </c>
      <c r="B1651" s="3252">
        <v>79400</v>
      </c>
      <c r="C1651" s="3252">
        <v>15700</v>
      </c>
      <c r="D1651" s="3252">
        <v>11556</v>
      </c>
      <c r="E1651" s="3252">
        <v>15849</v>
      </c>
      <c r="F1651" s="3252">
        <v>14256</v>
      </c>
      <c r="G1651" s="1698"/>
    </row>
    <row r="1652" spans="1:7" ht="15.75">
      <c r="A1652" s="3252">
        <v>79400</v>
      </c>
      <c r="B1652" s="3252">
        <v>79450</v>
      </c>
      <c r="C1652" s="3252">
        <v>15713</v>
      </c>
      <c r="D1652" s="3252">
        <v>11569</v>
      </c>
      <c r="E1652" s="3252">
        <v>15863</v>
      </c>
      <c r="F1652" s="3252">
        <v>14269</v>
      </c>
      <c r="G1652" s="1698"/>
    </row>
    <row r="1653" spans="1:7" ht="15.75">
      <c r="A1653" s="3252">
        <v>79450</v>
      </c>
      <c r="B1653" s="3252">
        <v>79500</v>
      </c>
      <c r="C1653" s="3252">
        <v>15725</v>
      </c>
      <c r="D1653" s="3252">
        <v>11581</v>
      </c>
      <c r="E1653" s="3252">
        <v>15877</v>
      </c>
      <c r="F1653" s="3252">
        <v>14281</v>
      </c>
      <c r="G1653" s="1698"/>
    </row>
    <row r="1654" spans="1:7" ht="15.75">
      <c r="A1654" s="3252">
        <v>79500</v>
      </c>
      <c r="B1654" s="3252">
        <v>79550</v>
      </c>
      <c r="C1654" s="3252">
        <v>15738</v>
      </c>
      <c r="D1654" s="3252">
        <v>11594</v>
      </c>
      <c r="E1654" s="3252">
        <v>15891</v>
      </c>
      <c r="F1654" s="3252">
        <v>14294</v>
      </c>
      <c r="G1654" s="1698"/>
    </row>
    <row r="1655" spans="1:7" ht="15.75">
      <c r="A1655" s="3252">
        <v>79550</v>
      </c>
      <c r="B1655" s="3252">
        <v>79600</v>
      </c>
      <c r="C1655" s="3252">
        <v>15750</v>
      </c>
      <c r="D1655" s="3252">
        <v>11606</v>
      </c>
      <c r="E1655" s="3252">
        <v>15905</v>
      </c>
      <c r="F1655" s="3252">
        <v>14306</v>
      </c>
      <c r="G1655" s="1698"/>
    </row>
    <row r="1656" spans="1:7" ht="15.75">
      <c r="A1656" s="3252">
        <v>79600</v>
      </c>
      <c r="B1656" s="3252">
        <v>79650</v>
      </c>
      <c r="C1656" s="3252">
        <v>15763</v>
      </c>
      <c r="D1656" s="3252">
        <v>11619</v>
      </c>
      <c r="E1656" s="3252">
        <v>15919</v>
      </c>
      <c r="F1656" s="3252">
        <v>14319</v>
      </c>
      <c r="G1656" s="1698"/>
    </row>
    <row r="1657" spans="1:7" ht="15.75">
      <c r="A1657" s="3252">
        <v>79650</v>
      </c>
      <c r="B1657" s="3252">
        <v>79700</v>
      </c>
      <c r="C1657" s="3252">
        <v>15775</v>
      </c>
      <c r="D1657" s="3252">
        <v>11631</v>
      </c>
      <c r="E1657" s="3252">
        <v>15933</v>
      </c>
      <c r="F1657" s="3252">
        <v>14331</v>
      </c>
      <c r="G1657" s="1698"/>
    </row>
    <row r="1658" spans="1:7" ht="15.75">
      <c r="A1658" s="3252">
        <v>79700</v>
      </c>
      <c r="B1658" s="3252">
        <v>79750</v>
      </c>
      <c r="C1658" s="3252">
        <v>15788</v>
      </c>
      <c r="D1658" s="3252">
        <v>11644</v>
      </c>
      <c r="E1658" s="3252">
        <v>15947</v>
      </c>
      <c r="F1658" s="3252">
        <v>14344</v>
      </c>
      <c r="G1658" s="1698"/>
    </row>
    <row r="1659" spans="1:7" ht="15.75">
      <c r="A1659" s="3252">
        <v>79750</v>
      </c>
      <c r="B1659" s="3252">
        <v>79800</v>
      </c>
      <c r="C1659" s="3252">
        <v>15800</v>
      </c>
      <c r="D1659" s="3252">
        <v>11656</v>
      </c>
      <c r="E1659" s="3252">
        <v>15961</v>
      </c>
      <c r="F1659" s="3252">
        <v>14356</v>
      </c>
      <c r="G1659" s="1698"/>
    </row>
    <row r="1660" spans="1:7" ht="15.75">
      <c r="A1660" s="3252">
        <v>79800</v>
      </c>
      <c r="B1660" s="3252">
        <v>79850</v>
      </c>
      <c r="C1660" s="3252">
        <v>15813</v>
      </c>
      <c r="D1660" s="3252">
        <v>11669</v>
      </c>
      <c r="E1660" s="3252">
        <v>15975</v>
      </c>
      <c r="F1660" s="3252">
        <v>14369</v>
      </c>
      <c r="G1660" s="1698"/>
    </row>
    <row r="1661" spans="1:7" ht="15.75">
      <c r="A1661" s="3252">
        <v>79850</v>
      </c>
      <c r="B1661" s="3252">
        <v>79900</v>
      </c>
      <c r="C1661" s="3252">
        <v>15825</v>
      </c>
      <c r="D1661" s="3252">
        <v>11681</v>
      </c>
      <c r="E1661" s="3252">
        <v>15989</v>
      </c>
      <c r="F1661" s="3252">
        <v>14381</v>
      </c>
      <c r="G1661" s="1698"/>
    </row>
    <row r="1662" spans="1:7" ht="15.75">
      <c r="A1662" s="3252">
        <v>79900</v>
      </c>
      <c r="B1662" s="3252">
        <v>79950</v>
      </c>
      <c r="C1662" s="3252">
        <v>15838</v>
      </c>
      <c r="D1662" s="3252">
        <v>11694</v>
      </c>
      <c r="E1662" s="3252">
        <v>16003</v>
      </c>
      <c r="F1662" s="3252">
        <v>14394</v>
      </c>
      <c r="G1662" s="1698"/>
    </row>
    <row r="1663" spans="1:7" ht="15.75">
      <c r="A1663" s="3252">
        <v>79950</v>
      </c>
      <c r="B1663" s="3252">
        <v>80000</v>
      </c>
      <c r="C1663" s="3252">
        <v>15850</v>
      </c>
      <c r="D1663" s="3252">
        <v>11706</v>
      </c>
      <c r="E1663" s="3252">
        <v>16017</v>
      </c>
      <c r="F1663" s="3252">
        <v>14406</v>
      </c>
      <c r="G1663" s="1698"/>
    </row>
    <row r="1664" spans="1:7" ht="15.75">
      <c r="A1664" s="3252">
        <v>80000</v>
      </c>
      <c r="B1664" s="3252">
        <v>80050</v>
      </c>
      <c r="C1664" s="3252">
        <v>15863</v>
      </c>
      <c r="D1664" s="3252">
        <v>11719</v>
      </c>
      <c r="E1664" s="3252">
        <v>16031</v>
      </c>
      <c r="F1664" s="3252">
        <v>14419</v>
      </c>
      <c r="G1664" s="1698"/>
    </row>
    <row r="1665" spans="1:7" ht="15.75">
      <c r="A1665" s="3252">
        <v>80050</v>
      </c>
      <c r="B1665" s="3252">
        <v>80100</v>
      </c>
      <c r="C1665" s="3252">
        <v>15875</v>
      </c>
      <c r="D1665" s="3252">
        <v>11731</v>
      </c>
      <c r="E1665" s="3252">
        <v>16045</v>
      </c>
      <c r="F1665" s="3252">
        <v>14431</v>
      </c>
      <c r="G1665" s="1698"/>
    </row>
    <row r="1666" spans="1:7" ht="15.75">
      <c r="A1666" s="3252">
        <v>80100</v>
      </c>
      <c r="B1666" s="3252">
        <v>80150</v>
      </c>
      <c r="C1666" s="3252">
        <v>15888</v>
      </c>
      <c r="D1666" s="3252">
        <v>11744</v>
      </c>
      <c r="E1666" s="3252">
        <v>16059</v>
      </c>
      <c r="F1666" s="3252">
        <v>14444</v>
      </c>
      <c r="G1666" s="1698"/>
    </row>
    <row r="1667" spans="1:7" ht="15.75">
      <c r="A1667" s="3252">
        <v>80150</v>
      </c>
      <c r="B1667" s="3252">
        <v>80200</v>
      </c>
      <c r="C1667" s="3252">
        <v>15900</v>
      </c>
      <c r="D1667" s="3252">
        <v>11756</v>
      </c>
      <c r="E1667" s="3252">
        <v>16073</v>
      </c>
      <c r="F1667" s="3252">
        <v>14456</v>
      </c>
      <c r="G1667" s="1698"/>
    </row>
    <row r="1668" spans="1:7" ht="15.75">
      <c r="A1668" s="3252">
        <v>80200</v>
      </c>
      <c r="B1668" s="3252">
        <v>80250</v>
      </c>
      <c r="C1668" s="3252">
        <v>15913</v>
      </c>
      <c r="D1668" s="3252">
        <v>11769</v>
      </c>
      <c r="E1668" s="3252">
        <v>16087</v>
      </c>
      <c r="F1668" s="3252">
        <v>14469</v>
      </c>
      <c r="G1668" s="1698"/>
    </row>
    <row r="1669" spans="1:7" ht="15.75">
      <c r="A1669" s="3252">
        <v>80250</v>
      </c>
      <c r="B1669" s="3252">
        <v>80300</v>
      </c>
      <c r="C1669" s="3252">
        <v>15925</v>
      </c>
      <c r="D1669" s="3252">
        <v>11781</v>
      </c>
      <c r="E1669" s="3252">
        <v>16101</v>
      </c>
      <c r="F1669" s="3252">
        <v>14481</v>
      </c>
      <c r="G1669" s="1698"/>
    </row>
    <row r="1670" spans="1:7" ht="15.75">
      <c r="A1670" s="3252">
        <v>80300</v>
      </c>
      <c r="B1670" s="3252">
        <v>80350</v>
      </c>
      <c r="C1670" s="3252">
        <v>15938</v>
      </c>
      <c r="D1670" s="3252">
        <v>11794</v>
      </c>
      <c r="E1670" s="3252">
        <v>16115</v>
      </c>
      <c r="F1670" s="3252">
        <v>14494</v>
      </c>
      <c r="G1670" s="1698"/>
    </row>
    <row r="1671" spans="1:7" ht="15.75">
      <c r="A1671" s="3252">
        <v>80350</v>
      </c>
      <c r="B1671" s="3252">
        <v>80400</v>
      </c>
      <c r="C1671" s="3252">
        <v>15950</v>
      </c>
      <c r="D1671" s="3252">
        <v>11806</v>
      </c>
      <c r="E1671" s="3252">
        <v>16129</v>
      </c>
      <c r="F1671" s="3252">
        <v>14506</v>
      </c>
      <c r="G1671" s="1698"/>
    </row>
    <row r="1672" spans="1:7" ht="15.75">
      <c r="A1672" s="3252">
        <v>80400</v>
      </c>
      <c r="B1672" s="3252">
        <v>80450</v>
      </c>
      <c r="C1672" s="3252">
        <v>15963</v>
      </c>
      <c r="D1672" s="3252">
        <v>11819</v>
      </c>
      <c r="E1672" s="3252">
        <v>16143</v>
      </c>
      <c r="F1672" s="3252">
        <v>14519</v>
      </c>
      <c r="G1672" s="1698"/>
    </row>
    <row r="1673" spans="1:7" ht="15.75">
      <c r="A1673" s="3252">
        <v>80450</v>
      </c>
      <c r="B1673" s="3252">
        <v>80500</v>
      </c>
      <c r="C1673" s="3252">
        <v>15975</v>
      </c>
      <c r="D1673" s="3252">
        <v>11831</v>
      </c>
      <c r="E1673" s="3252">
        <v>16157</v>
      </c>
      <c r="F1673" s="3252">
        <v>14531</v>
      </c>
      <c r="G1673" s="1698"/>
    </row>
    <row r="1674" spans="1:7" ht="15.75">
      <c r="A1674" s="3252">
        <v>80500</v>
      </c>
      <c r="B1674" s="3252">
        <v>80550</v>
      </c>
      <c r="C1674" s="3252">
        <v>15988</v>
      </c>
      <c r="D1674" s="3252">
        <v>11844</v>
      </c>
      <c r="E1674" s="3252">
        <v>16171</v>
      </c>
      <c r="F1674" s="3252">
        <v>14544</v>
      </c>
      <c r="G1674" s="1698"/>
    </row>
    <row r="1675" spans="1:7" ht="15.75">
      <c r="A1675" s="3252">
        <v>80550</v>
      </c>
      <c r="B1675" s="3252">
        <v>80600</v>
      </c>
      <c r="C1675" s="3252">
        <v>16000</v>
      </c>
      <c r="D1675" s="3252">
        <v>11856</v>
      </c>
      <c r="E1675" s="3252">
        <v>16185</v>
      </c>
      <c r="F1675" s="3252">
        <v>14556</v>
      </c>
      <c r="G1675" s="1698"/>
    </row>
    <row r="1676" spans="1:7" ht="15.75">
      <c r="A1676" s="3252">
        <v>80600</v>
      </c>
      <c r="B1676" s="3252">
        <v>80650</v>
      </c>
      <c r="C1676" s="3252">
        <v>16013</v>
      </c>
      <c r="D1676" s="3252">
        <v>11869</v>
      </c>
      <c r="E1676" s="3252">
        <v>16199</v>
      </c>
      <c r="F1676" s="3252">
        <v>14569</v>
      </c>
      <c r="G1676" s="1698"/>
    </row>
    <row r="1677" spans="1:7" ht="15.75">
      <c r="A1677" s="3252">
        <v>80650</v>
      </c>
      <c r="B1677" s="3252">
        <v>80700</v>
      </c>
      <c r="C1677" s="3252">
        <v>16025</v>
      </c>
      <c r="D1677" s="3252">
        <v>11881</v>
      </c>
      <c r="E1677" s="3252">
        <v>16213</v>
      </c>
      <c r="F1677" s="3252">
        <v>14581</v>
      </c>
      <c r="G1677" s="1698"/>
    </row>
    <row r="1678" spans="1:7" ht="15.75">
      <c r="A1678" s="3252">
        <v>80700</v>
      </c>
      <c r="B1678" s="3252">
        <v>80750</v>
      </c>
      <c r="C1678" s="3252">
        <v>16038</v>
      </c>
      <c r="D1678" s="3252">
        <v>11894</v>
      </c>
      <c r="E1678" s="3252">
        <v>16227</v>
      </c>
      <c r="F1678" s="3252">
        <v>14594</v>
      </c>
      <c r="G1678" s="1698"/>
    </row>
    <row r="1679" spans="1:7" ht="15.75">
      <c r="A1679" s="3252">
        <v>80750</v>
      </c>
      <c r="B1679" s="3252">
        <v>80800</v>
      </c>
      <c r="C1679" s="3252">
        <v>16050</v>
      </c>
      <c r="D1679" s="3252">
        <v>11906</v>
      </c>
      <c r="E1679" s="3252">
        <v>16241</v>
      </c>
      <c r="F1679" s="3252">
        <v>14606</v>
      </c>
      <c r="G1679" s="1698"/>
    </row>
    <row r="1680" spans="1:7" ht="15.75">
      <c r="A1680" s="3252">
        <v>80800</v>
      </c>
      <c r="B1680" s="3252">
        <v>80850</v>
      </c>
      <c r="C1680" s="3252">
        <v>16063</v>
      </c>
      <c r="D1680" s="3252">
        <v>11919</v>
      </c>
      <c r="E1680" s="3252">
        <v>16255</v>
      </c>
      <c r="F1680" s="3252">
        <v>14619</v>
      </c>
      <c r="G1680" s="1698"/>
    </row>
    <row r="1681" spans="1:7" ht="15.75">
      <c r="A1681" s="3252">
        <v>80850</v>
      </c>
      <c r="B1681" s="3252">
        <v>80900</v>
      </c>
      <c r="C1681" s="3252">
        <v>16075</v>
      </c>
      <c r="D1681" s="3252">
        <v>11931</v>
      </c>
      <c r="E1681" s="3252">
        <v>16269</v>
      </c>
      <c r="F1681" s="3252">
        <v>14631</v>
      </c>
      <c r="G1681" s="1698"/>
    </row>
    <row r="1682" spans="1:7" ht="15.75">
      <c r="A1682" s="3252">
        <v>80900</v>
      </c>
      <c r="B1682" s="3252">
        <v>80950</v>
      </c>
      <c r="C1682" s="3252">
        <v>16088</v>
      </c>
      <c r="D1682" s="3252">
        <v>11944</v>
      </c>
      <c r="E1682" s="3252">
        <v>16283</v>
      </c>
      <c r="F1682" s="3252">
        <v>14644</v>
      </c>
      <c r="G1682" s="1698"/>
    </row>
    <row r="1683" spans="1:7" ht="15.75">
      <c r="A1683" s="3252">
        <v>80950</v>
      </c>
      <c r="B1683" s="3252">
        <v>81000</v>
      </c>
      <c r="C1683" s="3252">
        <v>16100</v>
      </c>
      <c r="D1683" s="3252">
        <v>11956</v>
      </c>
      <c r="E1683" s="3252">
        <v>16297</v>
      </c>
      <c r="F1683" s="3252">
        <v>14656</v>
      </c>
      <c r="G1683" s="1698"/>
    </row>
    <row r="1684" spans="1:7" ht="15.75">
      <c r="A1684" s="3252">
        <v>81000</v>
      </c>
      <c r="B1684" s="3252">
        <v>81050</v>
      </c>
      <c r="C1684" s="3252">
        <v>16113</v>
      </c>
      <c r="D1684" s="3252">
        <v>11969</v>
      </c>
      <c r="E1684" s="3252">
        <v>16311</v>
      </c>
      <c r="F1684" s="3252">
        <v>14669</v>
      </c>
      <c r="G1684" s="1698"/>
    </row>
    <row r="1685" spans="1:7" ht="15.75">
      <c r="A1685" s="3252">
        <v>81050</v>
      </c>
      <c r="B1685" s="3252">
        <v>81100</v>
      </c>
      <c r="C1685" s="3252">
        <v>16125</v>
      </c>
      <c r="D1685" s="3252">
        <v>11981</v>
      </c>
      <c r="E1685" s="3252">
        <v>16325</v>
      </c>
      <c r="F1685" s="3252">
        <v>14681</v>
      </c>
      <c r="G1685" s="1698"/>
    </row>
    <row r="1686" spans="1:7" ht="15.75">
      <c r="A1686" s="3252">
        <v>81100</v>
      </c>
      <c r="B1686" s="3252">
        <v>81150</v>
      </c>
      <c r="C1686" s="3252">
        <v>16138</v>
      </c>
      <c r="D1686" s="3252">
        <v>11994</v>
      </c>
      <c r="E1686" s="3252">
        <v>16339</v>
      </c>
      <c r="F1686" s="3252">
        <v>14694</v>
      </c>
      <c r="G1686" s="1698"/>
    </row>
    <row r="1687" spans="1:7" ht="15.75">
      <c r="A1687" s="3252">
        <v>81150</v>
      </c>
      <c r="B1687" s="3252">
        <v>81200</v>
      </c>
      <c r="C1687" s="3252">
        <v>16150</v>
      </c>
      <c r="D1687" s="3252">
        <v>12006</v>
      </c>
      <c r="E1687" s="3252">
        <v>16353</v>
      </c>
      <c r="F1687" s="3252">
        <v>14706</v>
      </c>
      <c r="G1687" s="1698"/>
    </row>
    <row r="1688" spans="1:7" ht="15.75">
      <c r="A1688" s="3252">
        <v>81200</v>
      </c>
      <c r="B1688" s="3252">
        <v>81250</v>
      </c>
      <c r="C1688" s="3252">
        <v>16163</v>
      </c>
      <c r="D1688" s="3252">
        <v>12019</v>
      </c>
      <c r="E1688" s="3252">
        <v>16367</v>
      </c>
      <c r="F1688" s="3252">
        <v>14719</v>
      </c>
      <c r="G1688" s="1698"/>
    </row>
    <row r="1689" spans="1:7" ht="15.75">
      <c r="A1689" s="3252">
        <v>81250</v>
      </c>
      <c r="B1689" s="3252">
        <v>81300</v>
      </c>
      <c r="C1689" s="3252">
        <v>16175</v>
      </c>
      <c r="D1689" s="3252">
        <v>12031</v>
      </c>
      <c r="E1689" s="3252">
        <v>16381</v>
      </c>
      <c r="F1689" s="3252">
        <v>14731</v>
      </c>
      <c r="G1689" s="1698"/>
    </row>
    <row r="1690" spans="1:7" ht="15.75">
      <c r="A1690" s="3252">
        <v>81300</v>
      </c>
      <c r="B1690" s="3252">
        <v>81350</v>
      </c>
      <c r="C1690" s="3252">
        <v>16188</v>
      </c>
      <c r="D1690" s="3252">
        <v>12044</v>
      </c>
      <c r="E1690" s="3252">
        <v>16395</v>
      </c>
      <c r="F1690" s="3252">
        <v>14744</v>
      </c>
      <c r="G1690" s="1698"/>
    </row>
    <row r="1691" spans="1:7" ht="15.75">
      <c r="A1691" s="3252">
        <v>81350</v>
      </c>
      <c r="B1691" s="3252">
        <v>81400</v>
      </c>
      <c r="C1691" s="3252">
        <v>16200</v>
      </c>
      <c r="D1691" s="3252">
        <v>12056</v>
      </c>
      <c r="E1691" s="3252">
        <v>16409</v>
      </c>
      <c r="F1691" s="3252">
        <v>14756</v>
      </c>
      <c r="G1691" s="1698"/>
    </row>
    <row r="1692" spans="1:7" ht="15.75">
      <c r="A1692" s="3252">
        <v>81400</v>
      </c>
      <c r="B1692" s="3252">
        <v>81450</v>
      </c>
      <c r="C1692" s="3252">
        <v>16213</v>
      </c>
      <c r="D1692" s="3252">
        <v>12069</v>
      </c>
      <c r="E1692" s="3252">
        <v>16423</v>
      </c>
      <c r="F1692" s="3252">
        <v>14769</v>
      </c>
      <c r="G1692" s="1698"/>
    </row>
    <row r="1693" spans="1:7" ht="15.75">
      <c r="A1693" s="3252">
        <v>81450</v>
      </c>
      <c r="B1693" s="3252">
        <v>81500</v>
      </c>
      <c r="C1693" s="3252">
        <v>16225</v>
      </c>
      <c r="D1693" s="3252">
        <v>12081</v>
      </c>
      <c r="E1693" s="3252">
        <v>16437</v>
      </c>
      <c r="F1693" s="3252">
        <v>14781</v>
      </c>
      <c r="G1693" s="1698"/>
    </row>
    <row r="1694" spans="1:7" ht="15.75">
      <c r="A1694" s="3252">
        <v>81500</v>
      </c>
      <c r="B1694" s="3252">
        <v>81550</v>
      </c>
      <c r="C1694" s="3252">
        <v>16238</v>
      </c>
      <c r="D1694" s="3252">
        <v>12094</v>
      </c>
      <c r="E1694" s="3252">
        <v>16451</v>
      </c>
      <c r="F1694" s="3252">
        <v>14794</v>
      </c>
      <c r="G1694" s="1698"/>
    </row>
    <row r="1695" spans="1:7" ht="15.75">
      <c r="A1695" s="3252">
        <v>81550</v>
      </c>
      <c r="B1695" s="3252">
        <v>81600</v>
      </c>
      <c r="C1695" s="3252">
        <v>16250</v>
      </c>
      <c r="D1695" s="3252">
        <v>12106</v>
      </c>
      <c r="E1695" s="3252">
        <v>16465</v>
      </c>
      <c r="F1695" s="3252">
        <v>14806</v>
      </c>
      <c r="G1695" s="1698"/>
    </row>
    <row r="1696" spans="1:7" ht="15.75">
      <c r="A1696" s="3252">
        <v>81600</v>
      </c>
      <c r="B1696" s="3252">
        <v>81650</v>
      </c>
      <c r="C1696" s="3252">
        <v>16263</v>
      </c>
      <c r="D1696" s="3252">
        <v>12119</v>
      </c>
      <c r="E1696" s="3252">
        <v>16479</v>
      </c>
      <c r="F1696" s="3252">
        <v>14819</v>
      </c>
      <c r="G1696" s="1698"/>
    </row>
    <row r="1697" spans="1:7" ht="15.75">
      <c r="A1697" s="3252">
        <v>81650</v>
      </c>
      <c r="B1697" s="3252">
        <v>81700</v>
      </c>
      <c r="C1697" s="3252">
        <v>16275</v>
      </c>
      <c r="D1697" s="3252">
        <v>12131</v>
      </c>
      <c r="E1697" s="3252">
        <v>16493</v>
      </c>
      <c r="F1697" s="3252">
        <v>14831</v>
      </c>
      <c r="G1697" s="1698"/>
    </row>
    <row r="1698" spans="1:7" ht="15.75">
      <c r="A1698" s="3252">
        <v>81700</v>
      </c>
      <c r="B1698" s="3252">
        <v>81750</v>
      </c>
      <c r="C1698" s="3252">
        <v>16288</v>
      </c>
      <c r="D1698" s="3252">
        <v>12144</v>
      </c>
      <c r="E1698" s="3252">
        <v>16507</v>
      </c>
      <c r="F1698" s="3252">
        <v>14844</v>
      </c>
      <c r="G1698" s="1698"/>
    </row>
    <row r="1699" spans="1:7" ht="15.75">
      <c r="A1699" s="3252">
        <v>81750</v>
      </c>
      <c r="B1699" s="3252">
        <v>81800</v>
      </c>
      <c r="C1699" s="3252">
        <v>16300</v>
      </c>
      <c r="D1699" s="3252">
        <v>12156</v>
      </c>
      <c r="E1699" s="3252">
        <v>16521</v>
      </c>
      <c r="F1699" s="3252">
        <v>14856</v>
      </c>
      <c r="G1699" s="1698"/>
    </row>
    <row r="1700" spans="1:7" ht="15.75">
      <c r="A1700" s="3252">
        <v>81800</v>
      </c>
      <c r="B1700" s="3252">
        <v>81850</v>
      </c>
      <c r="C1700" s="3252">
        <v>16313</v>
      </c>
      <c r="D1700" s="3252">
        <v>12169</v>
      </c>
      <c r="E1700" s="3252">
        <v>16535</v>
      </c>
      <c r="F1700" s="3252">
        <v>14869</v>
      </c>
      <c r="G1700" s="1698"/>
    </row>
    <row r="1701" spans="1:7" ht="15.75">
      <c r="A1701" s="3252">
        <v>81850</v>
      </c>
      <c r="B1701" s="3252">
        <v>81900</v>
      </c>
      <c r="C1701" s="3252">
        <v>16325</v>
      </c>
      <c r="D1701" s="3252">
        <v>12181</v>
      </c>
      <c r="E1701" s="3252">
        <v>16549</v>
      </c>
      <c r="F1701" s="3252">
        <v>14881</v>
      </c>
      <c r="G1701" s="1698"/>
    </row>
    <row r="1702" spans="1:7" ht="15.75">
      <c r="A1702" s="3252">
        <v>81900</v>
      </c>
      <c r="B1702" s="3252">
        <v>81950</v>
      </c>
      <c r="C1702" s="3252">
        <v>16338</v>
      </c>
      <c r="D1702" s="3252">
        <v>12194</v>
      </c>
      <c r="E1702" s="3252">
        <v>16563</v>
      </c>
      <c r="F1702" s="3252">
        <v>14894</v>
      </c>
      <c r="G1702" s="1698"/>
    </row>
    <row r="1703" spans="1:7" ht="15.75">
      <c r="A1703" s="3252">
        <v>81950</v>
      </c>
      <c r="B1703" s="3252">
        <v>82000</v>
      </c>
      <c r="C1703" s="3252">
        <v>16350</v>
      </c>
      <c r="D1703" s="3252">
        <v>12206</v>
      </c>
      <c r="E1703" s="3252">
        <v>16577</v>
      </c>
      <c r="F1703" s="3252">
        <v>14906</v>
      </c>
      <c r="G1703" s="1698"/>
    </row>
    <row r="1704" spans="1:7" ht="15.75">
      <c r="A1704" s="3252">
        <v>82000</v>
      </c>
      <c r="B1704" s="3252">
        <v>82050</v>
      </c>
      <c r="C1704" s="3252">
        <v>16363</v>
      </c>
      <c r="D1704" s="3252">
        <v>12219</v>
      </c>
      <c r="E1704" s="3252">
        <v>16591</v>
      </c>
      <c r="F1704" s="3252">
        <v>14919</v>
      </c>
      <c r="G1704" s="1698"/>
    </row>
    <row r="1705" spans="1:7" ht="15.75">
      <c r="A1705" s="3252">
        <v>82050</v>
      </c>
      <c r="B1705" s="3252">
        <v>82100</v>
      </c>
      <c r="C1705" s="3252">
        <v>16375</v>
      </c>
      <c r="D1705" s="3252">
        <v>12231</v>
      </c>
      <c r="E1705" s="3252">
        <v>16605</v>
      </c>
      <c r="F1705" s="3252">
        <v>14931</v>
      </c>
      <c r="G1705" s="1698"/>
    </row>
    <row r="1706" spans="1:7" ht="15.75">
      <c r="A1706" s="3252">
        <v>82100</v>
      </c>
      <c r="B1706" s="3252">
        <v>82150</v>
      </c>
      <c r="C1706" s="3252">
        <v>16388</v>
      </c>
      <c r="D1706" s="3252">
        <v>12244</v>
      </c>
      <c r="E1706" s="3252">
        <v>16619</v>
      </c>
      <c r="F1706" s="3252">
        <v>14944</v>
      </c>
      <c r="G1706" s="1698"/>
    </row>
    <row r="1707" spans="1:7" ht="15.75">
      <c r="A1707" s="3252">
        <v>82150</v>
      </c>
      <c r="B1707" s="3252">
        <v>82200</v>
      </c>
      <c r="C1707" s="3252">
        <v>16400</v>
      </c>
      <c r="D1707" s="3252">
        <v>12256</v>
      </c>
      <c r="E1707" s="3252">
        <v>16633</v>
      </c>
      <c r="F1707" s="3252">
        <v>14956</v>
      </c>
      <c r="G1707" s="1698"/>
    </row>
    <row r="1708" spans="1:7" ht="15.75">
      <c r="A1708" s="3252">
        <v>82200</v>
      </c>
      <c r="B1708" s="3252">
        <v>82250</v>
      </c>
      <c r="C1708" s="3252">
        <v>16413</v>
      </c>
      <c r="D1708" s="3252">
        <v>12269</v>
      </c>
      <c r="E1708" s="3252">
        <v>16647</v>
      </c>
      <c r="F1708" s="3252">
        <v>14969</v>
      </c>
      <c r="G1708" s="1698"/>
    </row>
    <row r="1709" spans="1:7" ht="15.75">
      <c r="A1709" s="3252">
        <v>82250</v>
      </c>
      <c r="B1709" s="3252">
        <v>82300</v>
      </c>
      <c r="C1709" s="3252">
        <v>16425</v>
      </c>
      <c r="D1709" s="3252">
        <v>12281</v>
      </c>
      <c r="E1709" s="3252">
        <v>16661</v>
      </c>
      <c r="F1709" s="3252">
        <v>14981</v>
      </c>
      <c r="G1709" s="1698"/>
    </row>
    <row r="1710" spans="1:7" ht="15.75">
      <c r="A1710" s="3252">
        <v>82300</v>
      </c>
      <c r="B1710" s="3252">
        <v>82350</v>
      </c>
      <c r="C1710" s="3252">
        <v>16438</v>
      </c>
      <c r="D1710" s="3252">
        <v>12294</v>
      </c>
      <c r="E1710" s="3252">
        <v>16675</v>
      </c>
      <c r="F1710" s="3252">
        <v>14994</v>
      </c>
      <c r="G1710" s="1698"/>
    </row>
    <row r="1711" spans="1:7" ht="15.75">
      <c r="A1711" s="3252">
        <v>82350</v>
      </c>
      <c r="B1711" s="3252">
        <v>82400</v>
      </c>
      <c r="C1711" s="3252">
        <v>16450</v>
      </c>
      <c r="D1711" s="3252">
        <v>12306</v>
      </c>
      <c r="E1711" s="3252">
        <v>16689</v>
      </c>
      <c r="F1711" s="3252">
        <v>15006</v>
      </c>
      <c r="G1711" s="1698"/>
    </row>
    <row r="1712" spans="1:7" ht="15.75">
      <c r="A1712" s="3252">
        <v>82400</v>
      </c>
      <c r="B1712" s="3252">
        <v>82450</v>
      </c>
      <c r="C1712" s="3252">
        <v>16463</v>
      </c>
      <c r="D1712" s="3252">
        <v>12319</v>
      </c>
      <c r="E1712" s="3252">
        <v>16703</v>
      </c>
      <c r="F1712" s="3252">
        <v>15019</v>
      </c>
      <c r="G1712" s="1698"/>
    </row>
    <row r="1713" spans="1:7" ht="15.75">
      <c r="A1713" s="3252">
        <v>82450</v>
      </c>
      <c r="B1713" s="3252">
        <v>82500</v>
      </c>
      <c r="C1713" s="3252">
        <v>16475</v>
      </c>
      <c r="D1713" s="3252">
        <v>12331</v>
      </c>
      <c r="E1713" s="3252">
        <v>16717</v>
      </c>
      <c r="F1713" s="3252">
        <v>15031</v>
      </c>
      <c r="G1713" s="1698"/>
    </row>
    <row r="1714" spans="1:7" ht="15.75">
      <c r="A1714" s="3252">
        <v>82500</v>
      </c>
      <c r="B1714" s="3252">
        <v>82550</v>
      </c>
      <c r="C1714" s="3252">
        <v>16488</v>
      </c>
      <c r="D1714" s="3252">
        <v>12344</v>
      </c>
      <c r="E1714" s="3252">
        <v>16731</v>
      </c>
      <c r="F1714" s="3252">
        <v>15044</v>
      </c>
      <c r="G1714" s="1698"/>
    </row>
    <row r="1715" spans="1:7" ht="15.75">
      <c r="A1715" s="3252">
        <v>82550</v>
      </c>
      <c r="B1715" s="3252">
        <v>82600</v>
      </c>
      <c r="C1715" s="3252">
        <v>16500</v>
      </c>
      <c r="D1715" s="3252">
        <v>12356</v>
      </c>
      <c r="E1715" s="3252">
        <v>16745</v>
      </c>
      <c r="F1715" s="3252">
        <v>15056</v>
      </c>
      <c r="G1715" s="1698"/>
    </row>
    <row r="1716" spans="1:7" ht="15.75">
      <c r="A1716" s="3252">
        <v>82600</v>
      </c>
      <c r="B1716" s="3252">
        <v>82650</v>
      </c>
      <c r="C1716" s="3252">
        <v>16513</v>
      </c>
      <c r="D1716" s="3252">
        <v>12369</v>
      </c>
      <c r="E1716" s="3252">
        <v>16759</v>
      </c>
      <c r="F1716" s="3252">
        <v>15069</v>
      </c>
      <c r="G1716" s="1698"/>
    </row>
    <row r="1717" spans="1:7" ht="15.75">
      <c r="A1717" s="3252">
        <v>82650</v>
      </c>
      <c r="B1717" s="3252">
        <v>82700</v>
      </c>
      <c r="C1717" s="3252">
        <v>16525</v>
      </c>
      <c r="D1717" s="3252">
        <v>12381</v>
      </c>
      <c r="E1717" s="3252">
        <v>16773</v>
      </c>
      <c r="F1717" s="3252">
        <v>15081</v>
      </c>
      <c r="G1717" s="1698"/>
    </row>
    <row r="1718" spans="1:7" ht="15.75">
      <c r="A1718" s="3252">
        <v>82700</v>
      </c>
      <c r="B1718" s="3252">
        <v>82750</v>
      </c>
      <c r="C1718" s="3252">
        <v>16538</v>
      </c>
      <c r="D1718" s="3252">
        <v>12394</v>
      </c>
      <c r="E1718" s="3252">
        <v>16787</v>
      </c>
      <c r="F1718" s="3252">
        <v>15094</v>
      </c>
      <c r="G1718" s="1698"/>
    </row>
    <row r="1719" spans="1:7" ht="15.75">
      <c r="A1719" s="3252">
        <v>82750</v>
      </c>
      <c r="B1719" s="3252">
        <v>82800</v>
      </c>
      <c r="C1719" s="3252">
        <v>16550</v>
      </c>
      <c r="D1719" s="3252">
        <v>12406</v>
      </c>
      <c r="E1719" s="3252">
        <v>16801</v>
      </c>
      <c r="F1719" s="3252">
        <v>15106</v>
      </c>
      <c r="G1719" s="1698"/>
    </row>
    <row r="1720" spans="1:7" ht="15.75">
      <c r="A1720" s="3252">
        <v>82800</v>
      </c>
      <c r="B1720" s="3252">
        <v>82850</v>
      </c>
      <c r="C1720" s="3252">
        <v>16563</v>
      </c>
      <c r="D1720" s="3252">
        <v>12419</v>
      </c>
      <c r="E1720" s="3252">
        <v>16815</v>
      </c>
      <c r="F1720" s="3252">
        <v>15119</v>
      </c>
      <c r="G1720" s="1698"/>
    </row>
    <row r="1721" spans="1:7" ht="15.75">
      <c r="A1721" s="3252">
        <v>82850</v>
      </c>
      <c r="B1721" s="3252">
        <v>82900</v>
      </c>
      <c r="C1721" s="3252">
        <v>16575</v>
      </c>
      <c r="D1721" s="3252">
        <v>12431</v>
      </c>
      <c r="E1721" s="3252">
        <v>16829</v>
      </c>
      <c r="F1721" s="3252">
        <v>15131</v>
      </c>
      <c r="G1721" s="1698"/>
    </row>
    <row r="1722" spans="1:7" ht="15.75">
      <c r="A1722" s="3252">
        <v>82900</v>
      </c>
      <c r="B1722" s="3252">
        <v>82950</v>
      </c>
      <c r="C1722" s="3252">
        <v>16588</v>
      </c>
      <c r="D1722" s="3252">
        <v>12444</v>
      </c>
      <c r="E1722" s="3252">
        <v>16843</v>
      </c>
      <c r="F1722" s="3252">
        <v>15144</v>
      </c>
      <c r="G1722" s="1698"/>
    </row>
    <row r="1723" spans="1:7" ht="15.75">
      <c r="A1723" s="3252">
        <v>82950</v>
      </c>
      <c r="B1723" s="3252">
        <v>83000</v>
      </c>
      <c r="C1723" s="3252">
        <v>16600</v>
      </c>
      <c r="D1723" s="3252">
        <v>12456</v>
      </c>
      <c r="E1723" s="3252">
        <v>16857</v>
      </c>
      <c r="F1723" s="3252">
        <v>15156</v>
      </c>
      <c r="G1723" s="1698"/>
    </row>
    <row r="1724" spans="1:7" ht="15.75">
      <c r="A1724" s="3252">
        <v>83000</v>
      </c>
      <c r="B1724" s="3252">
        <v>83050</v>
      </c>
      <c r="C1724" s="3252">
        <v>16613</v>
      </c>
      <c r="D1724" s="3252">
        <v>12469</v>
      </c>
      <c r="E1724" s="3252">
        <v>16871</v>
      </c>
      <c r="F1724" s="3252">
        <v>15169</v>
      </c>
      <c r="G1724" s="1698"/>
    </row>
    <row r="1725" spans="1:7" ht="15.75">
      <c r="A1725" s="3252">
        <v>83050</v>
      </c>
      <c r="B1725" s="3252">
        <v>83100</v>
      </c>
      <c r="C1725" s="3252">
        <v>16625</v>
      </c>
      <c r="D1725" s="3252">
        <v>12481</v>
      </c>
      <c r="E1725" s="3252">
        <v>16885</v>
      </c>
      <c r="F1725" s="3252">
        <v>15181</v>
      </c>
      <c r="G1725" s="1698"/>
    </row>
    <row r="1726" spans="1:7" ht="15.75">
      <c r="A1726" s="3252">
        <v>83100</v>
      </c>
      <c r="B1726" s="3252">
        <v>83150</v>
      </c>
      <c r="C1726" s="3252">
        <v>16638</v>
      </c>
      <c r="D1726" s="3252">
        <v>12494</v>
      </c>
      <c r="E1726" s="3252">
        <v>16899</v>
      </c>
      <c r="F1726" s="3252">
        <v>15194</v>
      </c>
      <c r="G1726" s="1698"/>
    </row>
    <row r="1727" spans="1:7" ht="15.75">
      <c r="A1727" s="3252">
        <v>83150</v>
      </c>
      <c r="B1727" s="3252">
        <v>83200</v>
      </c>
      <c r="C1727" s="3252">
        <v>16650</v>
      </c>
      <c r="D1727" s="3252">
        <v>12506</v>
      </c>
      <c r="E1727" s="3252">
        <v>16913</v>
      </c>
      <c r="F1727" s="3252">
        <v>15206</v>
      </c>
      <c r="G1727" s="1698"/>
    </row>
    <row r="1728" spans="1:7" ht="15.75">
      <c r="A1728" s="3252">
        <v>83200</v>
      </c>
      <c r="B1728" s="3252">
        <v>83250</v>
      </c>
      <c r="C1728" s="3252">
        <v>16663</v>
      </c>
      <c r="D1728" s="3252">
        <v>12519</v>
      </c>
      <c r="E1728" s="3252">
        <v>16927</v>
      </c>
      <c r="F1728" s="3252">
        <v>15219</v>
      </c>
      <c r="G1728" s="1698"/>
    </row>
    <row r="1729" spans="1:7" ht="15.75">
      <c r="A1729" s="3252">
        <v>83250</v>
      </c>
      <c r="B1729" s="3252">
        <v>83300</v>
      </c>
      <c r="C1729" s="3252">
        <v>16675</v>
      </c>
      <c r="D1729" s="3252">
        <v>12531</v>
      </c>
      <c r="E1729" s="3252">
        <v>16941</v>
      </c>
      <c r="F1729" s="3252">
        <v>15231</v>
      </c>
      <c r="G1729" s="1698"/>
    </row>
    <row r="1730" spans="1:7" ht="15.75">
      <c r="A1730" s="3252">
        <v>83300</v>
      </c>
      <c r="B1730" s="3252">
        <v>83350</v>
      </c>
      <c r="C1730" s="3252">
        <v>16688</v>
      </c>
      <c r="D1730" s="3252">
        <v>12544</v>
      </c>
      <c r="E1730" s="3252">
        <v>16955</v>
      </c>
      <c r="F1730" s="3252">
        <v>15244</v>
      </c>
      <c r="G1730" s="1698"/>
    </row>
    <row r="1731" spans="1:7" ht="15.75">
      <c r="A1731" s="3252">
        <v>83350</v>
      </c>
      <c r="B1731" s="3252">
        <v>83400</v>
      </c>
      <c r="C1731" s="3252">
        <v>16700</v>
      </c>
      <c r="D1731" s="3252">
        <v>12556</v>
      </c>
      <c r="E1731" s="3252">
        <v>16969</v>
      </c>
      <c r="F1731" s="3252">
        <v>15256</v>
      </c>
      <c r="G1731" s="1698"/>
    </row>
    <row r="1732" spans="1:7" ht="15.75">
      <c r="A1732" s="3252">
        <v>83400</v>
      </c>
      <c r="B1732" s="3252">
        <v>83450</v>
      </c>
      <c r="C1732" s="3252">
        <v>16713</v>
      </c>
      <c r="D1732" s="3252">
        <v>12569</v>
      </c>
      <c r="E1732" s="3252">
        <v>16983</v>
      </c>
      <c r="F1732" s="3252">
        <v>15269</v>
      </c>
      <c r="G1732" s="1698"/>
    </row>
    <row r="1733" spans="1:7" ht="15.75">
      <c r="A1733" s="3252">
        <v>83450</v>
      </c>
      <c r="B1733" s="3252">
        <v>83500</v>
      </c>
      <c r="C1733" s="3252">
        <v>16725</v>
      </c>
      <c r="D1733" s="3252">
        <v>12581</v>
      </c>
      <c r="E1733" s="3252">
        <v>16997</v>
      </c>
      <c r="F1733" s="3252">
        <v>15281</v>
      </c>
      <c r="G1733" s="1698"/>
    </row>
    <row r="1734" spans="1:7" ht="15.75">
      <c r="A1734" s="3252">
        <v>83500</v>
      </c>
      <c r="B1734" s="3252">
        <v>83550</v>
      </c>
      <c r="C1734" s="3252">
        <v>16738</v>
      </c>
      <c r="D1734" s="3252">
        <v>12594</v>
      </c>
      <c r="E1734" s="3252">
        <v>17011</v>
      </c>
      <c r="F1734" s="3252">
        <v>15294</v>
      </c>
      <c r="G1734" s="1698"/>
    </row>
    <row r="1735" spans="1:7" ht="15.75">
      <c r="A1735" s="3252">
        <v>83550</v>
      </c>
      <c r="B1735" s="3252">
        <v>83600</v>
      </c>
      <c r="C1735" s="3252">
        <v>16750</v>
      </c>
      <c r="D1735" s="3252">
        <v>12606</v>
      </c>
      <c r="E1735" s="3252">
        <v>17025</v>
      </c>
      <c r="F1735" s="3252">
        <v>15306</v>
      </c>
      <c r="G1735" s="1698"/>
    </row>
    <row r="1736" spans="1:7" ht="15.75">
      <c r="A1736" s="3252">
        <v>83600</v>
      </c>
      <c r="B1736" s="3252">
        <v>83650</v>
      </c>
      <c r="C1736" s="3252">
        <v>16763</v>
      </c>
      <c r="D1736" s="3252">
        <v>12619</v>
      </c>
      <c r="E1736" s="3252">
        <v>17039</v>
      </c>
      <c r="F1736" s="3252">
        <v>15319</v>
      </c>
      <c r="G1736" s="1698"/>
    </row>
    <row r="1737" spans="1:7" ht="15.75">
      <c r="A1737" s="3252">
        <v>83650</v>
      </c>
      <c r="B1737" s="3252">
        <v>83700</v>
      </c>
      <c r="C1737" s="3252">
        <v>16775</v>
      </c>
      <c r="D1737" s="3252">
        <v>12631</v>
      </c>
      <c r="E1737" s="3252">
        <v>17053</v>
      </c>
      <c r="F1737" s="3252">
        <v>15331</v>
      </c>
      <c r="G1737" s="1698"/>
    </row>
    <row r="1738" spans="1:7" ht="15.75">
      <c r="A1738" s="3252">
        <v>83700</v>
      </c>
      <c r="B1738" s="3252">
        <v>83750</v>
      </c>
      <c r="C1738" s="3252">
        <v>16788</v>
      </c>
      <c r="D1738" s="3252">
        <v>12644</v>
      </c>
      <c r="E1738" s="3252">
        <v>17067</v>
      </c>
      <c r="F1738" s="3252">
        <v>15344</v>
      </c>
      <c r="G1738" s="1698"/>
    </row>
    <row r="1739" spans="1:7" ht="15.75">
      <c r="A1739" s="3252">
        <v>83750</v>
      </c>
      <c r="B1739" s="3252">
        <v>83800</v>
      </c>
      <c r="C1739" s="3252">
        <v>16800</v>
      </c>
      <c r="D1739" s="3252">
        <v>12656</v>
      </c>
      <c r="E1739" s="3252">
        <v>17081</v>
      </c>
      <c r="F1739" s="3252">
        <v>15356</v>
      </c>
      <c r="G1739" s="1698"/>
    </row>
    <row r="1740" spans="1:7" ht="15.75">
      <c r="A1740" s="3252">
        <v>83800</v>
      </c>
      <c r="B1740" s="3252">
        <v>83850</v>
      </c>
      <c r="C1740" s="3252">
        <v>16813</v>
      </c>
      <c r="D1740" s="3252">
        <v>12669</v>
      </c>
      <c r="E1740" s="3252">
        <v>17095</v>
      </c>
      <c r="F1740" s="3252">
        <v>15369</v>
      </c>
      <c r="G1740" s="1698"/>
    </row>
    <row r="1741" spans="1:7" ht="15.75">
      <c r="A1741" s="3252">
        <v>83850</v>
      </c>
      <c r="B1741" s="3252">
        <v>83900</v>
      </c>
      <c r="C1741" s="3252">
        <v>16825</v>
      </c>
      <c r="D1741" s="3252">
        <v>12681</v>
      </c>
      <c r="E1741" s="3252">
        <v>17109</v>
      </c>
      <c r="F1741" s="3252">
        <v>15381</v>
      </c>
      <c r="G1741" s="1698"/>
    </row>
    <row r="1742" spans="1:7" ht="15.75">
      <c r="A1742" s="3252">
        <v>83900</v>
      </c>
      <c r="B1742" s="3252">
        <v>83950</v>
      </c>
      <c r="C1742" s="3252">
        <v>16838</v>
      </c>
      <c r="D1742" s="3252">
        <v>12694</v>
      </c>
      <c r="E1742" s="3252">
        <v>17123</v>
      </c>
      <c r="F1742" s="3252">
        <v>15394</v>
      </c>
      <c r="G1742" s="1698"/>
    </row>
    <row r="1743" spans="1:7" ht="15.75">
      <c r="A1743" s="3252">
        <v>83950</v>
      </c>
      <c r="B1743" s="3252">
        <v>84000</v>
      </c>
      <c r="C1743" s="3252">
        <v>16850</v>
      </c>
      <c r="D1743" s="3252">
        <v>12706</v>
      </c>
      <c r="E1743" s="3252">
        <v>17137</v>
      </c>
      <c r="F1743" s="3252">
        <v>15406</v>
      </c>
      <c r="G1743" s="1698"/>
    </row>
    <row r="1744" spans="1:7" ht="15.75">
      <c r="A1744" s="3252">
        <v>84000</v>
      </c>
      <c r="B1744" s="3252">
        <v>84050</v>
      </c>
      <c r="C1744" s="3252">
        <v>16863</v>
      </c>
      <c r="D1744" s="3252">
        <v>12719</v>
      </c>
      <c r="E1744" s="3252">
        <v>17151</v>
      </c>
      <c r="F1744" s="3252">
        <v>15419</v>
      </c>
      <c r="G1744" s="1698"/>
    </row>
    <row r="1745" spans="1:7" ht="15.75">
      <c r="A1745" s="3252">
        <v>84050</v>
      </c>
      <c r="B1745" s="3252">
        <v>84100</v>
      </c>
      <c r="C1745" s="3252">
        <v>16875</v>
      </c>
      <c r="D1745" s="3252">
        <v>12731</v>
      </c>
      <c r="E1745" s="3252">
        <v>17165</v>
      </c>
      <c r="F1745" s="3252">
        <v>15431</v>
      </c>
      <c r="G1745" s="1698"/>
    </row>
    <row r="1746" spans="1:7" ht="15.75">
      <c r="A1746" s="3252">
        <v>84100</v>
      </c>
      <c r="B1746" s="3252">
        <v>84150</v>
      </c>
      <c r="C1746" s="3252">
        <v>16888</v>
      </c>
      <c r="D1746" s="3252">
        <v>12744</v>
      </c>
      <c r="E1746" s="3252">
        <v>17179</v>
      </c>
      <c r="F1746" s="3252">
        <v>15444</v>
      </c>
      <c r="G1746" s="1698"/>
    </row>
    <row r="1747" spans="1:7" ht="15.75">
      <c r="A1747" s="3252">
        <v>84150</v>
      </c>
      <c r="B1747" s="3252">
        <v>84200</v>
      </c>
      <c r="C1747" s="3252">
        <v>16900</v>
      </c>
      <c r="D1747" s="3252">
        <v>12756</v>
      </c>
      <c r="E1747" s="3252">
        <v>17193</v>
      </c>
      <c r="F1747" s="3252">
        <v>15456</v>
      </c>
      <c r="G1747" s="1698"/>
    </row>
    <row r="1748" spans="1:7" ht="15.75">
      <c r="A1748" s="3252">
        <v>84200</v>
      </c>
      <c r="B1748" s="3252">
        <v>84250</v>
      </c>
      <c r="C1748" s="3252">
        <v>16913</v>
      </c>
      <c r="D1748" s="3252">
        <v>12769</v>
      </c>
      <c r="E1748" s="3252">
        <v>17207</v>
      </c>
      <c r="F1748" s="3252">
        <v>15469</v>
      </c>
      <c r="G1748" s="1698"/>
    </row>
    <row r="1749" spans="1:7" ht="15.75">
      <c r="A1749" s="3252">
        <v>84250</v>
      </c>
      <c r="B1749" s="3252">
        <v>84300</v>
      </c>
      <c r="C1749" s="3252">
        <v>16925</v>
      </c>
      <c r="D1749" s="3252">
        <v>12781</v>
      </c>
      <c r="E1749" s="3252">
        <v>17221</v>
      </c>
      <c r="F1749" s="3252">
        <v>15481</v>
      </c>
      <c r="G1749" s="1698"/>
    </row>
    <row r="1750" spans="1:7" ht="15.75">
      <c r="A1750" s="3252">
        <v>84300</v>
      </c>
      <c r="B1750" s="3252">
        <v>84350</v>
      </c>
      <c r="C1750" s="3252">
        <v>16938</v>
      </c>
      <c r="D1750" s="3252">
        <v>12794</v>
      </c>
      <c r="E1750" s="3252">
        <v>17235</v>
      </c>
      <c r="F1750" s="3252">
        <v>15494</v>
      </c>
      <c r="G1750" s="1698"/>
    </row>
    <row r="1751" spans="1:7" ht="15.75">
      <c r="A1751" s="3252">
        <v>84350</v>
      </c>
      <c r="B1751" s="3252">
        <v>84400</v>
      </c>
      <c r="C1751" s="3252">
        <v>16950</v>
      </c>
      <c r="D1751" s="3252">
        <v>12806</v>
      </c>
      <c r="E1751" s="3252">
        <v>17249</v>
      </c>
      <c r="F1751" s="3252">
        <v>15506</v>
      </c>
      <c r="G1751" s="1698"/>
    </row>
    <row r="1752" spans="1:7" ht="15.75">
      <c r="A1752" s="3252">
        <v>84400</v>
      </c>
      <c r="B1752" s="3252">
        <v>84450</v>
      </c>
      <c r="C1752" s="3252">
        <v>16963</v>
      </c>
      <c r="D1752" s="3252">
        <v>12819</v>
      </c>
      <c r="E1752" s="3252">
        <v>17263</v>
      </c>
      <c r="F1752" s="3252">
        <v>15519</v>
      </c>
      <c r="G1752" s="1698"/>
    </row>
    <row r="1753" spans="1:7" ht="15.75">
      <c r="A1753" s="3252">
        <v>84450</v>
      </c>
      <c r="B1753" s="3252">
        <v>84500</v>
      </c>
      <c r="C1753" s="3252">
        <v>16975</v>
      </c>
      <c r="D1753" s="3252">
        <v>12831</v>
      </c>
      <c r="E1753" s="3252">
        <v>17277</v>
      </c>
      <c r="F1753" s="3252">
        <v>15531</v>
      </c>
      <c r="G1753" s="1698"/>
    </row>
    <row r="1754" spans="1:7" ht="15.75">
      <c r="A1754" s="3252">
        <v>84500</v>
      </c>
      <c r="B1754" s="3252">
        <v>84550</v>
      </c>
      <c r="C1754" s="3252">
        <v>16988</v>
      </c>
      <c r="D1754" s="3252">
        <v>12844</v>
      </c>
      <c r="E1754" s="3252">
        <v>17291</v>
      </c>
      <c r="F1754" s="3252">
        <v>15544</v>
      </c>
      <c r="G1754" s="1698"/>
    </row>
    <row r="1755" spans="1:7" ht="15.75">
      <c r="A1755" s="3252">
        <v>84550</v>
      </c>
      <c r="B1755" s="3252">
        <v>84600</v>
      </c>
      <c r="C1755" s="3252">
        <v>17000</v>
      </c>
      <c r="D1755" s="3252">
        <v>12856</v>
      </c>
      <c r="E1755" s="3252">
        <v>17305</v>
      </c>
      <c r="F1755" s="3252">
        <v>15556</v>
      </c>
      <c r="G1755" s="1698"/>
    </row>
    <row r="1756" spans="1:7" ht="15.75">
      <c r="A1756" s="3252">
        <v>84600</v>
      </c>
      <c r="B1756" s="3252">
        <v>84650</v>
      </c>
      <c r="C1756" s="3252">
        <v>17013</v>
      </c>
      <c r="D1756" s="3252">
        <v>12869</v>
      </c>
      <c r="E1756" s="3252">
        <v>17319</v>
      </c>
      <c r="F1756" s="3252">
        <v>15569</v>
      </c>
      <c r="G1756" s="1698"/>
    </row>
    <row r="1757" spans="1:7" ht="15.75">
      <c r="A1757" s="3252">
        <v>84650</v>
      </c>
      <c r="B1757" s="3252">
        <v>84700</v>
      </c>
      <c r="C1757" s="3252">
        <v>17025</v>
      </c>
      <c r="D1757" s="3252">
        <v>12881</v>
      </c>
      <c r="E1757" s="3252">
        <v>17333</v>
      </c>
      <c r="F1757" s="3252">
        <v>15581</v>
      </c>
      <c r="G1757" s="1698"/>
    </row>
    <row r="1758" spans="1:7" ht="15.75">
      <c r="A1758" s="3252">
        <v>84700</v>
      </c>
      <c r="B1758" s="3252">
        <v>84750</v>
      </c>
      <c r="C1758" s="3252">
        <v>17038</v>
      </c>
      <c r="D1758" s="3252">
        <v>12894</v>
      </c>
      <c r="E1758" s="3252">
        <v>17347</v>
      </c>
      <c r="F1758" s="3252">
        <v>15594</v>
      </c>
      <c r="G1758" s="1698"/>
    </row>
    <row r="1759" spans="1:7" ht="15.75">
      <c r="A1759" s="3252">
        <v>84750</v>
      </c>
      <c r="B1759" s="3252">
        <v>84800</v>
      </c>
      <c r="C1759" s="3252">
        <v>17050</v>
      </c>
      <c r="D1759" s="3252">
        <v>12906</v>
      </c>
      <c r="E1759" s="3252">
        <v>17361</v>
      </c>
      <c r="F1759" s="3252">
        <v>15606</v>
      </c>
      <c r="G1759" s="1698"/>
    </row>
    <row r="1760" spans="1:7" ht="15.75">
      <c r="A1760" s="3252">
        <v>84800</v>
      </c>
      <c r="B1760" s="3252">
        <v>84850</v>
      </c>
      <c r="C1760" s="3252">
        <v>17063</v>
      </c>
      <c r="D1760" s="3252">
        <v>12919</v>
      </c>
      <c r="E1760" s="3252">
        <v>17375</v>
      </c>
      <c r="F1760" s="3252">
        <v>15619</v>
      </c>
      <c r="G1760" s="1698"/>
    </row>
    <row r="1761" spans="1:7" ht="15.75">
      <c r="A1761" s="3252">
        <v>84850</v>
      </c>
      <c r="B1761" s="3252">
        <v>84900</v>
      </c>
      <c r="C1761" s="3252">
        <v>17075</v>
      </c>
      <c r="D1761" s="3252">
        <v>12931</v>
      </c>
      <c r="E1761" s="3252">
        <v>17389</v>
      </c>
      <c r="F1761" s="3252">
        <v>15631</v>
      </c>
      <c r="G1761" s="1698"/>
    </row>
    <row r="1762" spans="1:7" ht="15.75">
      <c r="A1762" s="3252">
        <v>84900</v>
      </c>
      <c r="B1762" s="3252">
        <v>84950</v>
      </c>
      <c r="C1762" s="3252">
        <v>17088</v>
      </c>
      <c r="D1762" s="3252">
        <v>12944</v>
      </c>
      <c r="E1762" s="3252">
        <v>17403</v>
      </c>
      <c r="F1762" s="3252">
        <v>15644</v>
      </c>
      <c r="G1762" s="1698"/>
    </row>
    <row r="1763" spans="1:7" ht="15.75">
      <c r="A1763" s="3252">
        <v>84950</v>
      </c>
      <c r="B1763" s="3252">
        <v>85000</v>
      </c>
      <c r="C1763" s="3252">
        <v>17100</v>
      </c>
      <c r="D1763" s="3252">
        <v>12956</v>
      </c>
      <c r="E1763" s="3252">
        <v>17417</v>
      </c>
      <c r="F1763" s="3252">
        <v>15656</v>
      </c>
      <c r="G1763" s="1698"/>
    </row>
    <row r="1764" spans="1:7" ht="15.75">
      <c r="A1764" s="3252">
        <v>85000</v>
      </c>
      <c r="B1764" s="3252">
        <v>85050</v>
      </c>
      <c r="C1764" s="3252">
        <v>17113</v>
      </c>
      <c r="D1764" s="3252">
        <v>12969</v>
      </c>
      <c r="E1764" s="3252">
        <v>17431</v>
      </c>
      <c r="F1764" s="3252">
        <v>15669</v>
      </c>
      <c r="G1764" s="1698"/>
    </row>
    <row r="1765" spans="1:7" ht="15.75">
      <c r="A1765" s="3252">
        <v>85050</v>
      </c>
      <c r="B1765" s="3252">
        <v>85100</v>
      </c>
      <c r="C1765" s="3252">
        <v>17125</v>
      </c>
      <c r="D1765" s="3252">
        <v>12981</v>
      </c>
      <c r="E1765" s="3252">
        <v>17445</v>
      </c>
      <c r="F1765" s="3252">
        <v>15681</v>
      </c>
      <c r="G1765" s="1698"/>
    </row>
    <row r="1766" spans="1:7" ht="15.75">
      <c r="A1766" s="3252">
        <v>85100</v>
      </c>
      <c r="B1766" s="3252">
        <v>85150</v>
      </c>
      <c r="C1766" s="3252">
        <v>17138</v>
      </c>
      <c r="D1766" s="3252">
        <v>12994</v>
      </c>
      <c r="E1766" s="3252">
        <v>17459</v>
      </c>
      <c r="F1766" s="3252">
        <v>15694</v>
      </c>
      <c r="G1766" s="1698"/>
    </row>
    <row r="1767" spans="1:7" ht="15.75">
      <c r="A1767" s="3252">
        <v>85150</v>
      </c>
      <c r="B1767" s="3252">
        <v>85200</v>
      </c>
      <c r="C1767" s="3252">
        <v>17150</v>
      </c>
      <c r="D1767" s="3252">
        <v>13006</v>
      </c>
      <c r="E1767" s="3252">
        <v>17473</v>
      </c>
      <c r="F1767" s="3252">
        <v>15706</v>
      </c>
      <c r="G1767" s="1698"/>
    </row>
    <row r="1768" spans="1:7" ht="15.75">
      <c r="A1768" s="3252">
        <v>85200</v>
      </c>
      <c r="B1768" s="3252">
        <v>85250</v>
      </c>
      <c r="C1768" s="3252">
        <v>17163</v>
      </c>
      <c r="D1768" s="3252">
        <v>13019</v>
      </c>
      <c r="E1768" s="3252">
        <v>17487</v>
      </c>
      <c r="F1768" s="3252">
        <v>15719</v>
      </c>
      <c r="G1768" s="1698"/>
    </row>
    <row r="1769" spans="1:7" ht="15.75">
      <c r="A1769" s="3252">
        <v>85250</v>
      </c>
      <c r="B1769" s="3252">
        <v>85300</v>
      </c>
      <c r="C1769" s="3252">
        <v>17175</v>
      </c>
      <c r="D1769" s="3252">
        <v>13031</v>
      </c>
      <c r="E1769" s="3252">
        <v>17501</v>
      </c>
      <c r="F1769" s="3252">
        <v>15731</v>
      </c>
      <c r="G1769" s="1698"/>
    </row>
    <row r="1770" spans="1:7" ht="15.75">
      <c r="A1770" s="3252">
        <v>85300</v>
      </c>
      <c r="B1770" s="3252">
        <v>85350</v>
      </c>
      <c r="C1770" s="3252">
        <v>17188</v>
      </c>
      <c r="D1770" s="3252">
        <v>13044</v>
      </c>
      <c r="E1770" s="3252">
        <v>17515</v>
      </c>
      <c r="F1770" s="3252">
        <v>15744</v>
      </c>
      <c r="G1770" s="1698"/>
    </row>
    <row r="1771" spans="1:7" ht="15.75">
      <c r="A1771" s="3252">
        <v>85350</v>
      </c>
      <c r="B1771" s="3252">
        <v>85400</v>
      </c>
      <c r="C1771" s="3252">
        <v>17200</v>
      </c>
      <c r="D1771" s="3252">
        <v>13056</v>
      </c>
      <c r="E1771" s="3252">
        <v>17529</v>
      </c>
      <c r="F1771" s="3252">
        <v>15756</v>
      </c>
      <c r="G1771" s="1698"/>
    </row>
    <row r="1772" spans="1:7" ht="15.75">
      <c r="A1772" s="3252">
        <v>85400</v>
      </c>
      <c r="B1772" s="3252">
        <v>85450</v>
      </c>
      <c r="C1772" s="3252">
        <v>17213</v>
      </c>
      <c r="D1772" s="3252">
        <v>13069</v>
      </c>
      <c r="E1772" s="3252">
        <v>17543</v>
      </c>
      <c r="F1772" s="3252">
        <v>15769</v>
      </c>
      <c r="G1772" s="1698"/>
    </row>
    <row r="1773" spans="1:7" ht="15.75">
      <c r="A1773" s="3252">
        <v>85450</v>
      </c>
      <c r="B1773" s="3252">
        <v>85500</v>
      </c>
      <c r="C1773" s="3252">
        <v>17225</v>
      </c>
      <c r="D1773" s="3252">
        <v>13081</v>
      </c>
      <c r="E1773" s="3252">
        <v>17557</v>
      </c>
      <c r="F1773" s="3252">
        <v>15781</v>
      </c>
      <c r="G1773" s="1698"/>
    </row>
    <row r="1774" spans="1:7" ht="15.75">
      <c r="A1774" s="3252">
        <v>85500</v>
      </c>
      <c r="B1774" s="3252">
        <v>85550</v>
      </c>
      <c r="C1774" s="3252">
        <v>17238</v>
      </c>
      <c r="D1774" s="3252">
        <v>13094</v>
      </c>
      <c r="E1774" s="3252">
        <v>17571</v>
      </c>
      <c r="F1774" s="3252">
        <v>15794</v>
      </c>
      <c r="G1774" s="1698"/>
    </row>
    <row r="1775" spans="1:7" ht="15.75">
      <c r="A1775" s="3252">
        <v>85550</v>
      </c>
      <c r="B1775" s="3252">
        <v>85600</v>
      </c>
      <c r="C1775" s="3252">
        <v>17250</v>
      </c>
      <c r="D1775" s="3252">
        <v>13106</v>
      </c>
      <c r="E1775" s="3252">
        <v>17585</v>
      </c>
      <c r="F1775" s="3252">
        <v>15806</v>
      </c>
      <c r="G1775" s="1698"/>
    </row>
    <row r="1776" spans="1:7" ht="15.75">
      <c r="A1776" s="3252">
        <v>85600</v>
      </c>
      <c r="B1776" s="3252">
        <v>85650</v>
      </c>
      <c r="C1776" s="3252">
        <v>17263</v>
      </c>
      <c r="D1776" s="3252">
        <v>13119</v>
      </c>
      <c r="E1776" s="3252">
        <v>17599</v>
      </c>
      <c r="F1776" s="3252">
        <v>15819</v>
      </c>
      <c r="G1776" s="1698"/>
    </row>
    <row r="1777" spans="1:7" ht="15.75">
      <c r="A1777" s="3252">
        <v>85650</v>
      </c>
      <c r="B1777" s="3252">
        <v>85700</v>
      </c>
      <c r="C1777" s="3252">
        <v>17275</v>
      </c>
      <c r="D1777" s="3252">
        <v>13131</v>
      </c>
      <c r="E1777" s="3252">
        <v>17613</v>
      </c>
      <c r="F1777" s="3252">
        <v>15831</v>
      </c>
      <c r="G1777" s="1698"/>
    </row>
    <row r="1778" spans="1:7" ht="15.75">
      <c r="A1778" s="3252">
        <v>85700</v>
      </c>
      <c r="B1778" s="3252">
        <v>85750</v>
      </c>
      <c r="C1778" s="3252">
        <v>17288</v>
      </c>
      <c r="D1778" s="3252">
        <v>13144</v>
      </c>
      <c r="E1778" s="3252">
        <v>17627</v>
      </c>
      <c r="F1778" s="3252">
        <v>15844</v>
      </c>
      <c r="G1778" s="1698"/>
    </row>
    <row r="1779" spans="1:7" ht="15.75">
      <c r="A1779" s="3252">
        <v>85750</v>
      </c>
      <c r="B1779" s="3252">
        <v>85800</v>
      </c>
      <c r="C1779" s="3252">
        <v>17300</v>
      </c>
      <c r="D1779" s="3252">
        <v>13156</v>
      </c>
      <c r="E1779" s="3252">
        <v>17641</v>
      </c>
      <c r="F1779" s="3252">
        <v>15856</v>
      </c>
      <c r="G1779" s="1698"/>
    </row>
    <row r="1780" spans="1:7" ht="15.75">
      <c r="A1780" s="3252">
        <v>85800</v>
      </c>
      <c r="B1780" s="3252">
        <v>85850</v>
      </c>
      <c r="C1780" s="3252">
        <v>17313</v>
      </c>
      <c r="D1780" s="3252">
        <v>13169</v>
      </c>
      <c r="E1780" s="3252">
        <v>17655</v>
      </c>
      <c r="F1780" s="3252">
        <v>15869</v>
      </c>
      <c r="G1780" s="1698"/>
    </row>
    <row r="1781" spans="1:7" ht="15.75">
      <c r="A1781" s="3252">
        <v>85850</v>
      </c>
      <c r="B1781" s="3252">
        <v>85900</v>
      </c>
      <c r="C1781" s="3252">
        <v>17325</v>
      </c>
      <c r="D1781" s="3252">
        <v>13181</v>
      </c>
      <c r="E1781" s="3252">
        <v>17669</v>
      </c>
      <c r="F1781" s="3252">
        <v>15881</v>
      </c>
      <c r="G1781" s="1698"/>
    </row>
    <row r="1782" spans="1:7" ht="15.75">
      <c r="A1782" s="3252">
        <v>85900</v>
      </c>
      <c r="B1782" s="3252">
        <v>85950</v>
      </c>
      <c r="C1782" s="3252">
        <v>17338</v>
      </c>
      <c r="D1782" s="3252">
        <v>13194</v>
      </c>
      <c r="E1782" s="3252">
        <v>17683</v>
      </c>
      <c r="F1782" s="3252">
        <v>15894</v>
      </c>
      <c r="G1782" s="1698"/>
    </row>
    <row r="1783" spans="1:7" ht="15.75">
      <c r="A1783" s="3252">
        <v>85950</v>
      </c>
      <c r="B1783" s="3252">
        <v>86000</v>
      </c>
      <c r="C1783" s="3252">
        <v>17350</v>
      </c>
      <c r="D1783" s="3252">
        <v>13206</v>
      </c>
      <c r="E1783" s="3252">
        <v>17697</v>
      </c>
      <c r="F1783" s="3252">
        <v>15906</v>
      </c>
      <c r="G1783" s="1698"/>
    </row>
    <row r="1784" spans="1:7" ht="15.75">
      <c r="A1784" s="3252">
        <v>86000</v>
      </c>
      <c r="B1784" s="3252">
        <v>86050</v>
      </c>
      <c r="C1784" s="3252">
        <v>17363</v>
      </c>
      <c r="D1784" s="3252">
        <v>13219</v>
      </c>
      <c r="E1784" s="3252">
        <v>17711</v>
      </c>
      <c r="F1784" s="3252">
        <v>15919</v>
      </c>
      <c r="G1784" s="1698"/>
    </row>
    <row r="1785" spans="1:7" ht="15.75">
      <c r="A1785" s="3252">
        <v>86050</v>
      </c>
      <c r="B1785" s="3252">
        <v>86100</v>
      </c>
      <c r="C1785" s="3252">
        <v>17375</v>
      </c>
      <c r="D1785" s="3252">
        <v>13231</v>
      </c>
      <c r="E1785" s="3252">
        <v>17725</v>
      </c>
      <c r="F1785" s="3252">
        <v>15931</v>
      </c>
      <c r="G1785" s="1698"/>
    </row>
    <row r="1786" spans="1:7" ht="15.75">
      <c r="A1786" s="3252">
        <v>86100</v>
      </c>
      <c r="B1786" s="3252">
        <v>86150</v>
      </c>
      <c r="C1786" s="3252">
        <v>17388</v>
      </c>
      <c r="D1786" s="3252">
        <v>13244</v>
      </c>
      <c r="E1786" s="3252">
        <v>17739</v>
      </c>
      <c r="F1786" s="3252">
        <v>15944</v>
      </c>
      <c r="G1786" s="1698"/>
    </row>
    <row r="1787" spans="1:7" ht="15.75">
      <c r="A1787" s="3252">
        <v>86150</v>
      </c>
      <c r="B1787" s="3252">
        <v>86200</v>
      </c>
      <c r="C1787" s="3252">
        <v>17400</v>
      </c>
      <c r="D1787" s="3252">
        <v>13256</v>
      </c>
      <c r="E1787" s="3252">
        <v>17753</v>
      </c>
      <c r="F1787" s="3252">
        <v>15956</v>
      </c>
      <c r="G1787" s="1698"/>
    </row>
    <row r="1788" spans="1:7" ht="15.75">
      <c r="A1788" s="3252">
        <v>86200</v>
      </c>
      <c r="B1788" s="3252">
        <v>86250</v>
      </c>
      <c r="C1788" s="3252">
        <v>17413</v>
      </c>
      <c r="D1788" s="3252">
        <v>13269</v>
      </c>
      <c r="E1788" s="3252">
        <v>17767</v>
      </c>
      <c r="F1788" s="3252">
        <v>15969</v>
      </c>
      <c r="G1788" s="1698"/>
    </row>
    <row r="1789" spans="1:7" ht="15.75">
      <c r="A1789" s="3252">
        <v>86250</v>
      </c>
      <c r="B1789" s="3252">
        <v>86300</v>
      </c>
      <c r="C1789" s="3252">
        <v>17425</v>
      </c>
      <c r="D1789" s="3252">
        <v>13281</v>
      </c>
      <c r="E1789" s="3252">
        <v>17781</v>
      </c>
      <c r="F1789" s="3252">
        <v>15981</v>
      </c>
      <c r="G1789" s="1698"/>
    </row>
    <row r="1790" spans="1:7" ht="15.75">
      <c r="A1790" s="3252">
        <v>86300</v>
      </c>
      <c r="B1790" s="3252">
        <v>86350</v>
      </c>
      <c r="C1790" s="3252">
        <v>17438</v>
      </c>
      <c r="D1790" s="3252">
        <v>13294</v>
      </c>
      <c r="E1790" s="3252">
        <v>17795</v>
      </c>
      <c r="F1790" s="3252">
        <v>15994</v>
      </c>
      <c r="G1790" s="1698"/>
    </row>
    <row r="1791" spans="1:7" ht="15.75">
      <c r="A1791" s="3252">
        <v>86350</v>
      </c>
      <c r="B1791" s="3252">
        <v>86400</v>
      </c>
      <c r="C1791" s="3252">
        <v>17450</v>
      </c>
      <c r="D1791" s="3252">
        <v>13306</v>
      </c>
      <c r="E1791" s="3252">
        <v>17809</v>
      </c>
      <c r="F1791" s="3252">
        <v>16006</v>
      </c>
      <c r="G1791" s="1698"/>
    </row>
    <row r="1792" spans="1:7" ht="15.75">
      <c r="A1792" s="3252">
        <v>86400</v>
      </c>
      <c r="B1792" s="3252">
        <v>86450</v>
      </c>
      <c r="C1792" s="3252">
        <v>17463</v>
      </c>
      <c r="D1792" s="3252">
        <v>13319</v>
      </c>
      <c r="E1792" s="3252">
        <v>17823</v>
      </c>
      <c r="F1792" s="3252">
        <v>16019</v>
      </c>
      <c r="G1792" s="1698"/>
    </row>
    <row r="1793" spans="1:7" ht="15.75">
      <c r="A1793" s="3252">
        <v>86450</v>
      </c>
      <c r="B1793" s="3252">
        <v>86500</v>
      </c>
      <c r="C1793" s="3252">
        <v>17475</v>
      </c>
      <c r="D1793" s="3252">
        <v>13331</v>
      </c>
      <c r="E1793" s="3252">
        <v>17837</v>
      </c>
      <c r="F1793" s="3252">
        <v>16031</v>
      </c>
      <c r="G1793" s="1698"/>
    </row>
    <row r="1794" spans="1:7" ht="15.75">
      <c r="A1794" s="3252">
        <v>86500</v>
      </c>
      <c r="B1794" s="3252">
        <v>86550</v>
      </c>
      <c r="C1794" s="3252">
        <v>17488</v>
      </c>
      <c r="D1794" s="3252">
        <v>13344</v>
      </c>
      <c r="E1794" s="3252">
        <v>17851</v>
      </c>
      <c r="F1794" s="3252">
        <v>16044</v>
      </c>
      <c r="G1794" s="1698"/>
    </row>
    <row r="1795" spans="1:7" ht="15.75">
      <c r="A1795" s="3252">
        <v>86550</v>
      </c>
      <c r="B1795" s="3252">
        <v>86600</v>
      </c>
      <c r="C1795" s="3252">
        <v>17500</v>
      </c>
      <c r="D1795" s="3252">
        <v>13356</v>
      </c>
      <c r="E1795" s="3252">
        <v>17865</v>
      </c>
      <c r="F1795" s="3252">
        <v>16056</v>
      </c>
      <c r="G1795" s="1698"/>
    </row>
    <row r="1796" spans="1:7" ht="15.75">
      <c r="A1796" s="3252">
        <v>86600</v>
      </c>
      <c r="B1796" s="3252">
        <v>86650</v>
      </c>
      <c r="C1796" s="3252">
        <v>17513</v>
      </c>
      <c r="D1796" s="3252">
        <v>13369</v>
      </c>
      <c r="E1796" s="3252">
        <v>17879</v>
      </c>
      <c r="F1796" s="3252">
        <v>16069</v>
      </c>
      <c r="G1796" s="1698"/>
    </row>
    <row r="1797" spans="1:7" ht="15.75">
      <c r="A1797" s="3252">
        <v>86650</v>
      </c>
      <c r="B1797" s="3252">
        <v>86700</v>
      </c>
      <c r="C1797" s="3252">
        <v>17525</v>
      </c>
      <c r="D1797" s="3252">
        <v>13381</v>
      </c>
      <c r="E1797" s="3252">
        <v>17893</v>
      </c>
      <c r="F1797" s="3252">
        <v>16081</v>
      </c>
      <c r="G1797" s="1698"/>
    </row>
    <row r="1798" spans="1:7" ht="15.75">
      <c r="A1798" s="3252">
        <v>86700</v>
      </c>
      <c r="B1798" s="3252">
        <v>86750</v>
      </c>
      <c r="C1798" s="3252">
        <v>17538</v>
      </c>
      <c r="D1798" s="3252">
        <v>13394</v>
      </c>
      <c r="E1798" s="3252">
        <v>17907</v>
      </c>
      <c r="F1798" s="3252">
        <v>16094</v>
      </c>
      <c r="G1798" s="1698"/>
    </row>
    <row r="1799" spans="1:7" ht="15.75">
      <c r="A1799" s="3252">
        <v>86750</v>
      </c>
      <c r="B1799" s="3252">
        <v>86800</v>
      </c>
      <c r="C1799" s="3252">
        <v>17550</v>
      </c>
      <c r="D1799" s="3252">
        <v>13406</v>
      </c>
      <c r="E1799" s="3252">
        <v>17921</v>
      </c>
      <c r="F1799" s="3252">
        <v>16106</v>
      </c>
      <c r="G1799" s="1698"/>
    </row>
    <row r="1800" spans="1:7" ht="15.75">
      <c r="A1800" s="3252">
        <v>86800</v>
      </c>
      <c r="B1800" s="3252">
        <v>86850</v>
      </c>
      <c r="C1800" s="3252">
        <v>17563</v>
      </c>
      <c r="D1800" s="3252">
        <v>13419</v>
      </c>
      <c r="E1800" s="3252">
        <v>17935</v>
      </c>
      <c r="F1800" s="3252">
        <v>16119</v>
      </c>
      <c r="G1800" s="1698"/>
    </row>
    <row r="1801" spans="1:7" ht="15.75">
      <c r="A1801" s="3252">
        <v>86850</v>
      </c>
      <c r="B1801" s="3252">
        <v>86900</v>
      </c>
      <c r="C1801" s="3252">
        <v>17575</v>
      </c>
      <c r="D1801" s="3252">
        <v>13431</v>
      </c>
      <c r="E1801" s="3252">
        <v>17949</v>
      </c>
      <c r="F1801" s="3252">
        <v>16131</v>
      </c>
      <c r="G1801" s="1698"/>
    </row>
    <row r="1802" spans="1:7" ht="15.75">
      <c r="A1802" s="3252">
        <v>86900</v>
      </c>
      <c r="B1802" s="3252">
        <v>86950</v>
      </c>
      <c r="C1802" s="3252">
        <v>17588</v>
      </c>
      <c r="D1802" s="3252">
        <v>13444</v>
      </c>
      <c r="E1802" s="3252">
        <v>17963</v>
      </c>
      <c r="F1802" s="3252">
        <v>16144</v>
      </c>
      <c r="G1802" s="1698"/>
    </row>
    <row r="1803" spans="1:7" ht="15.75">
      <c r="A1803" s="3252">
        <v>86950</v>
      </c>
      <c r="B1803" s="3252">
        <v>87000</v>
      </c>
      <c r="C1803" s="3252">
        <v>17600</v>
      </c>
      <c r="D1803" s="3252">
        <v>13456</v>
      </c>
      <c r="E1803" s="3252">
        <v>17977</v>
      </c>
      <c r="F1803" s="3252">
        <v>16156</v>
      </c>
      <c r="G1803" s="1698"/>
    </row>
    <row r="1804" spans="1:7" ht="15.75">
      <c r="A1804" s="3252">
        <v>87000</v>
      </c>
      <c r="B1804" s="3252">
        <v>87050</v>
      </c>
      <c r="C1804" s="3252">
        <v>17613</v>
      </c>
      <c r="D1804" s="3252">
        <v>13469</v>
      </c>
      <c r="E1804" s="3252">
        <v>17991</v>
      </c>
      <c r="F1804" s="3252">
        <v>16169</v>
      </c>
      <c r="G1804" s="1698"/>
    </row>
    <row r="1805" spans="1:7" ht="15.75">
      <c r="A1805" s="3252">
        <v>87050</v>
      </c>
      <c r="B1805" s="3252">
        <v>87100</v>
      </c>
      <c r="C1805" s="3252">
        <v>17625</v>
      </c>
      <c r="D1805" s="3252">
        <v>13481</v>
      </c>
      <c r="E1805" s="3252">
        <v>18005</v>
      </c>
      <c r="F1805" s="3252">
        <v>16181</v>
      </c>
      <c r="G1805" s="1698"/>
    </row>
    <row r="1806" spans="1:7" ht="15.75">
      <c r="A1806" s="3252">
        <v>87100</v>
      </c>
      <c r="B1806" s="3252">
        <v>87150</v>
      </c>
      <c r="C1806" s="3252">
        <v>17638</v>
      </c>
      <c r="D1806" s="3252">
        <v>13494</v>
      </c>
      <c r="E1806" s="3252">
        <v>18019</v>
      </c>
      <c r="F1806" s="3252">
        <v>16194</v>
      </c>
      <c r="G1806" s="1698"/>
    </row>
    <row r="1807" spans="1:7" ht="15.75">
      <c r="A1807" s="3252">
        <v>87150</v>
      </c>
      <c r="B1807" s="3252">
        <v>87200</v>
      </c>
      <c r="C1807" s="3252">
        <v>17650</v>
      </c>
      <c r="D1807" s="3252">
        <v>13506</v>
      </c>
      <c r="E1807" s="3252">
        <v>18033</v>
      </c>
      <c r="F1807" s="3252">
        <v>16206</v>
      </c>
      <c r="G1807" s="1698"/>
    </row>
    <row r="1808" spans="1:7" ht="15.75">
      <c r="A1808" s="3252">
        <v>87200</v>
      </c>
      <c r="B1808" s="3252">
        <v>87250</v>
      </c>
      <c r="C1808" s="3252">
        <v>17663</v>
      </c>
      <c r="D1808" s="3252">
        <v>13519</v>
      </c>
      <c r="E1808" s="3252">
        <v>18047</v>
      </c>
      <c r="F1808" s="3252">
        <v>16219</v>
      </c>
      <c r="G1808" s="1698"/>
    </row>
    <row r="1809" spans="1:7" ht="15.75">
      <c r="A1809" s="3252">
        <v>87250</v>
      </c>
      <c r="B1809" s="3252">
        <v>87300</v>
      </c>
      <c r="C1809" s="3252">
        <v>17675</v>
      </c>
      <c r="D1809" s="3252">
        <v>13531</v>
      </c>
      <c r="E1809" s="3252">
        <v>18061</v>
      </c>
      <c r="F1809" s="3252">
        <v>16231</v>
      </c>
      <c r="G1809" s="1698"/>
    </row>
    <row r="1810" spans="1:7" ht="15.75">
      <c r="A1810" s="3252">
        <v>87300</v>
      </c>
      <c r="B1810" s="3252">
        <v>87350</v>
      </c>
      <c r="C1810" s="3252">
        <v>17688</v>
      </c>
      <c r="D1810" s="3252">
        <v>13544</v>
      </c>
      <c r="E1810" s="3252">
        <v>18075</v>
      </c>
      <c r="F1810" s="3252">
        <v>16244</v>
      </c>
      <c r="G1810" s="1698"/>
    </row>
    <row r="1811" spans="1:7" ht="15.75">
      <c r="A1811" s="3252">
        <v>87350</v>
      </c>
      <c r="B1811" s="3252">
        <v>87400</v>
      </c>
      <c r="C1811" s="3252">
        <v>17700</v>
      </c>
      <c r="D1811" s="3252">
        <v>13556</v>
      </c>
      <c r="E1811" s="3252">
        <v>18089</v>
      </c>
      <c r="F1811" s="3252">
        <v>16256</v>
      </c>
      <c r="G1811" s="1698"/>
    </row>
    <row r="1812" spans="1:7" ht="15.75">
      <c r="A1812" s="3252">
        <v>87400</v>
      </c>
      <c r="B1812" s="3252">
        <v>87450</v>
      </c>
      <c r="C1812" s="3252">
        <v>17713</v>
      </c>
      <c r="D1812" s="3252">
        <v>13569</v>
      </c>
      <c r="E1812" s="3252">
        <v>18103</v>
      </c>
      <c r="F1812" s="3252">
        <v>16269</v>
      </c>
      <c r="G1812" s="1698"/>
    </row>
    <row r="1813" spans="1:7" ht="15.75">
      <c r="A1813" s="3252">
        <v>87450</v>
      </c>
      <c r="B1813" s="3252">
        <v>87500</v>
      </c>
      <c r="C1813" s="3252">
        <v>17725</v>
      </c>
      <c r="D1813" s="3252">
        <v>13581</v>
      </c>
      <c r="E1813" s="3252">
        <v>18117</v>
      </c>
      <c r="F1813" s="3252">
        <v>16281</v>
      </c>
      <c r="G1813" s="1698"/>
    </row>
    <row r="1814" spans="1:7" ht="15.75">
      <c r="A1814" s="3252">
        <v>87500</v>
      </c>
      <c r="B1814" s="3252">
        <v>87550</v>
      </c>
      <c r="C1814" s="3252">
        <v>17738</v>
      </c>
      <c r="D1814" s="3252">
        <v>13594</v>
      </c>
      <c r="E1814" s="3252">
        <v>18131</v>
      </c>
      <c r="F1814" s="3252">
        <v>16294</v>
      </c>
      <c r="G1814" s="1698"/>
    </row>
    <row r="1815" spans="1:7" ht="15.75">
      <c r="A1815" s="3252">
        <v>87550</v>
      </c>
      <c r="B1815" s="3252">
        <v>87600</v>
      </c>
      <c r="C1815" s="3252">
        <v>17750</v>
      </c>
      <c r="D1815" s="3252">
        <v>13606</v>
      </c>
      <c r="E1815" s="3252">
        <v>18145</v>
      </c>
      <c r="F1815" s="3252">
        <v>16306</v>
      </c>
      <c r="G1815" s="1698"/>
    </row>
    <row r="1816" spans="1:7" ht="15.75">
      <c r="A1816" s="3252">
        <v>87600</v>
      </c>
      <c r="B1816" s="3252">
        <v>87650</v>
      </c>
      <c r="C1816" s="3252">
        <v>17763</v>
      </c>
      <c r="D1816" s="3252">
        <v>13619</v>
      </c>
      <c r="E1816" s="3252">
        <v>18159</v>
      </c>
      <c r="F1816" s="3252">
        <v>16319</v>
      </c>
      <c r="G1816" s="1698"/>
    </row>
    <row r="1817" spans="1:7" ht="15.75">
      <c r="A1817" s="3252">
        <v>87650</v>
      </c>
      <c r="B1817" s="3252">
        <v>87700</v>
      </c>
      <c r="C1817" s="3252">
        <v>17775</v>
      </c>
      <c r="D1817" s="3252">
        <v>13631</v>
      </c>
      <c r="E1817" s="3252">
        <v>18173</v>
      </c>
      <c r="F1817" s="3252">
        <v>16331</v>
      </c>
      <c r="G1817" s="1698"/>
    </row>
    <row r="1818" spans="1:7" ht="15.75">
      <c r="A1818" s="3252">
        <v>87700</v>
      </c>
      <c r="B1818" s="3252">
        <v>87750</v>
      </c>
      <c r="C1818" s="3252">
        <v>17788</v>
      </c>
      <c r="D1818" s="3252">
        <v>13644</v>
      </c>
      <c r="E1818" s="3252">
        <v>18187</v>
      </c>
      <c r="F1818" s="3252">
        <v>16344</v>
      </c>
      <c r="G1818" s="1698"/>
    </row>
    <row r="1819" spans="1:7" ht="15.75">
      <c r="A1819" s="3252">
        <v>87750</v>
      </c>
      <c r="B1819" s="3252">
        <v>87800</v>
      </c>
      <c r="C1819" s="3252">
        <v>17800</v>
      </c>
      <c r="D1819" s="3252">
        <v>13656</v>
      </c>
      <c r="E1819" s="3252">
        <v>18201</v>
      </c>
      <c r="F1819" s="3252">
        <v>16356</v>
      </c>
      <c r="G1819" s="1698"/>
    </row>
    <row r="1820" spans="1:7" ht="15.75">
      <c r="A1820" s="3252">
        <v>87800</v>
      </c>
      <c r="B1820" s="3252">
        <v>87850</v>
      </c>
      <c r="C1820" s="3252">
        <v>17813</v>
      </c>
      <c r="D1820" s="3252">
        <v>13669</v>
      </c>
      <c r="E1820" s="3252">
        <v>18215</v>
      </c>
      <c r="F1820" s="3252">
        <v>16369</v>
      </c>
      <c r="G1820" s="1698"/>
    </row>
    <row r="1821" spans="1:7" ht="15.75">
      <c r="A1821" s="3252">
        <v>87850</v>
      </c>
      <c r="B1821" s="3252">
        <v>87900</v>
      </c>
      <c r="C1821" s="3252">
        <v>17825</v>
      </c>
      <c r="D1821" s="3252">
        <v>13681</v>
      </c>
      <c r="E1821" s="3252">
        <v>18229</v>
      </c>
      <c r="F1821" s="3252">
        <v>16381</v>
      </c>
      <c r="G1821" s="1698"/>
    </row>
    <row r="1822" spans="1:7" ht="15.75">
      <c r="A1822" s="3252">
        <v>87900</v>
      </c>
      <c r="B1822" s="3252">
        <v>87950</v>
      </c>
      <c r="C1822" s="3252">
        <v>17838</v>
      </c>
      <c r="D1822" s="3252">
        <v>13694</v>
      </c>
      <c r="E1822" s="3252">
        <v>18243</v>
      </c>
      <c r="F1822" s="3252">
        <v>16394</v>
      </c>
      <c r="G1822" s="1698"/>
    </row>
    <row r="1823" spans="1:7" ht="15.75">
      <c r="A1823" s="3252">
        <v>87950</v>
      </c>
      <c r="B1823" s="3252">
        <v>88000</v>
      </c>
      <c r="C1823" s="3252">
        <v>17850</v>
      </c>
      <c r="D1823" s="3252">
        <v>13706</v>
      </c>
      <c r="E1823" s="3252">
        <v>18257</v>
      </c>
      <c r="F1823" s="3252">
        <v>16406</v>
      </c>
      <c r="G1823" s="1698"/>
    </row>
    <row r="1824" spans="1:7" ht="15.75">
      <c r="A1824" s="3252">
        <v>88000</v>
      </c>
      <c r="B1824" s="3252">
        <v>88050</v>
      </c>
      <c r="C1824" s="3252">
        <v>17863</v>
      </c>
      <c r="D1824" s="3252">
        <v>13719</v>
      </c>
      <c r="E1824" s="3252">
        <v>18271</v>
      </c>
      <c r="F1824" s="3252">
        <v>16419</v>
      </c>
      <c r="G1824" s="1698"/>
    </row>
    <row r="1825" spans="1:7" ht="15.75">
      <c r="A1825" s="3252">
        <v>88050</v>
      </c>
      <c r="B1825" s="3252">
        <v>88100</v>
      </c>
      <c r="C1825" s="3252">
        <v>17875</v>
      </c>
      <c r="D1825" s="3252">
        <v>13731</v>
      </c>
      <c r="E1825" s="3252">
        <v>18285</v>
      </c>
      <c r="F1825" s="3252">
        <v>16431</v>
      </c>
      <c r="G1825" s="1698"/>
    </row>
    <row r="1826" spans="1:7" ht="15.75">
      <c r="A1826" s="3252">
        <v>88100</v>
      </c>
      <c r="B1826" s="3252">
        <v>88150</v>
      </c>
      <c r="C1826" s="3252">
        <v>17888</v>
      </c>
      <c r="D1826" s="3252">
        <v>13744</v>
      </c>
      <c r="E1826" s="3252">
        <v>18299</v>
      </c>
      <c r="F1826" s="3252">
        <v>16444</v>
      </c>
      <c r="G1826" s="1698"/>
    </row>
    <row r="1827" spans="1:7" ht="15.75">
      <c r="A1827" s="3252">
        <v>88150</v>
      </c>
      <c r="B1827" s="3252">
        <v>88200</v>
      </c>
      <c r="C1827" s="3252">
        <v>17900</v>
      </c>
      <c r="D1827" s="3252">
        <v>13756</v>
      </c>
      <c r="E1827" s="3252">
        <v>18313</v>
      </c>
      <c r="F1827" s="3252">
        <v>16456</v>
      </c>
      <c r="G1827" s="1698"/>
    </row>
    <row r="1828" spans="1:7" ht="15.75">
      <c r="A1828" s="3252">
        <v>88200</v>
      </c>
      <c r="B1828" s="3252">
        <v>88250</v>
      </c>
      <c r="C1828" s="3252">
        <v>17913</v>
      </c>
      <c r="D1828" s="3252">
        <v>13769</v>
      </c>
      <c r="E1828" s="3252">
        <v>18327</v>
      </c>
      <c r="F1828" s="3252">
        <v>16469</v>
      </c>
      <c r="G1828" s="1698"/>
    </row>
    <row r="1829" spans="1:7" ht="15.75">
      <c r="A1829" s="3252">
        <v>88250</v>
      </c>
      <c r="B1829" s="3252">
        <v>88300</v>
      </c>
      <c r="C1829" s="3252">
        <v>17925</v>
      </c>
      <c r="D1829" s="3252">
        <v>13781</v>
      </c>
      <c r="E1829" s="3252">
        <v>18341</v>
      </c>
      <c r="F1829" s="3252">
        <v>16481</v>
      </c>
      <c r="G1829" s="1698"/>
    </row>
    <row r="1830" spans="1:7" ht="15.75">
      <c r="A1830" s="3252">
        <v>88300</v>
      </c>
      <c r="B1830" s="3252">
        <v>88350</v>
      </c>
      <c r="C1830" s="3252">
        <v>17938</v>
      </c>
      <c r="D1830" s="3252">
        <v>13794</v>
      </c>
      <c r="E1830" s="3252">
        <v>18355</v>
      </c>
      <c r="F1830" s="3252">
        <v>16494</v>
      </c>
      <c r="G1830" s="1698"/>
    </row>
    <row r="1831" spans="1:7" ht="15.75">
      <c r="A1831" s="3252">
        <v>88350</v>
      </c>
      <c r="B1831" s="3252">
        <v>88400</v>
      </c>
      <c r="C1831" s="3252">
        <v>17950</v>
      </c>
      <c r="D1831" s="3252">
        <v>13806</v>
      </c>
      <c r="E1831" s="3252">
        <v>18369</v>
      </c>
      <c r="F1831" s="3252">
        <v>16506</v>
      </c>
      <c r="G1831" s="1698"/>
    </row>
    <row r="1832" spans="1:7" ht="15.75">
      <c r="A1832" s="3252">
        <v>88400</v>
      </c>
      <c r="B1832" s="3252">
        <v>88450</v>
      </c>
      <c r="C1832" s="3252">
        <v>17963</v>
      </c>
      <c r="D1832" s="3252">
        <v>13819</v>
      </c>
      <c r="E1832" s="3252">
        <v>18383</v>
      </c>
      <c r="F1832" s="3252">
        <v>16519</v>
      </c>
      <c r="G1832" s="1698"/>
    </row>
    <row r="1833" spans="1:7" ht="15.75">
      <c r="A1833" s="3252">
        <v>88450</v>
      </c>
      <c r="B1833" s="3252">
        <v>88500</v>
      </c>
      <c r="C1833" s="3252">
        <v>17975</v>
      </c>
      <c r="D1833" s="3252">
        <v>13831</v>
      </c>
      <c r="E1833" s="3252">
        <v>18397</v>
      </c>
      <c r="F1833" s="3252">
        <v>16531</v>
      </c>
      <c r="G1833" s="1698"/>
    </row>
    <row r="1834" spans="1:7" ht="15.75">
      <c r="A1834" s="3252">
        <v>88500</v>
      </c>
      <c r="B1834" s="3252">
        <v>88550</v>
      </c>
      <c r="C1834" s="3252">
        <v>17988</v>
      </c>
      <c r="D1834" s="3252">
        <v>13844</v>
      </c>
      <c r="E1834" s="3252">
        <v>18411</v>
      </c>
      <c r="F1834" s="3252">
        <v>16544</v>
      </c>
      <c r="G1834" s="1698"/>
    </row>
    <row r="1835" spans="1:7" ht="15.75">
      <c r="A1835" s="3252">
        <v>88550</v>
      </c>
      <c r="B1835" s="3252">
        <v>88600</v>
      </c>
      <c r="C1835" s="3252">
        <v>18000</v>
      </c>
      <c r="D1835" s="3252">
        <v>13856</v>
      </c>
      <c r="E1835" s="3252">
        <v>18425</v>
      </c>
      <c r="F1835" s="3252">
        <v>16556</v>
      </c>
      <c r="G1835" s="1698"/>
    </row>
    <row r="1836" spans="1:7" ht="15.75">
      <c r="A1836" s="3252">
        <v>88600</v>
      </c>
      <c r="B1836" s="3252">
        <v>88650</v>
      </c>
      <c r="C1836" s="3252">
        <v>18013</v>
      </c>
      <c r="D1836" s="3252">
        <v>13869</v>
      </c>
      <c r="E1836" s="3252">
        <v>18439</v>
      </c>
      <c r="F1836" s="3252">
        <v>16569</v>
      </c>
      <c r="G1836" s="1698"/>
    </row>
    <row r="1837" spans="1:7" ht="15.75">
      <c r="A1837" s="3252">
        <v>88650</v>
      </c>
      <c r="B1837" s="3252">
        <v>88700</v>
      </c>
      <c r="C1837" s="3252">
        <v>18025</v>
      </c>
      <c r="D1837" s="3252">
        <v>13881</v>
      </c>
      <c r="E1837" s="3252">
        <v>18453</v>
      </c>
      <c r="F1837" s="3252">
        <v>16581</v>
      </c>
      <c r="G1837" s="1698"/>
    </row>
    <row r="1838" spans="1:7" ht="15.75">
      <c r="A1838" s="3252">
        <v>88700</v>
      </c>
      <c r="B1838" s="3252">
        <v>88750</v>
      </c>
      <c r="C1838" s="3252">
        <v>18038</v>
      </c>
      <c r="D1838" s="3252">
        <v>13894</v>
      </c>
      <c r="E1838" s="3252">
        <v>18467</v>
      </c>
      <c r="F1838" s="3252">
        <v>16594</v>
      </c>
      <c r="G1838" s="1698"/>
    </row>
    <row r="1839" spans="1:7" ht="15.75">
      <c r="A1839" s="3252">
        <v>88750</v>
      </c>
      <c r="B1839" s="3252">
        <v>88800</v>
      </c>
      <c r="C1839" s="3252">
        <v>18050</v>
      </c>
      <c r="D1839" s="3252">
        <v>13906</v>
      </c>
      <c r="E1839" s="3252">
        <v>18481</v>
      </c>
      <c r="F1839" s="3252">
        <v>16606</v>
      </c>
      <c r="G1839" s="1698"/>
    </row>
    <row r="1840" spans="1:7" ht="15.75">
      <c r="A1840" s="3252">
        <v>88800</v>
      </c>
      <c r="B1840" s="3252">
        <v>88850</v>
      </c>
      <c r="C1840" s="3252">
        <v>18063</v>
      </c>
      <c r="D1840" s="3252">
        <v>13919</v>
      </c>
      <c r="E1840" s="3252">
        <v>18495</v>
      </c>
      <c r="F1840" s="3252">
        <v>16619</v>
      </c>
      <c r="G1840" s="1698"/>
    </row>
    <row r="1841" spans="1:7" ht="15.75">
      <c r="A1841" s="3252">
        <v>88850</v>
      </c>
      <c r="B1841" s="3252">
        <v>88900</v>
      </c>
      <c r="C1841" s="3252">
        <v>18075</v>
      </c>
      <c r="D1841" s="3252">
        <v>13931</v>
      </c>
      <c r="E1841" s="3252">
        <v>18509</v>
      </c>
      <c r="F1841" s="3252">
        <v>16631</v>
      </c>
      <c r="G1841" s="1698"/>
    </row>
    <row r="1842" spans="1:7" ht="15.75">
      <c r="A1842" s="3252">
        <v>88900</v>
      </c>
      <c r="B1842" s="3252">
        <v>88950</v>
      </c>
      <c r="C1842" s="3252">
        <v>18088</v>
      </c>
      <c r="D1842" s="3252">
        <v>13944</v>
      </c>
      <c r="E1842" s="3252">
        <v>18523</v>
      </c>
      <c r="F1842" s="3252">
        <v>16644</v>
      </c>
      <c r="G1842" s="1698"/>
    </row>
    <row r="1843" spans="1:7" ht="15.75">
      <c r="A1843" s="3252">
        <v>88950</v>
      </c>
      <c r="B1843" s="3252">
        <v>89000</v>
      </c>
      <c r="C1843" s="3252">
        <v>18100</v>
      </c>
      <c r="D1843" s="3252">
        <v>13956</v>
      </c>
      <c r="E1843" s="3252">
        <v>18537</v>
      </c>
      <c r="F1843" s="3252">
        <v>16656</v>
      </c>
      <c r="G1843" s="1698"/>
    </row>
    <row r="1844" spans="1:7" ht="15.75">
      <c r="A1844" s="3252">
        <v>89000</v>
      </c>
      <c r="B1844" s="3252">
        <v>89050</v>
      </c>
      <c r="C1844" s="3252">
        <v>18113</v>
      </c>
      <c r="D1844" s="3252">
        <v>13969</v>
      </c>
      <c r="E1844" s="3252">
        <v>18551</v>
      </c>
      <c r="F1844" s="3252">
        <v>16669</v>
      </c>
      <c r="G1844" s="1698"/>
    </row>
    <row r="1845" spans="1:7" ht="15.75">
      <c r="A1845" s="3252">
        <v>89050</v>
      </c>
      <c r="B1845" s="3252">
        <v>89100</v>
      </c>
      <c r="C1845" s="3252">
        <v>18125</v>
      </c>
      <c r="D1845" s="3252">
        <v>13981</v>
      </c>
      <c r="E1845" s="3252">
        <v>18565</v>
      </c>
      <c r="F1845" s="3252">
        <v>16681</v>
      </c>
      <c r="G1845" s="1698"/>
    </row>
    <row r="1846" spans="1:7" ht="15.75">
      <c r="A1846" s="3252">
        <v>89100</v>
      </c>
      <c r="B1846" s="3252">
        <v>89150</v>
      </c>
      <c r="C1846" s="3252">
        <v>18138</v>
      </c>
      <c r="D1846" s="3252">
        <v>13994</v>
      </c>
      <c r="E1846" s="3252">
        <v>18579</v>
      </c>
      <c r="F1846" s="3252">
        <v>16694</v>
      </c>
      <c r="G1846" s="1698"/>
    </row>
    <row r="1847" spans="1:7" ht="15.75">
      <c r="A1847" s="3252">
        <v>89150</v>
      </c>
      <c r="B1847" s="3252">
        <v>89200</v>
      </c>
      <c r="C1847" s="3252">
        <v>18150</v>
      </c>
      <c r="D1847" s="3252">
        <v>14006</v>
      </c>
      <c r="E1847" s="3252">
        <v>18593</v>
      </c>
      <c r="F1847" s="3252">
        <v>16706</v>
      </c>
      <c r="G1847" s="1698"/>
    </row>
    <row r="1848" spans="1:7" ht="15.75">
      <c r="A1848" s="3252">
        <v>89200</v>
      </c>
      <c r="B1848" s="3252">
        <v>89250</v>
      </c>
      <c r="C1848" s="3252">
        <v>18163</v>
      </c>
      <c r="D1848" s="3252">
        <v>14019</v>
      </c>
      <c r="E1848" s="3252">
        <v>18607</v>
      </c>
      <c r="F1848" s="3252">
        <v>16719</v>
      </c>
      <c r="G1848" s="1698"/>
    </row>
    <row r="1849" spans="1:7" ht="15.75">
      <c r="A1849" s="3252">
        <v>89250</v>
      </c>
      <c r="B1849" s="3252">
        <v>89300</v>
      </c>
      <c r="C1849" s="3252">
        <v>18175</v>
      </c>
      <c r="D1849" s="3252">
        <v>14031</v>
      </c>
      <c r="E1849" s="3252">
        <v>18621</v>
      </c>
      <c r="F1849" s="3252">
        <v>16731</v>
      </c>
      <c r="G1849" s="1698"/>
    </row>
    <row r="1850" spans="1:7" ht="15.75">
      <c r="A1850" s="3252">
        <v>89300</v>
      </c>
      <c r="B1850" s="3252">
        <v>89350</v>
      </c>
      <c r="C1850" s="3252">
        <v>18188</v>
      </c>
      <c r="D1850" s="3252">
        <v>14044</v>
      </c>
      <c r="E1850" s="3252">
        <v>18635</v>
      </c>
      <c r="F1850" s="3252">
        <v>16744</v>
      </c>
      <c r="G1850" s="1698"/>
    </row>
    <row r="1851" spans="1:7" ht="15.75">
      <c r="A1851" s="3252">
        <v>89350</v>
      </c>
      <c r="B1851" s="3252">
        <v>89400</v>
      </c>
      <c r="C1851" s="3252">
        <v>18201</v>
      </c>
      <c r="D1851" s="3252">
        <v>14056</v>
      </c>
      <c r="E1851" s="3252">
        <v>18649</v>
      </c>
      <c r="F1851" s="3252">
        <v>16756</v>
      </c>
      <c r="G1851" s="1698"/>
    </row>
    <row r="1852" spans="1:7" ht="15.75">
      <c r="A1852" s="3252">
        <v>89400</v>
      </c>
      <c r="B1852" s="3252">
        <v>89450</v>
      </c>
      <c r="C1852" s="3252">
        <v>18215</v>
      </c>
      <c r="D1852" s="3252">
        <v>14069</v>
      </c>
      <c r="E1852" s="3252">
        <v>18663</v>
      </c>
      <c r="F1852" s="3252">
        <v>16769</v>
      </c>
      <c r="G1852" s="1698"/>
    </row>
    <row r="1853" spans="1:7" ht="15.75">
      <c r="A1853" s="3252">
        <v>89450</v>
      </c>
      <c r="B1853" s="3252">
        <v>89500</v>
      </c>
      <c r="C1853" s="3252">
        <v>18229</v>
      </c>
      <c r="D1853" s="3252">
        <v>14081</v>
      </c>
      <c r="E1853" s="3252">
        <v>18677</v>
      </c>
      <c r="F1853" s="3252">
        <v>16781</v>
      </c>
      <c r="G1853" s="1698"/>
    </row>
    <row r="1854" spans="1:7" ht="15.75">
      <c r="A1854" s="3252">
        <v>89500</v>
      </c>
      <c r="B1854" s="3252">
        <v>89550</v>
      </c>
      <c r="C1854" s="3252">
        <v>18243</v>
      </c>
      <c r="D1854" s="3252">
        <v>14094</v>
      </c>
      <c r="E1854" s="3252">
        <v>18691</v>
      </c>
      <c r="F1854" s="3252">
        <v>16794</v>
      </c>
      <c r="G1854" s="1698"/>
    </row>
    <row r="1855" spans="1:7" ht="15.75">
      <c r="A1855" s="3252">
        <v>89550</v>
      </c>
      <c r="B1855" s="3252">
        <v>89600</v>
      </c>
      <c r="C1855" s="3252">
        <v>18257</v>
      </c>
      <c r="D1855" s="3252">
        <v>14106</v>
      </c>
      <c r="E1855" s="3252">
        <v>18705</v>
      </c>
      <c r="F1855" s="3252">
        <v>16806</v>
      </c>
      <c r="G1855" s="1698"/>
    </row>
    <row r="1856" spans="1:7" ht="15.75">
      <c r="A1856" s="3252">
        <v>89600</v>
      </c>
      <c r="B1856" s="3252">
        <v>89650</v>
      </c>
      <c r="C1856" s="3252">
        <v>18271</v>
      </c>
      <c r="D1856" s="3252">
        <v>14119</v>
      </c>
      <c r="E1856" s="3252">
        <v>18719</v>
      </c>
      <c r="F1856" s="3252">
        <v>16819</v>
      </c>
      <c r="G1856" s="1698"/>
    </row>
    <row r="1857" spans="1:7" ht="15.75">
      <c r="A1857" s="3252">
        <v>89650</v>
      </c>
      <c r="B1857" s="3252">
        <v>89700</v>
      </c>
      <c r="C1857" s="3252">
        <v>18285</v>
      </c>
      <c r="D1857" s="3252">
        <v>14131</v>
      </c>
      <c r="E1857" s="3252">
        <v>18733</v>
      </c>
      <c r="F1857" s="3252">
        <v>16831</v>
      </c>
      <c r="G1857" s="1698"/>
    </row>
    <row r="1858" spans="1:7" ht="15.75">
      <c r="A1858" s="3252">
        <v>89700</v>
      </c>
      <c r="B1858" s="3252">
        <v>89750</v>
      </c>
      <c r="C1858" s="3252">
        <v>18299</v>
      </c>
      <c r="D1858" s="3252">
        <v>14144</v>
      </c>
      <c r="E1858" s="3252">
        <v>18747</v>
      </c>
      <c r="F1858" s="3252">
        <v>16844</v>
      </c>
      <c r="G1858" s="1698"/>
    </row>
    <row r="1859" spans="1:7" ht="15.75">
      <c r="A1859" s="3252">
        <v>89750</v>
      </c>
      <c r="B1859" s="3252">
        <v>89800</v>
      </c>
      <c r="C1859" s="3252">
        <v>18313</v>
      </c>
      <c r="D1859" s="3252">
        <v>14156</v>
      </c>
      <c r="E1859" s="3252">
        <v>18761</v>
      </c>
      <c r="F1859" s="3252">
        <v>16856</v>
      </c>
      <c r="G1859" s="1698"/>
    </row>
    <row r="1860" spans="1:7" ht="15.75">
      <c r="A1860" s="3252">
        <v>89800</v>
      </c>
      <c r="B1860" s="3252">
        <v>89850</v>
      </c>
      <c r="C1860" s="3252">
        <v>18327</v>
      </c>
      <c r="D1860" s="3252">
        <v>14169</v>
      </c>
      <c r="E1860" s="3252">
        <v>18775</v>
      </c>
      <c r="F1860" s="3252">
        <v>16869</v>
      </c>
      <c r="G1860" s="1698"/>
    </row>
    <row r="1861" spans="1:7" ht="15.75">
      <c r="A1861" s="3252">
        <v>89850</v>
      </c>
      <c r="B1861" s="3252">
        <v>89900</v>
      </c>
      <c r="C1861" s="3252">
        <v>18341</v>
      </c>
      <c r="D1861" s="3252">
        <v>14181</v>
      </c>
      <c r="E1861" s="3252">
        <v>18789</v>
      </c>
      <c r="F1861" s="3252">
        <v>16881</v>
      </c>
      <c r="G1861" s="1698"/>
    </row>
    <row r="1862" spans="1:7" ht="15.75">
      <c r="A1862" s="3252">
        <v>89900</v>
      </c>
      <c r="B1862" s="3252">
        <v>89950</v>
      </c>
      <c r="C1862" s="3252">
        <v>18355</v>
      </c>
      <c r="D1862" s="3252">
        <v>14194</v>
      </c>
      <c r="E1862" s="3252">
        <v>18803</v>
      </c>
      <c r="F1862" s="3252">
        <v>16894</v>
      </c>
      <c r="G1862" s="1698"/>
    </row>
    <row r="1863" spans="1:7" ht="15.75">
      <c r="A1863" s="3252">
        <v>89950</v>
      </c>
      <c r="B1863" s="3252">
        <v>90000</v>
      </c>
      <c r="C1863" s="3252">
        <v>18369</v>
      </c>
      <c r="D1863" s="3252">
        <v>14206</v>
      </c>
      <c r="E1863" s="3252">
        <v>18817</v>
      </c>
      <c r="F1863" s="3252">
        <v>16906</v>
      </c>
      <c r="G1863" s="1698"/>
    </row>
    <row r="1864" spans="1:7" ht="15.75">
      <c r="A1864" s="3252">
        <v>90000</v>
      </c>
      <c r="B1864" s="3252">
        <v>90050</v>
      </c>
      <c r="C1864" s="3252">
        <v>18383</v>
      </c>
      <c r="D1864" s="3252">
        <v>14219</v>
      </c>
      <c r="E1864" s="3252">
        <v>18831</v>
      </c>
      <c r="F1864" s="3252">
        <v>16919</v>
      </c>
      <c r="G1864" s="1698"/>
    </row>
    <row r="1865" spans="1:7" ht="15.75">
      <c r="A1865" s="3252">
        <v>90050</v>
      </c>
      <c r="B1865" s="3252">
        <v>90100</v>
      </c>
      <c r="C1865" s="3252">
        <v>18397</v>
      </c>
      <c r="D1865" s="3252">
        <v>14231</v>
      </c>
      <c r="E1865" s="3252">
        <v>18845</v>
      </c>
      <c r="F1865" s="3252">
        <v>16931</v>
      </c>
      <c r="G1865" s="1698"/>
    </row>
    <row r="1866" spans="1:7" ht="15.75">
      <c r="A1866" s="3252">
        <v>90100</v>
      </c>
      <c r="B1866" s="3252">
        <v>90150</v>
      </c>
      <c r="C1866" s="3252">
        <v>18411</v>
      </c>
      <c r="D1866" s="3252">
        <v>14244</v>
      </c>
      <c r="E1866" s="3252">
        <v>18859</v>
      </c>
      <c r="F1866" s="3252">
        <v>16944</v>
      </c>
      <c r="G1866" s="1698"/>
    </row>
    <row r="1867" spans="1:7" ht="15.75">
      <c r="A1867" s="3252">
        <v>90150</v>
      </c>
      <c r="B1867" s="3252">
        <v>90200</v>
      </c>
      <c r="C1867" s="3252">
        <v>18425</v>
      </c>
      <c r="D1867" s="3252">
        <v>14256</v>
      </c>
      <c r="E1867" s="3252">
        <v>18873</v>
      </c>
      <c r="F1867" s="3252">
        <v>16956</v>
      </c>
      <c r="G1867" s="1698"/>
    </row>
    <row r="1868" spans="1:7" ht="15.75">
      <c r="A1868" s="3252">
        <v>90200</v>
      </c>
      <c r="B1868" s="3252">
        <v>90250</v>
      </c>
      <c r="C1868" s="3252">
        <v>18439</v>
      </c>
      <c r="D1868" s="3252">
        <v>14269</v>
      </c>
      <c r="E1868" s="3252">
        <v>18887</v>
      </c>
      <c r="F1868" s="3252">
        <v>16969</v>
      </c>
      <c r="G1868" s="1698"/>
    </row>
    <row r="1869" spans="1:7" ht="15.75">
      <c r="A1869" s="3252">
        <v>90250</v>
      </c>
      <c r="B1869" s="3252">
        <v>90300</v>
      </c>
      <c r="C1869" s="3252">
        <v>18453</v>
      </c>
      <c r="D1869" s="3252">
        <v>14281</v>
      </c>
      <c r="E1869" s="3252">
        <v>18901</v>
      </c>
      <c r="F1869" s="3252">
        <v>16981</v>
      </c>
      <c r="G1869" s="1698"/>
    </row>
    <row r="1870" spans="1:7" ht="15.75">
      <c r="A1870" s="3252">
        <v>90300</v>
      </c>
      <c r="B1870" s="3252">
        <v>90350</v>
      </c>
      <c r="C1870" s="3252">
        <v>18467</v>
      </c>
      <c r="D1870" s="3252">
        <v>14294</v>
      </c>
      <c r="E1870" s="3252">
        <v>18915</v>
      </c>
      <c r="F1870" s="3252">
        <v>16994</v>
      </c>
      <c r="G1870" s="1698"/>
    </row>
    <row r="1871" spans="1:7" ht="15.75">
      <c r="A1871" s="3252">
        <v>90350</v>
      </c>
      <c r="B1871" s="3252">
        <v>90400</v>
      </c>
      <c r="C1871" s="3252">
        <v>18481</v>
      </c>
      <c r="D1871" s="3252">
        <v>14306</v>
      </c>
      <c r="E1871" s="3252">
        <v>18929</v>
      </c>
      <c r="F1871" s="3252">
        <v>17006</v>
      </c>
      <c r="G1871" s="1698"/>
    </row>
    <row r="1872" spans="1:7" ht="15.75">
      <c r="A1872" s="3252">
        <v>90400</v>
      </c>
      <c r="B1872" s="3252">
        <v>90450</v>
      </c>
      <c r="C1872" s="3252">
        <v>18495</v>
      </c>
      <c r="D1872" s="3252">
        <v>14319</v>
      </c>
      <c r="E1872" s="3252">
        <v>18943</v>
      </c>
      <c r="F1872" s="3252">
        <v>17019</v>
      </c>
      <c r="G1872" s="1698"/>
    </row>
    <row r="1873" spans="1:7" ht="15.75">
      <c r="A1873" s="3252">
        <v>90450</v>
      </c>
      <c r="B1873" s="3252">
        <v>90500</v>
      </c>
      <c r="C1873" s="3252">
        <v>18509</v>
      </c>
      <c r="D1873" s="3252">
        <v>14331</v>
      </c>
      <c r="E1873" s="3252">
        <v>18957</v>
      </c>
      <c r="F1873" s="3252">
        <v>17031</v>
      </c>
      <c r="G1873" s="1698"/>
    </row>
    <row r="1874" spans="1:7" ht="15.75">
      <c r="A1874" s="3252">
        <v>90500</v>
      </c>
      <c r="B1874" s="3252">
        <v>90550</v>
      </c>
      <c r="C1874" s="3252">
        <v>18523</v>
      </c>
      <c r="D1874" s="3252">
        <v>14344</v>
      </c>
      <c r="E1874" s="3252">
        <v>18971</v>
      </c>
      <c r="F1874" s="3252">
        <v>17044</v>
      </c>
      <c r="G1874" s="1698"/>
    </row>
    <row r="1875" spans="1:7" ht="15.75">
      <c r="A1875" s="3252">
        <v>90550</v>
      </c>
      <c r="B1875" s="3252">
        <v>90600</v>
      </c>
      <c r="C1875" s="3252">
        <v>18537</v>
      </c>
      <c r="D1875" s="3252">
        <v>14356</v>
      </c>
      <c r="E1875" s="3252">
        <v>18985</v>
      </c>
      <c r="F1875" s="3252">
        <v>17056</v>
      </c>
      <c r="G1875" s="1698"/>
    </row>
    <row r="1876" spans="1:7" ht="15.75">
      <c r="A1876" s="3252">
        <v>90600</v>
      </c>
      <c r="B1876" s="3252">
        <v>90650</v>
      </c>
      <c r="C1876" s="3252">
        <v>18551</v>
      </c>
      <c r="D1876" s="3252">
        <v>14369</v>
      </c>
      <c r="E1876" s="3252">
        <v>18999</v>
      </c>
      <c r="F1876" s="3252">
        <v>17069</v>
      </c>
      <c r="G1876" s="1698"/>
    </row>
    <row r="1877" spans="1:7" ht="15.75">
      <c r="A1877" s="3252">
        <v>90650</v>
      </c>
      <c r="B1877" s="3252">
        <v>90700</v>
      </c>
      <c r="C1877" s="3252">
        <v>18565</v>
      </c>
      <c r="D1877" s="3252">
        <v>14381</v>
      </c>
      <c r="E1877" s="3252">
        <v>19013</v>
      </c>
      <c r="F1877" s="3252">
        <v>17081</v>
      </c>
      <c r="G1877" s="1698"/>
    </row>
    <row r="1878" spans="1:7" ht="15.75">
      <c r="A1878" s="3252">
        <v>90700</v>
      </c>
      <c r="B1878" s="3252">
        <v>90750</v>
      </c>
      <c r="C1878" s="3252">
        <v>18579</v>
      </c>
      <c r="D1878" s="3252">
        <v>14394</v>
      </c>
      <c r="E1878" s="3252">
        <v>19027</v>
      </c>
      <c r="F1878" s="3252">
        <v>17094</v>
      </c>
      <c r="G1878" s="1698"/>
    </row>
    <row r="1879" spans="1:7" ht="15.75">
      <c r="A1879" s="3252">
        <v>90750</v>
      </c>
      <c r="B1879" s="3252">
        <v>90800</v>
      </c>
      <c r="C1879" s="3252">
        <v>18593</v>
      </c>
      <c r="D1879" s="3252">
        <v>14406</v>
      </c>
      <c r="E1879" s="3252">
        <v>19041</v>
      </c>
      <c r="F1879" s="3252">
        <v>17106</v>
      </c>
      <c r="G1879" s="1698"/>
    </row>
    <row r="1880" spans="1:7" ht="15.75">
      <c r="A1880" s="3252">
        <v>90800</v>
      </c>
      <c r="B1880" s="3252">
        <v>90850</v>
      </c>
      <c r="C1880" s="3252">
        <v>18607</v>
      </c>
      <c r="D1880" s="3252">
        <v>14419</v>
      </c>
      <c r="E1880" s="3252">
        <v>19055</v>
      </c>
      <c r="F1880" s="3252">
        <v>17119</v>
      </c>
      <c r="G1880" s="1698"/>
    </row>
    <row r="1881" spans="1:7" ht="15.75">
      <c r="A1881" s="3252">
        <v>90850</v>
      </c>
      <c r="B1881" s="3252">
        <v>90900</v>
      </c>
      <c r="C1881" s="3252">
        <v>18621</v>
      </c>
      <c r="D1881" s="3252">
        <v>14431</v>
      </c>
      <c r="E1881" s="3252">
        <v>19069</v>
      </c>
      <c r="F1881" s="3252">
        <v>17131</v>
      </c>
      <c r="G1881" s="1698"/>
    </row>
    <row r="1882" spans="1:7" ht="15.75">
      <c r="A1882" s="3252">
        <v>90900</v>
      </c>
      <c r="B1882" s="3252">
        <v>90950</v>
      </c>
      <c r="C1882" s="3252">
        <v>18635</v>
      </c>
      <c r="D1882" s="3252">
        <v>14444</v>
      </c>
      <c r="E1882" s="3252">
        <v>19083</v>
      </c>
      <c r="F1882" s="3252">
        <v>17144</v>
      </c>
      <c r="G1882" s="1698"/>
    </row>
    <row r="1883" spans="1:7" ht="15.75">
      <c r="A1883" s="3252">
        <v>90950</v>
      </c>
      <c r="B1883" s="3252">
        <v>91000</v>
      </c>
      <c r="C1883" s="3252">
        <v>18649</v>
      </c>
      <c r="D1883" s="3252">
        <v>14456</v>
      </c>
      <c r="E1883" s="3252">
        <v>19097</v>
      </c>
      <c r="F1883" s="3252">
        <v>17156</v>
      </c>
      <c r="G1883" s="1698"/>
    </row>
    <row r="1884" spans="1:7" ht="15.75">
      <c r="A1884" s="3252">
        <v>91000</v>
      </c>
      <c r="B1884" s="3252">
        <v>91050</v>
      </c>
      <c r="C1884" s="3252">
        <v>18663</v>
      </c>
      <c r="D1884" s="3252">
        <v>14469</v>
      </c>
      <c r="E1884" s="3252">
        <v>19111</v>
      </c>
      <c r="F1884" s="3252">
        <v>17169</v>
      </c>
      <c r="G1884" s="1698"/>
    </row>
    <row r="1885" spans="1:7" ht="15.75">
      <c r="A1885" s="3252">
        <v>91050</v>
      </c>
      <c r="B1885" s="3252">
        <v>91100</v>
      </c>
      <c r="C1885" s="3252">
        <v>18677</v>
      </c>
      <c r="D1885" s="3252">
        <v>14481</v>
      </c>
      <c r="E1885" s="3252">
        <v>19125</v>
      </c>
      <c r="F1885" s="3252">
        <v>17181</v>
      </c>
      <c r="G1885" s="1698"/>
    </row>
    <row r="1886" spans="1:7" ht="15.75">
      <c r="A1886" s="3252">
        <v>91100</v>
      </c>
      <c r="B1886" s="3252">
        <v>91150</v>
      </c>
      <c r="C1886" s="3252">
        <v>18691</v>
      </c>
      <c r="D1886" s="3252">
        <v>14494</v>
      </c>
      <c r="E1886" s="3252">
        <v>19139</v>
      </c>
      <c r="F1886" s="3252">
        <v>17194</v>
      </c>
      <c r="G1886" s="1698"/>
    </row>
    <row r="1887" spans="1:7" ht="15.75">
      <c r="A1887" s="3252">
        <v>91150</v>
      </c>
      <c r="B1887" s="3252">
        <v>91200</v>
      </c>
      <c r="C1887" s="3252">
        <v>18705</v>
      </c>
      <c r="D1887" s="3252">
        <v>14506</v>
      </c>
      <c r="E1887" s="3252">
        <v>19153</v>
      </c>
      <c r="F1887" s="3252">
        <v>17206</v>
      </c>
      <c r="G1887" s="1698"/>
    </row>
    <row r="1888" spans="1:7" ht="15.75">
      <c r="A1888" s="3252">
        <v>91200</v>
      </c>
      <c r="B1888" s="3252">
        <v>91250</v>
      </c>
      <c r="C1888" s="3252">
        <v>18719</v>
      </c>
      <c r="D1888" s="3252">
        <v>14519</v>
      </c>
      <c r="E1888" s="3252">
        <v>19167</v>
      </c>
      <c r="F1888" s="3252">
        <v>17219</v>
      </c>
      <c r="G1888" s="1698"/>
    </row>
    <row r="1889" spans="1:7" ht="15.75">
      <c r="A1889" s="3252">
        <v>91250</v>
      </c>
      <c r="B1889" s="3252">
        <v>91300</v>
      </c>
      <c r="C1889" s="3252">
        <v>18733</v>
      </c>
      <c r="D1889" s="3252">
        <v>14531</v>
      </c>
      <c r="E1889" s="3252">
        <v>19181</v>
      </c>
      <c r="F1889" s="3252">
        <v>17231</v>
      </c>
      <c r="G1889" s="1698"/>
    </row>
    <row r="1890" spans="1:7" ht="15.75">
      <c r="A1890" s="3252">
        <v>91300</v>
      </c>
      <c r="B1890" s="3252">
        <v>91350</v>
      </c>
      <c r="C1890" s="3252">
        <v>18747</v>
      </c>
      <c r="D1890" s="3252">
        <v>14544</v>
      </c>
      <c r="E1890" s="3252">
        <v>19195</v>
      </c>
      <c r="F1890" s="3252">
        <v>17244</v>
      </c>
      <c r="G1890" s="1698"/>
    </row>
    <row r="1891" spans="1:7" ht="15.75">
      <c r="A1891" s="3252">
        <v>91350</v>
      </c>
      <c r="B1891" s="3252">
        <v>91400</v>
      </c>
      <c r="C1891" s="3252">
        <v>18761</v>
      </c>
      <c r="D1891" s="3252">
        <v>14556</v>
      </c>
      <c r="E1891" s="3252">
        <v>19209</v>
      </c>
      <c r="F1891" s="3252">
        <v>17256</v>
      </c>
      <c r="G1891" s="1698"/>
    </row>
    <row r="1892" spans="1:7" ht="15.75">
      <c r="A1892" s="3252">
        <v>91400</v>
      </c>
      <c r="B1892" s="3252">
        <v>91450</v>
      </c>
      <c r="C1892" s="3252">
        <v>18775</v>
      </c>
      <c r="D1892" s="3252">
        <v>14569</v>
      </c>
      <c r="E1892" s="3252">
        <v>19223</v>
      </c>
      <c r="F1892" s="3252">
        <v>17269</v>
      </c>
      <c r="G1892" s="1698"/>
    </row>
    <row r="1893" spans="1:7" ht="15.75">
      <c r="A1893" s="3252">
        <v>91450</v>
      </c>
      <c r="B1893" s="3252">
        <v>91500</v>
      </c>
      <c r="C1893" s="3252">
        <v>18789</v>
      </c>
      <c r="D1893" s="3252">
        <v>14581</v>
      </c>
      <c r="E1893" s="3252">
        <v>19237</v>
      </c>
      <c r="F1893" s="3252">
        <v>17281</v>
      </c>
      <c r="G1893" s="1698"/>
    </row>
    <row r="1894" spans="1:7" ht="15.75">
      <c r="A1894" s="3252">
        <v>91500</v>
      </c>
      <c r="B1894" s="3252">
        <v>91550</v>
      </c>
      <c r="C1894" s="3252">
        <v>18803</v>
      </c>
      <c r="D1894" s="3252">
        <v>14594</v>
      </c>
      <c r="E1894" s="3252">
        <v>19251</v>
      </c>
      <c r="F1894" s="3252">
        <v>17294</v>
      </c>
      <c r="G1894" s="1698"/>
    </row>
    <row r="1895" spans="1:7" ht="15.75">
      <c r="A1895" s="3252">
        <v>91550</v>
      </c>
      <c r="B1895" s="3252">
        <v>91600</v>
      </c>
      <c r="C1895" s="3252">
        <v>18817</v>
      </c>
      <c r="D1895" s="3252">
        <v>14606</v>
      </c>
      <c r="E1895" s="3252">
        <v>19265</v>
      </c>
      <c r="F1895" s="3252">
        <v>17306</v>
      </c>
      <c r="G1895" s="1698"/>
    </row>
    <row r="1896" spans="1:7" ht="15.75">
      <c r="A1896" s="3252">
        <v>91600</v>
      </c>
      <c r="B1896" s="3252">
        <v>91650</v>
      </c>
      <c r="C1896" s="3252">
        <v>18831</v>
      </c>
      <c r="D1896" s="3252">
        <v>14619</v>
      </c>
      <c r="E1896" s="3252">
        <v>19279</v>
      </c>
      <c r="F1896" s="3252">
        <v>17319</v>
      </c>
      <c r="G1896" s="1698"/>
    </row>
    <row r="1897" spans="1:7" ht="15.75">
      <c r="A1897" s="3252">
        <v>91650</v>
      </c>
      <c r="B1897" s="3252">
        <v>91700</v>
      </c>
      <c r="C1897" s="3252">
        <v>18845</v>
      </c>
      <c r="D1897" s="3252">
        <v>14631</v>
      </c>
      <c r="E1897" s="3252">
        <v>19293</v>
      </c>
      <c r="F1897" s="3252">
        <v>17331</v>
      </c>
      <c r="G1897" s="1698"/>
    </row>
    <row r="1898" spans="1:7" ht="15.75">
      <c r="A1898" s="3252">
        <v>91700</v>
      </c>
      <c r="B1898" s="3252">
        <v>91750</v>
      </c>
      <c r="C1898" s="3252">
        <v>18859</v>
      </c>
      <c r="D1898" s="3252">
        <v>14644</v>
      </c>
      <c r="E1898" s="3252">
        <v>19307</v>
      </c>
      <c r="F1898" s="3252">
        <v>17344</v>
      </c>
      <c r="G1898" s="1698"/>
    </row>
    <row r="1899" spans="1:7" ht="15.75">
      <c r="A1899" s="3252">
        <v>91750</v>
      </c>
      <c r="B1899" s="3252">
        <v>91800</v>
      </c>
      <c r="C1899" s="3252">
        <v>18873</v>
      </c>
      <c r="D1899" s="3252">
        <v>14656</v>
      </c>
      <c r="E1899" s="3252">
        <v>19321</v>
      </c>
      <c r="F1899" s="3252">
        <v>17356</v>
      </c>
      <c r="G1899" s="1698"/>
    </row>
    <row r="1900" spans="1:7" ht="15.75">
      <c r="A1900" s="3252">
        <v>91800</v>
      </c>
      <c r="B1900" s="3252">
        <v>91850</v>
      </c>
      <c r="C1900" s="3252">
        <v>18887</v>
      </c>
      <c r="D1900" s="3252">
        <v>14669</v>
      </c>
      <c r="E1900" s="3252">
        <v>19335</v>
      </c>
      <c r="F1900" s="3252">
        <v>17369</v>
      </c>
      <c r="G1900" s="1698"/>
    </row>
    <row r="1901" spans="1:7" ht="15.75">
      <c r="A1901" s="3252">
        <v>91850</v>
      </c>
      <c r="B1901" s="3252">
        <v>91900</v>
      </c>
      <c r="C1901" s="3252">
        <v>18901</v>
      </c>
      <c r="D1901" s="3252">
        <v>14681</v>
      </c>
      <c r="E1901" s="3252">
        <v>19349</v>
      </c>
      <c r="F1901" s="3252">
        <v>17381</v>
      </c>
      <c r="G1901" s="1698"/>
    </row>
    <row r="1902" spans="1:7" ht="15.75">
      <c r="A1902" s="3252">
        <v>91900</v>
      </c>
      <c r="B1902" s="3252">
        <v>91950</v>
      </c>
      <c r="C1902" s="3252">
        <v>18915</v>
      </c>
      <c r="D1902" s="3252">
        <v>14694</v>
      </c>
      <c r="E1902" s="3252">
        <v>19363</v>
      </c>
      <c r="F1902" s="3252">
        <v>17394</v>
      </c>
      <c r="G1902" s="1698"/>
    </row>
    <row r="1903" spans="1:7" ht="15.75">
      <c r="A1903" s="3252">
        <v>91950</v>
      </c>
      <c r="B1903" s="3252">
        <v>92000</v>
      </c>
      <c r="C1903" s="3252">
        <v>18929</v>
      </c>
      <c r="D1903" s="3252">
        <v>14706</v>
      </c>
      <c r="E1903" s="3252">
        <v>19377</v>
      </c>
      <c r="F1903" s="3252">
        <v>17406</v>
      </c>
      <c r="G1903" s="1698"/>
    </row>
    <row r="1904" spans="1:7" ht="15.75">
      <c r="A1904" s="3252">
        <v>92000</v>
      </c>
      <c r="B1904" s="3252">
        <v>92050</v>
      </c>
      <c r="C1904" s="3252">
        <v>18943</v>
      </c>
      <c r="D1904" s="3252">
        <v>14719</v>
      </c>
      <c r="E1904" s="3252">
        <v>19391</v>
      </c>
      <c r="F1904" s="3252">
        <v>17419</v>
      </c>
      <c r="G1904" s="1698"/>
    </row>
    <row r="1905" spans="1:7" ht="15.75">
      <c r="A1905" s="3252">
        <v>92050</v>
      </c>
      <c r="B1905" s="3252">
        <v>92100</v>
      </c>
      <c r="C1905" s="3252">
        <v>18957</v>
      </c>
      <c r="D1905" s="3252">
        <v>14731</v>
      </c>
      <c r="E1905" s="3252">
        <v>19405</v>
      </c>
      <c r="F1905" s="3252">
        <v>17431</v>
      </c>
      <c r="G1905" s="1698"/>
    </row>
    <row r="1906" spans="1:7" ht="15.75">
      <c r="A1906" s="3252">
        <v>92100</v>
      </c>
      <c r="B1906" s="3252">
        <v>92150</v>
      </c>
      <c r="C1906" s="3252">
        <v>18971</v>
      </c>
      <c r="D1906" s="3252">
        <v>14744</v>
      </c>
      <c r="E1906" s="3252">
        <v>19419</v>
      </c>
      <c r="F1906" s="3252">
        <v>17444</v>
      </c>
      <c r="G1906" s="1698"/>
    </row>
    <row r="1907" spans="1:7" ht="15.75">
      <c r="A1907" s="3252">
        <v>92150</v>
      </c>
      <c r="B1907" s="3252">
        <v>92200</v>
      </c>
      <c r="C1907" s="3252">
        <v>18985</v>
      </c>
      <c r="D1907" s="3252">
        <v>14756</v>
      </c>
      <c r="E1907" s="3252">
        <v>19433</v>
      </c>
      <c r="F1907" s="3252">
        <v>17456</v>
      </c>
      <c r="G1907" s="1698"/>
    </row>
    <row r="1908" spans="1:7" ht="15.75">
      <c r="A1908" s="3252">
        <v>92200</v>
      </c>
      <c r="B1908" s="3252">
        <v>92250</v>
      </c>
      <c r="C1908" s="3252">
        <v>18999</v>
      </c>
      <c r="D1908" s="3252">
        <v>14769</v>
      </c>
      <c r="E1908" s="3252">
        <v>19447</v>
      </c>
      <c r="F1908" s="3252">
        <v>17469</v>
      </c>
      <c r="G1908" s="1698"/>
    </row>
    <row r="1909" spans="1:7" ht="15.75">
      <c r="A1909" s="3252">
        <v>92250</v>
      </c>
      <c r="B1909" s="3252">
        <v>92300</v>
      </c>
      <c r="C1909" s="3252">
        <v>19013</v>
      </c>
      <c r="D1909" s="3252">
        <v>14781</v>
      </c>
      <c r="E1909" s="3252">
        <v>19461</v>
      </c>
      <c r="F1909" s="3252">
        <v>17481</v>
      </c>
      <c r="G1909" s="1698"/>
    </row>
    <row r="1910" spans="1:7" ht="15.75">
      <c r="A1910" s="3252">
        <v>92300</v>
      </c>
      <c r="B1910" s="3252">
        <v>92350</v>
      </c>
      <c r="C1910" s="3252">
        <v>19027</v>
      </c>
      <c r="D1910" s="3252">
        <v>14794</v>
      </c>
      <c r="E1910" s="3252">
        <v>19475</v>
      </c>
      <c r="F1910" s="3252">
        <v>17494</v>
      </c>
      <c r="G1910" s="1698"/>
    </row>
    <row r="1911" spans="1:7" ht="15.75">
      <c r="A1911" s="3252">
        <v>92350</v>
      </c>
      <c r="B1911" s="3252">
        <v>92400</v>
      </c>
      <c r="C1911" s="3252">
        <v>19041</v>
      </c>
      <c r="D1911" s="3252">
        <v>14806</v>
      </c>
      <c r="E1911" s="3252">
        <v>19489</v>
      </c>
      <c r="F1911" s="3252">
        <v>17506</v>
      </c>
      <c r="G1911" s="1698"/>
    </row>
    <row r="1912" spans="1:7" ht="15.75">
      <c r="A1912" s="3252">
        <v>92400</v>
      </c>
      <c r="B1912" s="3252">
        <v>92450</v>
      </c>
      <c r="C1912" s="3252">
        <v>19055</v>
      </c>
      <c r="D1912" s="3252">
        <v>14819</v>
      </c>
      <c r="E1912" s="3252">
        <v>19503</v>
      </c>
      <c r="F1912" s="3252">
        <v>17519</v>
      </c>
      <c r="G1912" s="1698"/>
    </row>
    <row r="1913" spans="1:7" ht="15.75">
      <c r="A1913" s="3252">
        <v>92450</v>
      </c>
      <c r="B1913" s="3252">
        <v>92500</v>
      </c>
      <c r="C1913" s="3252">
        <v>19069</v>
      </c>
      <c r="D1913" s="3252">
        <v>14831</v>
      </c>
      <c r="E1913" s="3252">
        <v>19517</v>
      </c>
      <c r="F1913" s="3252">
        <v>17531</v>
      </c>
      <c r="G1913" s="1698"/>
    </row>
    <row r="1914" spans="1:7" ht="15.75">
      <c r="A1914" s="3252">
        <v>92500</v>
      </c>
      <c r="B1914" s="3252">
        <v>92550</v>
      </c>
      <c r="C1914" s="3252">
        <v>19083</v>
      </c>
      <c r="D1914" s="3252">
        <v>14844</v>
      </c>
      <c r="E1914" s="3252">
        <v>19531</v>
      </c>
      <c r="F1914" s="3252">
        <v>17544</v>
      </c>
      <c r="G1914" s="1698"/>
    </row>
    <row r="1915" spans="1:7" ht="15.75">
      <c r="A1915" s="3252">
        <v>92550</v>
      </c>
      <c r="B1915" s="3252">
        <v>92600</v>
      </c>
      <c r="C1915" s="3252">
        <v>19097</v>
      </c>
      <c r="D1915" s="3252">
        <v>14856</v>
      </c>
      <c r="E1915" s="3252">
        <v>19545</v>
      </c>
      <c r="F1915" s="3252">
        <v>17556</v>
      </c>
      <c r="G1915" s="1698"/>
    </row>
    <row r="1916" spans="1:7" ht="15.75">
      <c r="A1916" s="3252">
        <v>92600</v>
      </c>
      <c r="B1916" s="3252">
        <v>92650</v>
      </c>
      <c r="C1916" s="3252">
        <v>19111</v>
      </c>
      <c r="D1916" s="3252">
        <v>14869</v>
      </c>
      <c r="E1916" s="3252">
        <v>19559</v>
      </c>
      <c r="F1916" s="3252">
        <v>17569</v>
      </c>
      <c r="G1916" s="1698"/>
    </row>
    <row r="1917" spans="1:7" ht="15.75">
      <c r="A1917" s="3252">
        <v>92650</v>
      </c>
      <c r="B1917" s="3252">
        <v>92700</v>
      </c>
      <c r="C1917" s="3252">
        <v>19125</v>
      </c>
      <c r="D1917" s="3252">
        <v>14881</v>
      </c>
      <c r="E1917" s="3252">
        <v>19573</v>
      </c>
      <c r="F1917" s="3252">
        <v>17581</v>
      </c>
      <c r="G1917" s="1698"/>
    </row>
    <row r="1918" spans="1:7" ht="15.75">
      <c r="A1918" s="3252">
        <v>92700</v>
      </c>
      <c r="B1918" s="3252">
        <v>92750</v>
      </c>
      <c r="C1918" s="3252">
        <v>19139</v>
      </c>
      <c r="D1918" s="3252">
        <v>14894</v>
      </c>
      <c r="E1918" s="3252">
        <v>19587</v>
      </c>
      <c r="F1918" s="3252">
        <v>17594</v>
      </c>
      <c r="G1918" s="1698"/>
    </row>
    <row r="1919" spans="1:7" ht="15.75">
      <c r="A1919" s="3252">
        <v>92750</v>
      </c>
      <c r="B1919" s="3252">
        <v>92800</v>
      </c>
      <c r="C1919" s="3252">
        <v>19153</v>
      </c>
      <c r="D1919" s="3252">
        <v>14906</v>
      </c>
      <c r="E1919" s="3252">
        <v>19601</v>
      </c>
      <c r="F1919" s="3252">
        <v>17606</v>
      </c>
      <c r="G1919" s="1698"/>
    </row>
    <row r="1920" spans="1:7" ht="15.75">
      <c r="A1920" s="3252">
        <v>92800</v>
      </c>
      <c r="B1920" s="3252">
        <v>92850</v>
      </c>
      <c r="C1920" s="3252">
        <v>19167</v>
      </c>
      <c r="D1920" s="3252">
        <v>14919</v>
      </c>
      <c r="E1920" s="3252">
        <v>19615</v>
      </c>
      <c r="F1920" s="3252">
        <v>17619</v>
      </c>
      <c r="G1920" s="1698"/>
    </row>
    <row r="1921" spans="1:7" ht="15.75">
      <c r="A1921" s="3252">
        <v>92850</v>
      </c>
      <c r="B1921" s="3252">
        <v>92900</v>
      </c>
      <c r="C1921" s="3252">
        <v>19181</v>
      </c>
      <c r="D1921" s="3252">
        <v>14931</v>
      </c>
      <c r="E1921" s="3252">
        <v>19629</v>
      </c>
      <c r="F1921" s="3252">
        <v>17631</v>
      </c>
      <c r="G1921" s="1698"/>
    </row>
    <row r="1922" spans="1:7" ht="15.75">
      <c r="A1922" s="3252">
        <v>92900</v>
      </c>
      <c r="B1922" s="3252">
        <v>92950</v>
      </c>
      <c r="C1922" s="3252">
        <v>19195</v>
      </c>
      <c r="D1922" s="3252">
        <v>14944</v>
      </c>
      <c r="E1922" s="3252">
        <v>19643</v>
      </c>
      <c r="F1922" s="3252">
        <v>17644</v>
      </c>
      <c r="G1922" s="1698"/>
    </row>
    <row r="1923" spans="1:7" ht="15.75">
      <c r="A1923" s="3252">
        <v>92950</v>
      </c>
      <c r="B1923" s="3252">
        <v>93000</v>
      </c>
      <c r="C1923" s="3252">
        <v>19209</v>
      </c>
      <c r="D1923" s="3252">
        <v>14956</v>
      </c>
      <c r="E1923" s="3252">
        <v>19657</v>
      </c>
      <c r="F1923" s="3252">
        <v>17656</v>
      </c>
      <c r="G1923" s="1698"/>
    </row>
    <row r="1924" spans="1:7" ht="15.75">
      <c r="A1924" s="3252">
        <v>93000</v>
      </c>
      <c r="B1924" s="3252">
        <v>93050</v>
      </c>
      <c r="C1924" s="3252">
        <v>19223</v>
      </c>
      <c r="D1924" s="3252">
        <v>14969</v>
      </c>
      <c r="E1924" s="3252">
        <v>19671</v>
      </c>
      <c r="F1924" s="3252">
        <v>17669</v>
      </c>
      <c r="G1924" s="1698"/>
    </row>
    <row r="1925" spans="1:7" ht="15.75">
      <c r="A1925" s="3252">
        <v>93050</v>
      </c>
      <c r="B1925" s="3252">
        <v>93100</v>
      </c>
      <c r="C1925" s="3252">
        <v>19237</v>
      </c>
      <c r="D1925" s="3252">
        <v>14981</v>
      </c>
      <c r="E1925" s="3252">
        <v>19685</v>
      </c>
      <c r="F1925" s="3252">
        <v>17681</v>
      </c>
      <c r="G1925" s="1698"/>
    </row>
    <row r="1926" spans="1:7" ht="15.75">
      <c r="A1926" s="3252">
        <v>93100</v>
      </c>
      <c r="B1926" s="3252">
        <v>93150</v>
      </c>
      <c r="C1926" s="3252">
        <v>19251</v>
      </c>
      <c r="D1926" s="3252">
        <v>14994</v>
      </c>
      <c r="E1926" s="3252">
        <v>19699</v>
      </c>
      <c r="F1926" s="3252">
        <v>17694</v>
      </c>
      <c r="G1926" s="1698"/>
    </row>
    <row r="1927" spans="1:7" ht="15.75">
      <c r="A1927" s="3252">
        <v>93150</v>
      </c>
      <c r="B1927" s="3252">
        <v>93200</v>
      </c>
      <c r="C1927" s="3252">
        <v>19265</v>
      </c>
      <c r="D1927" s="3252">
        <v>15006</v>
      </c>
      <c r="E1927" s="3252">
        <v>19713</v>
      </c>
      <c r="F1927" s="3252">
        <v>17706</v>
      </c>
      <c r="G1927" s="1698"/>
    </row>
    <row r="1928" spans="1:7" ht="15.75">
      <c r="A1928" s="3252">
        <v>93200</v>
      </c>
      <c r="B1928" s="3252">
        <v>93250</v>
      </c>
      <c r="C1928" s="3252">
        <v>19279</v>
      </c>
      <c r="D1928" s="3252">
        <v>15019</v>
      </c>
      <c r="E1928" s="3252">
        <v>19727</v>
      </c>
      <c r="F1928" s="3252">
        <v>17719</v>
      </c>
      <c r="G1928" s="1698"/>
    </row>
    <row r="1929" spans="1:7" ht="15.75">
      <c r="A1929" s="3252">
        <v>93250</v>
      </c>
      <c r="B1929" s="3252">
        <v>93300</v>
      </c>
      <c r="C1929" s="3252">
        <v>19293</v>
      </c>
      <c r="D1929" s="3252">
        <v>15031</v>
      </c>
      <c r="E1929" s="3252">
        <v>19741</v>
      </c>
      <c r="F1929" s="3252">
        <v>17731</v>
      </c>
      <c r="G1929" s="1698"/>
    </row>
    <row r="1930" spans="1:7" ht="15.75">
      <c r="A1930" s="3252">
        <v>93300</v>
      </c>
      <c r="B1930" s="3252">
        <v>93350</v>
      </c>
      <c r="C1930" s="3252">
        <v>19307</v>
      </c>
      <c r="D1930" s="3252">
        <v>15044</v>
      </c>
      <c r="E1930" s="3252">
        <v>19755</v>
      </c>
      <c r="F1930" s="3252">
        <v>17744</v>
      </c>
      <c r="G1930" s="1698"/>
    </row>
    <row r="1931" spans="1:7" ht="15.75">
      <c r="A1931" s="3252">
        <v>93350</v>
      </c>
      <c r="B1931" s="3252">
        <v>93400</v>
      </c>
      <c r="C1931" s="3252">
        <v>19321</v>
      </c>
      <c r="D1931" s="3252">
        <v>15056</v>
      </c>
      <c r="E1931" s="3252">
        <v>19769</v>
      </c>
      <c r="F1931" s="3252">
        <v>17756</v>
      </c>
      <c r="G1931" s="1698"/>
    </row>
    <row r="1932" spans="1:7" ht="15.75">
      <c r="A1932" s="3252">
        <v>93400</v>
      </c>
      <c r="B1932" s="3252">
        <v>93450</v>
      </c>
      <c r="C1932" s="3252">
        <v>19335</v>
      </c>
      <c r="D1932" s="3252">
        <v>15069</v>
      </c>
      <c r="E1932" s="3252">
        <v>19783</v>
      </c>
      <c r="F1932" s="3252">
        <v>17769</v>
      </c>
      <c r="G1932" s="1698"/>
    </row>
    <row r="1933" spans="1:7" ht="15.75">
      <c r="A1933" s="3252">
        <v>93450</v>
      </c>
      <c r="B1933" s="3252">
        <v>93500</v>
      </c>
      <c r="C1933" s="3252">
        <v>19349</v>
      </c>
      <c r="D1933" s="3252">
        <v>15081</v>
      </c>
      <c r="E1933" s="3252">
        <v>19797</v>
      </c>
      <c r="F1933" s="3252">
        <v>17781</v>
      </c>
      <c r="G1933" s="1698"/>
    </row>
    <row r="1934" spans="1:7" ht="15.75">
      <c r="A1934" s="3252">
        <v>93500</v>
      </c>
      <c r="B1934" s="3252">
        <v>93550</v>
      </c>
      <c r="C1934" s="3252">
        <v>19363</v>
      </c>
      <c r="D1934" s="3252">
        <v>15094</v>
      </c>
      <c r="E1934" s="3252">
        <v>19811</v>
      </c>
      <c r="F1934" s="3252">
        <v>17794</v>
      </c>
      <c r="G1934" s="1698"/>
    </row>
    <row r="1935" spans="1:7" ht="15.75">
      <c r="A1935" s="3252">
        <v>93550</v>
      </c>
      <c r="B1935" s="3252">
        <v>93600</v>
      </c>
      <c r="C1935" s="3252">
        <v>19377</v>
      </c>
      <c r="D1935" s="3252">
        <v>15106</v>
      </c>
      <c r="E1935" s="3252">
        <v>19825</v>
      </c>
      <c r="F1935" s="3252">
        <v>17806</v>
      </c>
      <c r="G1935" s="1698"/>
    </row>
    <row r="1936" spans="1:7" ht="15.75">
      <c r="A1936" s="3252">
        <v>93600</v>
      </c>
      <c r="B1936" s="3252">
        <v>93650</v>
      </c>
      <c r="C1936" s="3252">
        <v>19391</v>
      </c>
      <c r="D1936" s="3252">
        <v>15119</v>
      </c>
      <c r="E1936" s="3252">
        <v>19839</v>
      </c>
      <c r="F1936" s="3252">
        <v>17819</v>
      </c>
      <c r="G1936" s="1698"/>
    </row>
    <row r="1937" spans="1:7" ht="15.75">
      <c r="A1937" s="3252">
        <v>93650</v>
      </c>
      <c r="B1937" s="3252">
        <v>93700</v>
      </c>
      <c r="C1937" s="3252">
        <v>19405</v>
      </c>
      <c r="D1937" s="3252">
        <v>15131</v>
      </c>
      <c r="E1937" s="3252">
        <v>19853</v>
      </c>
      <c r="F1937" s="3252">
        <v>17831</v>
      </c>
      <c r="G1937" s="1698"/>
    </row>
    <row r="1938" spans="1:7" ht="15.75">
      <c r="A1938" s="3252">
        <v>93700</v>
      </c>
      <c r="B1938" s="3252">
        <v>93750</v>
      </c>
      <c r="C1938" s="3252">
        <v>19419</v>
      </c>
      <c r="D1938" s="3252">
        <v>15144</v>
      </c>
      <c r="E1938" s="3252">
        <v>19867</v>
      </c>
      <c r="F1938" s="3252">
        <v>17844</v>
      </c>
      <c r="G1938" s="1698"/>
    </row>
    <row r="1939" spans="1:7" ht="15.75">
      <c r="A1939" s="3252">
        <v>93750</v>
      </c>
      <c r="B1939" s="3252">
        <v>93800</v>
      </c>
      <c r="C1939" s="3252">
        <v>19433</v>
      </c>
      <c r="D1939" s="3252">
        <v>15156</v>
      </c>
      <c r="E1939" s="3252">
        <v>19881</v>
      </c>
      <c r="F1939" s="3252">
        <v>17856</v>
      </c>
      <c r="G1939" s="1698"/>
    </row>
    <row r="1940" spans="1:7" ht="15.75">
      <c r="A1940" s="3252">
        <v>93800</v>
      </c>
      <c r="B1940" s="3252">
        <v>93850</v>
      </c>
      <c r="C1940" s="3252">
        <v>19447</v>
      </c>
      <c r="D1940" s="3252">
        <v>15169</v>
      </c>
      <c r="E1940" s="3252">
        <v>19895</v>
      </c>
      <c r="F1940" s="3252">
        <v>17869</v>
      </c>
      <c r="G1940" s="1698"/>
    </row>
    <row r="1941" spans="1:7" ht="15.75">
      <c r="A1941" s="3252">
        <v>93850</v>
      </c>
      <c r="B1941" s="3252">
        <v>93900</v>
      </c>
      <c r="C1941" s="3252">
        <v>19461</v>
      </c>
      <c r="D1941" s="3252">
        <v>15181</v>
      </c>
      <c r="E1941" s="3252">
        <v>19909</v>
      </c>
      <c r="F1941" s="3252">
        <v>17881</v>
      </c>
      <c r="G1941" s="1698"/>
    </row>
    <row r="1942" spans="1:7" ht="15.75">
      <c r="A1942" s="3252">
        <v>93900</v>
      </c>
      <c r="B1942" s="3252">
        <v>93950</v>
      </c>
      <c r="C1942" s="3252">
        <v>19475</v>
      </c>
      <c r="D1942" s="3252">
        <v>15194</v>
      </c>
      <c r="E1942" s="3252">
        <v>19923</v>
      </c>
      <c r="F1942" s="3252">
        <v>17894</v>
      </c>
      <c r="G1942" s="1698"/>
    </row>
    <row r="1943" spans="1:7" ht="15.75">
      <c r="A1943" s="3252">
        <v>93950</v>
      </c>
      <c r="B1943" s="3252">
        <v>94000</v>
      </c>
      <c r="C1943" s="3252">
        <v>19489</v>
      </c>
      <c r="D1943" s="3252">
        <v>15206</v>
      </c>
      <c r="E1943" s="3252">
        <v>19937</v>
      </c>
      <c r="F1943" s="3252">
        <v>17906</v>
      </c>
      <c r="G1943" s="1698"/>
    </row>
    <row r="1944" spans="1:7" ht="15.75">
      <c r="A1944" s="3252">
        <v>94000</v>
      </c>
      <c r="B1944" s="3252">
        <v>94050</v>
      </c>
      <c r="C1944" s="3252">
        <v>19503</v>
      </c>
      <c r="D1944" s="3252">
        <v>15219</v>
      </c>
      <c r="E1944" s="3252">
        <v>19951</v>
      </c>
      <c r="F1944" s="3252">
        <v>17919</v>
      </c>
      <c r="G1944" s="1698"/>
    </row>
    <row r="1945" spans="1:7" ht="15.75">
      <c r="A1945" s="3252">
        <v>94050</v>
      </c>
      <c r="B1945" s="3252">
        <v>94100</v>
      </c>
      <c r="C1945" s="3252">
        <v>19517</v>
      </c>
      <c r="D1945" s="3252">
        <v>15231</v>
      </c>
      <c r="E1945" s="3252">
        <v>19965</v>
      </c>
      <c r="F1945" s="3252">
        <v>17931</v>
      </c>
      <c r="G1945" s="1698"/>
    </row>
    <row r="1946" spans="1:7" ht="15.75">
      <c r="A1946" s="3252">
        <v>94100</v>
      </c>
      <c r="B1946" s="3252">
        <v>94150</v>
      </c>
      <c r="C1946" s="3252">
        <v>19531</v>
      </c>
      <c r="D1946" s="3252">
        <v>15244</v>
      </c>
      <c r="E1946" s="3252">
        <v>19979</v>
      </c>
      <c r="F1946" s="3252">
        <v>17944</v>
      </c>
      <c r="G1946" s="1698"/>
    </row>
    <row r="1947" spans="1:7" ht="15.75">
      <c r="A1947" s="3252">
        <v>94150</v>
      </c>
      <c r="B1947" s="3252">
        <v>94200</v>
      </c>
      <c r="C1947" s="3252">
        <v>19545</v>
      </c>
      <c r="D1947" s="3252">
        <v>15256</v>
      </c>
      <c r="E1947" s="3252">
        <v>19993</v>
      </c>
      <c r="F1947" s="3252">
        <v>17956</v>
      </c>
      <c r="G1947" s="1698"/>
    </row>
    <row r="1948" spans="1:7" ht="15.75">
      <c r="A1948" s="3252">
        <v>94200</v>
      </c>
      <c r="B1948" s="3252">
        <v>94250</v>
      </c>
      <c r="C1948" s="3252">
        <v>19559</v>
      </c>
      <c r="D1948" s="3252">
        <v>15269</v>
      </c>
      <c r="E1948" s="3252">
        <v>20007</v>
      </c>
      <c r="F1948" s="3252">
        <v>17969</v>
      </c>
      <c r="G1948" s="1698"/>
    </row>
    <row r="1949" spans="1:7" ht="15.75">
      <c r="A1949" s="3252">
        <v>94250</v>
      </c>
      <c r="B1949" s="3252">
        <v>94300</v>
      </c>
      <c r="C1949" s="3252">
        <v>19573</v>
      </c>
      <c r="D1949" s="3252">
        <v>15281</v>
      </c>
      <c r="E1949" s="3252">
        <v>20021</v>
      </c>
      <c r="F1949" s="3252">
        <v>17981</v>
      </c>
      <c r="G1949" s="1698"/>
    </row>
    <row r="1950" spans="1:7" ht="15.75">
      <c r="A1950" s="3252">
        <v>94300</v>
      </c>
      <c r="B1950" s="3252">
        <v>94350</v>
      </c>
      <c r="C1950" s="3252">
        <v>19587</v>
      </c>
      <c r="D1950" s="3252">
        <v>15294</v>
      </c>
      <c r="E1950" s="3252">
        <v>20035</v>
      </c>
      <c r="F1950" s="3252">
        <v>17994</v>
      </c>
      <c r="G1950" s="1698"/>
    </row>
    <row r="1951" spans="1:7" ht="15.75">
      <c r="A1951" s="3252">
        <v>94350</v>
      </c>
      <c r="B1951" s="3252">
        <v>94400</v>
      </c>
      <c r="C1951" s="3252">
        <v>19601</v>
      </c>
      <c r="D1951" s="3252">
        <v>15306</v>
      </c>
      <c r="E1951" s="3252">
        <v>20049</v>
      </c>
      <c r="F1951" s="3252">
        <v>18006</v>
      </c>
      <c r="G1951" s="1698"/>
    </row>
    <row r="1952" spans="1:7" ht="15.75">
      <c r="A1952" s="3252">
        <v>94400</v>
      </c>
      <c r="B1952" s="3252">
        <v>94450</v>
      </c>
      <c r="C1952" s="3252">
        <v>19615</v>
      </c>
      <c r="D1952" s="3252">
        <v>15319</v>
      </c>
      <c r="E1952" s="3252">
        <v>20063</v>
      </c>
      <c r="F1952" s="3252">
        <v>18019</v>
      </c>
      <c r="G1952" s="1698"/>
    </row>
    <row r="1953" spans="1:7" ht="15.75">
      <c r="A1953" s="3252">
        <v>94450</v>
      </c>
      <c r="B1953" s="3252">
        <v>94500</v>
      </c>
      <c r="C1953" s="3252">
        <v>19629</v>
      </c>
      <c r="D1953" s="3252">
        <v>15331</v>
      </c>
      <c r="E1953" s="3252">
        <v>20077</v>
      </c>
      <c r="F1953" s="3252">
        <v>18031</v>
      </c>
      <c r="G1953" s="1698"/>
    </row>
    <row r="1954" spans="1:7" ht="15.75">
      <c r="A1954" s="3252">
        <v>94500</v>
      </c>
      <c r="B1954" s="3252">
        <v>94550</v>
      </c>
      <c r="C1954" s="3252">
        <v>19643</v>
      </c>
      <c r="D1954" s="3252">
        <v>15344</v>
      </c>
      <c r="E1954" s="3252">
        <v>20091</v>
      </c>
      <c r="F1954" s="3252">
        <v>18044</v>
      </c>
      <c r="G1954" s="1698"/>
    </row>
    <row r="1955" spans="1:7" ht="15.75">
      <c r="A1955" s="3252">
        <v>94550</v>
      </c>
      <c r="B1955" s="3252">
        <v>94600</v>
      </c>
      <c r="C1955" s="3252">
        <v>19657</v>
      </c>
      <c r="D1955" s="3252">
        <v>15356</v>
      </c>
      <c r="E1955" s="3252">
        <v>20105</v>
      </c>
      <c r="F1955" s="3252">
        <v>18056</v>
      </c>
      <c r="G1955" s="1698"/>
    </row>
    <row r="1956" spans="1:7" ht="15.75">
      <c r="A1956" s="3252">
        <v>94600</v>
      </c>
      <c r="B1956" s="3252">
        <v>94650</v>
      </c>
      <c r="C1956" s="3252">
        <v>19671</v>
      </c>
      <c r="D1956" s="3252">
        <v>15369</v>
      </c>
      <c r="E1956" s="3252">
        <v>20119</v>
      </c>
      <c r="F1956" s="3252">
        <v>18069</v>
      </c>
      <c r="G1956" s="1698"/>
    </row>
    <row r="1957" spans="1:7" ht="15.75">
      <c r="A1957" s="3252">
        <v>94650</v>
      </c>
      <c r="B1957" s="3252">
        <v>94700</v>
      </c>
      <c r="C1957" s="3252">
        <v>19685</v>
      </c>
      <c r="D1957" s="3252">
        <v>15381</v>
      </c>
      <c r="E1957" s="3252">
        <v>20133</v>
      </c>
      <c r="F1957" s="3252">
        <v>18081</v>
      </c>
      <c r="G1957" s="1698"/>
    </row>
    <row r="1958" spans="1:7" ht="15.75">
      <c r="A1958" s="3252">
        <v>94700</v>
      </c>
      <c r="B1958" s="3252">
        <v>94750</v>
      </c>
      <c r="C1958" s="3252">
        <v>19699</v>
      </c>
      <c r="D1958" s="3252">
        <v>15394</v>
      </c>
      <c r="E1958" s="3252">
        <v>20147</v>
      </c>
      <c r="F1958" s="3252">
        <v>18094</v>
      </c>
      <c r="G1958" s="1698"/>
    </row>
    <row r="1959" spans="1:7" ht="15.75">
      <c r="A1959" s="3252">
        <v>94750</v>
      </c>
      <c r="B1959" s="3252">
        <v>94800</v>
      </c>
      <c r="C1959" s="3252">
        <v>19713</v>
      </c>
      <c r="D1959" s="3252">
        <v>15406</v>
      </c>
      <c r="E1959" s="3252">
        <v>20161</v>
      </c>
      <c r="F1959" s="3252">
        <v>18106</v>
      </c>
      <c r="G1959" s="1698"/>
    </row>
    <row r="1960" spans="1:7" ht="15.75">
      <c r="A1960" s="3252">
        <v>94800</v>
      </c>
      <c r="B1960" s="3252">
        <v>94850</v>
      </c>
      <c r="C1960" s="3252">
        <v>19727</v>
      </c>
      <c r="D1960" s="3252">
        <v>15419</v>
      </c>
      <c r="E1960" s="3252">
        <v>20175</v>
      </c>
      <c r="F1960" s="3252">
        <v>18119</v>
      </c>
      <c r="G1960" s="1698"/>
    </row>
    <row r="1961" spans="1:7" ht="15.75">
      <c r="A1961" s="3252">
        <v>94850</v>
      </c>
      <c r="B1961" s="3252">
        <v>94900</v>
      </c>
      <c r="C1961" s="3252">
        <v>19741</v>
      </c>
      <c r="D1961" s="3252">
        <v>15431</v>
      </c>
      <c r="E1961" s="3252">
        <v>20189</v>
      </c>
      <c r="F1961" s="3252">
        <v>18131</v>
      </c>
      <c r="G1961" s="1698"/>
    </row>
    <row r="1962" spans="1:7" ht="15.75">
      <c r="A1962" s="3252">
        <v>94900</v>
      </c>
      <c r="B1962" s="3252">
        <v>94950</v>
      </c>
      <c r="C1962" s="3252">
        <v>19755</v>
      </c>
      <c r="D1962" s="3252">
        <v>15444</v>
      </c>
      <c r="E1962" s="3252">
        <v>20203</v>
      </c>
      <c r="F1962" s="3252">
        <v>18144</v>
      </c>
      <c r="G1962" s="1698"/>
    </row>
    <row r="1963" spans="1:7" ht="15.75">
      <c r="A1963" s="3252">
        <v>94950</v>
      </c>
      <c r="B1963" s="3252">
        <v>95000</v>
      </c>
      <c r="C1963" s="3252">
        <v>19769</v>
      </c>
      <c r="D1963" s="3252">
        <v>15456</v>
      </c>
      <c r="E1963" s="3252">
        <v>20217</v>
      </c>
      <c r="F1963" s="3252">
        <v>18156</v>
      </c>
      <c r="G1963" s="1698"/>
    </row>
    <row r="1964" spans="1:7" ht="15.75">
      <c r="A1964" s="3252">
        <v>95000</v>
      </c>
      <c r="B1964" s="3252">
        <v>95050</v>
      </c>
      <c r="C1964" s="3252">
        <v>19783</v>
      </c>
      <c r="D1964" s="3252">
        <v>15469</v>
      </c>
      <c r="E1964" s="3252">
        <v>20231</v>
      </c>
      <c r="F1964" s="3252">
        <v>18169</v>
      </c>
      <c r="G1964" s="1698"/>
    </row>
    <row r="1965" spans="1:7" ht="15.75">
      <c r="A1965" s="3252">
        <v>95050</v>
      </c>
      <c r="B1965" s="3252">
        <v>95100</v>
      </c>
      <c r="C1965" s="3252">
        <v>19797</v>
      </c>
      <c r="D1965" s="3252">
        <v>15481</v>
      </c>
      <c r="E1965" s="3252">
        <v>20245</v>
      </c>
      <c r="F1965" s="3252">
        <v>18181</v>
      </c>
      <c r="G1965" s="1698"/>
    </row>
    <row r="1966" spans="1:7" ht="15.75">
      <c r="A1966" s="3252">
        <v>95100</v>
      </c>
      <c r="B1966" s="3252">
        <v>95150</v>
      </c>
      <c r="C1966" s="3252">
        <v>19811</v>
      </c>
      <c r="D1966" s="3252">
        <v>15494</v>
      </c>
      <c r="E1966" s="3252">
        <v>20259</v>
      </c>
      <c r="F1966" s="3252">
        <v>18194</v>
      </c>
      <c r="G1966" s="1698"/>
    </row>
    <row r="1967" spans="1:7" ht="15.75">
      <c r="A1967" s="3252">
        <v>95150</v>
      </c>
      <c r="B1967" s="3252">
        <v>95200</v>
      </c>
      <c r="C1967" s="3252">
        <v>19825</v>
      </c>
      <c r="D1967" s="3252">
        <v>15506</v>
      </c>
      <c r="E1967" s="3252">
        <v>20273</v>
      </c>
      <c r="F1967" s="3252">
        <v>18206</v>
      </c>
      <c r="G1967" s="1698"/>
    </row>
    <row r="1968" spans="1:7" ht="15.75">
      <c r="A1968" s="3252">
        <v>95200</v>
      </c>
      <c r="B1968" s="3252">
        <v>95250</v>
      </c>
      <c r="C1968" s="3252">
        <v>19839</v>
      </c>
      <c r="D1968" s="3252">
        <v>15519</v>
      </c>
      <c r="E1968" s="3252">
        <v>20287</v>
      </c>
      <c r="F1968" s="3252">
        <v>18219</v>
      </c>
      <c r="G1968" s="1698"/>
    </row>
    <row r="1969" spans="1:7" ht="15.75">
      <c r="A1969" s="3252">
        <v>95250</v>
      </c>
      <c r="B1969" s="3252">
        <v>95300</v>
      </c>
      <c r="C1969" s="3252">
        <v>19853</v>
      </c>
      <c r="D1969" s="3252">
        <v>15531</v>
      </c>
      <c r="E1969" s="3252">
        <v>20301</v>
      </c>
      <c r="F1969" s="3252">
        <v>18231</v>
      </c>
      <c r="G1969" s="1698"/>
    </row>
    <row r="1970" spans="1:7" ht="15.75">
      <c r="A1970" s="3252">
        <v>95300</v>
      </c>
      <c r="B1970" s="3252">
        <v>95350</v>
      </c>
      <c r="C1970" s="3252">
        <v>19867</v>
      </c>
      <c r="D1970" s="3252">
        <v>15544</v>
      </c>
      <c r="E1970" s="3252">
        <v>20315</v>
      </c>
      <c r="F1970" s="3252">
        <v>18244</v>
      </c>
      <c r="G1970" s="1698"/>
    </row>
    <row r="1971" spans="1:7" ht="15.75">
      <c r="A1971" s="3252">
        <v>95350</v>
      </c>
      <c r="B1971" s="3252">
        <v>95400</v>
      </c>
      <c r="C1971" s="3252">
        <v>19881</v>
      </c>
      <c r="D1971" s="3252">
        <v>15556</v>
      </c>
      <c r="E1971" s="3252">
        <v>20329</v>
      </c>
      <c r="F1971" s="3252">
        <v>18256</v>
      </c>
      <c r="G1971" s="1698"/>
    </row>
    <row r="1972" spans="1:7" ht="15.75">
      <c r="A1972" s="3252">
        <v>95400</v>
      </c>
      <c r="B1972" s="3252">
        <v>95450</v>
      </c>
      <c r="C1972" s="3252">
        <v>19895</v>
      </c>
      <c r="D1972" s="3252">
        <v>15569</v>
      </c>
      <c r="E1972" s="3252">
        <v>20343</v>
      </c>
      <c r="F1972" s="3252">
        <v>18269</v>
      </c>
      <c r="G1972" s="1698"/>
    </row>
    <row r="1973" spans="1:7" ht="15.75">
      <c r="A1973" s="3252">
        <v>95450</v>
      </c>
      <c r="B1973" s="3252">
        <v>95500</v>
      </c>
      <c r="C1973" s="3252">
        <v>19909</v>
      </c>
      <c r="D1973" s="3252">
        <v>15581</v>
      </c>
      <c r="E1973" s="3252">
        <v>20357</v>
      </c>
      <c r="F1973" s="3252">
        <v>18281</v>
      </c>
      <c r="G1973" s="1698"/>
    </row>
    <row r="1974" spans="1:7" ht="15.75">
      <c r="A1974" s="3252">
        <v>95500</v>
      </c>
      <c r="B1974" s="3252">
        <v>95550</v>
      </c>
      <c r="C1974" s="3252">
        <v>19923</v>
      </c>
      <c r="D1974" s="3252">
        <v>15594</v>
      </c>
      <c r="E1974" s="3252">
        <v>20371</v>
      </c>
      <c r="F1974" s="3252">
        <v>18294</v>
      </c>
      <c r="G1974" s="1698"/>
    </row>
    <row r="1975" spans="1:7" ht="15.75">
      <c r="A1975" s="3252">
        <v>95550</v>
      </c>
      <c r="B1975" s="3252">
        <v>95600</v>
      </c>
      <c r="C1975" s="3252">
        <v>19937</v>
      </c>
      <c r="D1975" s="3252">
        <v>15606</v>
      </c>
      <c r="E1975" s="3252">
        <v>20385</v>
      </c>
      <c r="F1975" s="3252">
        <v>18306</v>
      </c>
      <c r="G1975" s="1698"/>
    </row>
    <row r="1976" spans="1:7" ht="15.75">
      <c r="A1976" s="3252">
        <v>95600</v>
      </c>
      <c r="B1976" s="3252">
        <v>95650</v>
      </c>
      <c r="C1976" s="3252">
        <v>19951</v>
      </c>
      <c r="D1976" s="3252">
        <v>15619</v>
      </c>
      <c r="E1976" s="3252">
        <v>20399</v>
      </c>
      <c r="F1976" s="3252">
        <v>18319</v>
      </c>
      <c r="G1976" s="1698"/>
    </row>
    <row r="1977" spans="1:7" ht="15.75">
      <c r="A1977" s="3252">
        <v>95650</v>
      </c>
      <c r="B1977" s="3252">
        <v>95700</v>
      </c>
      <c r="C1977" s="3252">
        <v>19965</v>
      </c>
      <c r="D1977" s="3252">
        <v>15631</v>
      </c>
      <c r="E1977" s="3252">
        <v>20413</v>
      </c>
      <c r="F1977" s="3252">
        <v>18331</v>
      </c>
      <c r="G1977" s="1698"/>
    </row>
    <row r="1978" spans="1:7" ht="15.75">
      <c r="A1978" s="3252">
        <v>95700</v>
      </c>
      <c r="B1978" s="3252">
        <v>95750</v>
      </c>
      <c r="C1978" s="3252">
        <v>19979</v>
      </c>
      <c r="D1978" s="3252">
        <v>15644</v>
      </c>
      <c r="E1978" s="3252">
        <v>20427</v>
      </c>
      <c r="F1978" s="3252">
        <v>18344</v>
      </c>
      <c r="G1978" s="1698"/>
    </row>
    <row r="1979" spans="1:7" ht="15.75">
      <c r="A1979" s="3252">
        <v>95750</v>
      </c>
      <c r="B1979" s="3252">
        <v>95800</v>
      </c>
      <c r="C1979" s="3252">
        <v>19993</v>
      </c>
      <c r="D1979" s="3252">
        <v>15656</v>
      </c>
      <c r="E1979" s="3252">
        <v>20441</v>
      </c>
      <c r="F1979" s="3252">
        <v>18356</v>
      </c>
      <c r="G1979" s="1698"/>
    </row>
    <row r="1980" spans="1:7" ht="15.75">
      <c r="A1980" s="3252">
        <v>95800</v>
      </c>
      <c r="B1980" s="3252">
        <v>95850</v>
      </c>
      <c r="C1980" s="3252">
        <v>20007</v>
      </c>
      <c r="D1980" s="3252">
        <v>15669</v>
      </c>
      <c r="E1980" s="3252">
        <v>20455</v>
      </c>
      <c r="F1980" s="3252">
        <v>18369</v>
      </c>
      <c r="G1980" s="1698"/>
    </row>
    <row r="1981" spans="1:7" ht="15.75">
      <c r="A1981" s="3252">
        <v>95850</v>
      </c>
      <c r="B1981" s="3252">
        <v>95900</v>
      </c>
      <c r="C1981" s="3252">
        <v>20021</v>
      </c>
      <c r="D1981" s="3252">
        <v>15681</v>
      </c>
      <c r="E1981" s="3252">
        <v>20469</v>
      </c>
      <c r="F1981" s="3252">
        <v>18381</v>
      </c>
      <c r="G1981" s="1698"/>
    </row>
    <row r="1982" spans="1:7" ht="15.75">
      <c r="A1982" s="3252">
        <v>95900</v>
      </c>
      <c r="B1982" s="3252">
        <v>95950</v>
      </c>
      <c r="C1982" s="3252">
        <v>20035</v>
      </c>
      <c r="D1982" s="3252">
        <v>15694</v>
      </c>
      <c r="E1982" s="3252">
        <v>20483</v>
      </c>
      <c r="F1982" s="3252">
        <v>18394</v>
      </c>
      <c r="G1982" s="1698"/>
    </row>
    <row r="1983" spans="1:7" ht="15.75">
      <c r="A1983" s="3252">
        <v>95950</v>
      </c>
      <c r="B1983" s="3252">
        <v>96000</v>
      </c>
      <c r="C1983" s="3252">
        <v>20049</v>
      </c>
      <c r="D1983" s="3252">
        <v>15706</v>
      </c>
      <c r="E1983" s="3252">
        <v>20497</v>
      </c>
      <c r="F1983" s="3252">
        <v>18406</v>
      </c>
      <c r="G1983" s="1698"/>
    </row>
    <row r="1984" spans="1:7" ht="15.75">
      <c r="A1984" s="3252">
        <v>96000</v>
      </c>
      <c r="B1984" s="3252">
        <v>96050</v>
      </c>
      <c r="C1984" s="3252">
        <v>20063</v>
      </c>
      <c r="D1984" s="3252">
        <v>15719</v>
      </c>
      <c r="E1984" s="3252">
        <v>20511</v>
      </c>
      <c r="F1984" s="3252">
        <v>18419</v>
      </c>
      <c r="G1984" s="1698"/>
    </row>
    <row r="1985" spans="1:7" ht="15.75">
      <c r="A1985" s="3252">
        <v>96050</v>
      </c>
      <c r="B1985" s="3252">
        <v>96100</v>
      </c>
      <c r="C1985" s="3252">
        <v>20077</v>
      </c>
      <c r="D1985" s="3252">
        <v>15731</v>
      </c>
      <c r="E1985" s="3252">
        <v>20525</v>
      </c>
      <c r="F1985" s="3252">
        <v>18431</v>
      </c>
      <c r="G1985" s="1698"/>
    </row>
    <row r="1986" spans="1:7" ht="15.75">
      <c r="A1986" s="3252">
        <v>96100</v>
      </c>
      <c r="B1986" s="3252">
        <v>96150</v>
      </c>
      <c r="C1986" s="3252">
        <v>20091</v>
      </c>
      <c r="D1986" s="3252">
        <v>15744</v>
      </c>
      <c r="E1986" s="3252">
        <v>20539</v>
      </c>
      <c r="F1986" s="3252">
        <v>18444</v>
      </c>
      <c r="G1986" s="1698"/>
    </row>
    <row r="1987" spans="1:7" ht="15.75">
      <c r="A1987" s="3252">
        <v>96150</v>
      </c>
      <c r="B1987" s="3252">
        <v>96200</v>
      </c>
      <c r="C1987" s="3252">
        <v>20105</v>
      </c>
      <c r="D1987" s="3252">
        <v>15756</v>
      </c>
      <c r="E1987" s="3252">
        <v>20553</v>
      </c>
      <c r="F1987" s="3252">
        <v>18456</v>
      </c>
      <c r="G1987" s="1698"/>
    </row>
    <row r="1988" spans="1:7" ht="15.75">
      <c r="A1988" s="3252">
        <v>96200</v>
      </c>
      <c r="B1988" s="3252">
        <v>96250</v>
      </c>
      <c r="C1988" s="3252">
        <v>20119</v>
      </c>
      <c r="D1988" s="3252">
        <v>15769</v>
      </c>
      <c r="E1988" s="3252">
        <v>20567</v>
      </c>
      <c r="F1988" s="3252">
        <v>18469</v>
      </c>
      <c r="G1988" s="1698"/>
    </row>
    <row r="1989" spans="1:7" ht="15.75">
      <c r="A1989" s="3252">
        <v>96250</v>
      </c>
      <c r="B1989" s="3252">
        <v>96300</v>
      </c>
      <c r="C1989" s="3252">
        <v>20133</v>
      </c>
      <c r="D1989" s="3252">
        <v>15781</v>
      </c>
      <c r="E1989" s="3252">
        <v>20581</v>
      </c>
      <c r="F1989" s="3252">
        <v>18481</v>
      </c>
      <c r="G1989" s="1698"/>
    </row>
    <row r="1990" spans="1:7" ht="15.75">
      <c r="A1990" s="3252">
        <v>96300</v>
      </c>
      <c r="B1990" s="3252">
        <v>96350</v>
      </c>
      <c r="C1990" s="3252">
        <v>20147</v>
      </c>
      <c r="D1990" s="3252">
        <v>15794</v>
      </c>
      <c r="E1990" s="3252">
        <v>20595</v>
      </c>
      <c r="F1990" s="3252">
        <v>18494</v>
      </c>
      <c r="G1990" s="1698"/>
    </row>
    <row r="1991" spans="1:7" ht="15.75">
      <c r="A1991" s="3252">
        <v>96350</v>
      </c>
      <c r="B1991" s="3252">
        <v>96400</v>
      </c>
      <c r="C1991" s="3252">
        <v>20161</v>
      </c>
      <c r="D1991" s="3252">
        <v>15806</v>
      </c>
      <c r="E1991" s="3252">
        <v>20609</v>
      </c>
      <c r="F1991" s="3252">
        <v>18506</v>
      </c>
      <c r="G1991" s="1698"/>
    </row>
    <row r="1992" spans="1:7" ht="15.75">
      <c r="A1992" s="3252">
        <v>96400</v>
      </c>
      <c r="B1992" s="3252">
        <v>96450</v>
      </c>
      <c r="C1992" s="3252">
        <v>20175</v>
      </c>
      <c r="D1992" s="3252">
        <v>15819</v>
      </c>
      <c r="E1992" s="3252">
        <v>20623</v>
      </c>
      <c r="F1992" s="3252">
        <v>18519</v>
      </c>
      <c r="G1992" s="1698"/>
    </row>
    <row r="1993" spans="1:7" ht="15.75">
      <c r="A1993" s="3252">
        <v>96450</v>
      </c>
      <c r="B1993" s="3252">
        <v>96500</v>
      </c>
      <c r="C1993" s="3252">
        <v>20189</v>
      </c>
      <c r="D1993" s="3252">
        <v>15831</v>
      </c>
      <c r="E1993" s="3252">
        <v>20637</v>
      </c>
      <c r="F1993" s="3252">
        <v>18531</v>
      </c>
      <c r="G1993" s="1698"/>
    </row>
    <row r="1994" spans="1:7" ht="15.75">
      <c r="A1994" s="3252">
        <v>96500</v>
      </c>
      <c r="B1994" s="3252">
        <v>96550</v>
      </c>
      <c r="C1994" s="3252">
        <v>20203</v>
      </c>
      <c r="D1994" s="3252">
        <v>15844</v>
      </c>
      <c r="E1994" s="3252">
        <v>20651</v>
      </c>
      <c r="F1994" s="3252">
        <v>18544</v>
      </c>
      <c r="G1994" s="1698"/>
    </row>
    <row r="1995" spans="1:7" ht="15.75">
      <c r="A1995" s="3252">
        <v>96550</v>
      </c>
      <c r="B1995" s="3252">
        <v>96600</v>
      </c>
      <c r="C1995" s="3252">
        <v>20217</v>
      </c>
      <c r="D1995" s="3252">
        <v>15856</v>
      </c>
      <c r="E1995" s="3252">
        <v>20665</v>
      </c>
      <c r="F1995" s="3252">
        <v>18556</v>
      </c>
      <c r="G1995" s="1698"/>
    </row>
    <row r="1996" spans="1:7" ht="15.75">
      <c r="A1996" s="3252">
        <v>96600</v>
      </c>
      <c r="B1996" s="3252">
        <v>96650</v>
      </c>
      <c r="C1996" s="3252">
        <v>20231</v>
      </c>
      <c r="D1996" s="3252">
        <v>15869</v>
      </c>
      <c r="E1996" s="3252">
        <v>20679</v>
      </c>
      <c r="F1996" s="3252">
        <v>18569</v>
      </c>
      <c r="G1996" s="1698"/>
    </row>
    <row r="1997" spans="1:7" ht="15.75">
      <c r="A1997" s="3252">
        <v>96650</v>
      </c>
      <c r="B1997" s="3252">
        <v>96700</v>
      </c>
      <c r="C1997" s="3252">
        <v>20245</v>
      </c>
      <c r="D1997" s="3252">
        <v>15881</v>
      </c>
      <c r="E1997" s="3252">
        <v>20693</v>
      </c>
      <c r="F1997" s="3252">
        <v>18581</v>
      </c>
      <c r="G1997" s="1698"/>
    </row>
    <row r="1998" spans="1:7" ht="15.75">
      <c r="A1998" s="3252">
        <v>96700</v>
      </c>
      <c r="B1998" s="3252">
        <v>96750</v>
      </c>
      <c r="C1998" s="3252">
        <v>20259</v>
      </c>
      <c r="D1998" s="3252">
        <v>15894</v>
      </c>
      <c r="E1998" s="3252">
        <v>20707</v>
      </c>
      <c r="F1998" s="3252">
        <v>18594</v>
      </c>
      <c r="G1998" s="1698"/>
    </row>
    <row r="1999" spans="1:7" ht="15.75">
      <c r="A1999" s="3252">
        <v>96750</v>
      </c>
      <c r="B1999" s="3252">
        <v>96800</v>
      </c>
      <c r="C1999" s="3252">
        <v>20273</v>
      </c>
      <c r="D1999" s="3252">
        <v>15906</v>
      </c>
      <c r="E1999" s="3252">
        <v>20721</v>
      </c>
      <c r="F1999" s="3252">
        <v>18606</v>
      </c>
      <c r="G1999" s="1698"/>
    </row>
    <row r="2000" spans="1:7" ht="15.75">
      <c r="A2000" s="3252">
        <v>96800</v>
      </c>
      <c r="B2000" s="3252">
        <v>96850</v>
      </c>
      <c r="C2000" s="3252">
        <v>20287</v>
      </c>
      <c r="D2000" s="3252">
        <v>15919</v>
      </c>
      <c r="E2000" s="3252">
        <v>20735</v>
      </c>
      <c r="F2000" s="3252">
        <v>18619</v>
      </c>
      <c r="G2000" s="1698"/>
    </row>
    <row r="2001" spans="1:7" ht="15.75">
      <c r="A2001" s="3252">
        <v>96850</v>
      </c>
      <c r="B2001" s="3252">
        <v>96900</v>
      </c>
      <c r="C2001" s="3252">
        <v>20301</v>
      </c>
      <c r="D2001" s="3252">
        <v>15931</v>
      </c>
      <c r="E2001" s="3252">
        <v>20749</v>
      </c>
      <c r="F2001" s="3252">
        <v>18631</v>
      </c>
      <c r="G2001" s="1698"/>
    </row>
    <row r="2002" spans="1:7" ht="15.75">
      <c r="A2002" s="3252">
        <v>96900</v>
      </c>
      <c r="B2002" s="3252">
        <v>96950</v>
      </c>
      <c r="C2002" s="3252">
        <v>20315</v>
      </c>
      <c r="D2002" s="3252">
        <v>15944</v>
      </c>
      <c r="E2002" s="3252">
        <v>20763</v>
      </c>
      <c r="F2002" s="3252">
        <v>18644</v>
      </c>
      <c r="G2002" s="1698"/>
    </row>
    <row r="2003" spans="1:7" ht="15.75">
      <c r="A2003" s="3252">
        <v>96950</v>
      </c>
      <c r="B2003" s="3252">
        <v>97000</v>
      </c>
      <c r="C2003" s="3252">
        <v>20329</v>
      </c>
      <c r="D2003" s="3252">
        <v>15956</v>
      </c>
      <c r="E2003" s="3252">
        <v>20777</v>
      </c>
      <c r="F2003" s="3252">
        <v>18656</v>
      </c>
      <c r="G2003" s="1698"/>
    </row>
    <row r="2004" spans="1:7" ht="15.75">
      <c r="A2004" s="3252">
        <v>97000</v>
      </c>
      <c r="B2004" s="3252">
        <v>97050</v>
      </c>
      <c r="C2004" s="3252">
        <v>20343</v>
      </c>
      <c r="D2004" s="3252">
        <v>15969</v>
      </c>
      <c r="E2004" s="3252">
        <v>20791</v>
      </c>
      <c r="F2004" s="3252">
        <v>18669</v>
      </c>
      <c r="G2004" s="1698"/>
    </row>
    <row r="2005" spans="1:7" ht="15.75">
      <c r="A2005" s="3252">
        <v>97050</v>
      </c>
      <c r="B2005" s="3252">
        <v>97100</v>
      </c>
      <c r="C2005" s="3252">
        <v>20357</v>
      </c>
      <c r="D2005" s="3252">
        <v>15981</v>
      </c>
      <c r="E2005" s="3252">
        <v>20805</v>
      </c>
      <c r="F2005" s="3252">
        <v>18681</v>
      </c>
      <c r="G2005" s="1698"/>
    </row>
    <row r="2006" spans="1:7" ht="15.75">
      <c r="A2006" s="3252">
        <v>97100</v>
      </c>
      <c r="B2006" s="3252">
        <v>97150</v>
      </c>
      <c r="C2006" s="3252">
        <v>20371</v>
      </c>
      <c r="D2006" s="3252">
        <v>15994</v>
      </c>
      <c r="E2006" s="3252">
        <v>20819</v>
      </c>
      <c r="F2006" s="3252">
        <v>18694</v>
      </c>
      <c r="G2006" s="1698"/>
    </row>
    <row r="2007" spans="1:7" ht="15.75">
      <c r="A2007" s="3252">
        <v>97150</v>
      </c>
      <c r="B2007" s="3252">
        <v>97200</v>
      </c>
      <c r="C2007" s="3252">
        <v>20385</v>
      </c>
      <c r="D2007" s="3252">
        <v>16006</v>
      </c>
      <c r="E2007" s="3252">
        <v>20833</v>
      </c>
      <c r="F2007" s="3252">
        <v>18706</v>
      </c>
      <c r="G2007" s="1698"/>
    </row>
    <row r="2008" spans="1:7" ht="15.75">
      <c r="A2008" s="3252">
        <v>97200</v>
      </c>
      <c r="B2008" s="3252">
        <v>97250</v>
      </c>
      <c r="C2008" s="3252">
        <v>20399</v>
      </c>
      <c r="D2008" s="3252">
        <v>16019</v>
      </c>
      <c r="E2008" s="3252">
        <v>20847</v>
      </c>
      <c r="F2008" s="3252">
        <v>18719</v>
      </c>
      <c r="G2008" s="1698"/>
    </row>
    <row r="2009" spans="1:7" ht="15.75">
      <c r="A2009" s="3252">
        <v>97250</v>
      </c>
      <c r="B2009" s="3252">
        <v>97300</v>
      </c>
      <c r="C2009" s="3252">
        <v>20413</v>
      </c>
      <c r="D2009" s="3252">
        <v>16031</v>
      </c>
      <c r="E2009" s="3252">
        <v>20861</v>
      </c>
      <c r="F2009" s="3252">
        <v>18731</v>
      </c>
      <c r="G2009" s="1698"/>
    </row>
    <row r="2010" spans="1:7" ht="15.75">
      <c r="A2010" s="3252">
        <v>97300</v>
      </c>
      <c r="B2010" s="3252">
        <v>97350</v>
      </c>
      <c r="C2010" s="3252">
        <v>20427</v>
      </c>
      <c r="D2010" s="3252">
        <v>16044</v>
      </c>
      <c r="E2010" s="3252">
        <v>20875</v>
      </c>
      <c r="F2010" s="3252">
        <v>18744</v>
      </c>
      <c r="G2010" s="1698"/>
    </row>
    <row r="2011" spans="1:7" ht="15.75">
      <c r="A2011" s="3252">
        <v>97350</v>
      </c>
      <c r="B2011" s="3252">
        <v>97400</v>
      </c>
      <c r="C2011" s="3252">
        <v>20441</v>
      </c>
      <c r="D2011" s="3252">
        <v>16056</v>
      </c>
      <c r="E2011" s="3252">
        <v>20889</v>
      </c>
      <c r="F2011" s="3252">
        <v>18756</v>
      </c>
      <c r="G2011" s="1698"/>
    </row>
    <row r="2012" spans="1:7" ht="15.75">
      <c r="A2012" s="3252">
        <v>97400</v>
      </c>
      <c r="B2012" s="3252">
        <v>97450</v>
      </c>
      <c r="C2012" s="3252">
        <v>20455</v>
      </c>
      <c r="D2012" s="3252">
        <v>16069</v>
      </c>
      <c r="E2012" s="3252">
        <v>20903</v>
      </c>
      <c r="F2012" s="3252">
        <v>18769</v>
      </c>
      <c r="G2012" s="1698"/>
    </row>
    <row r="2013" spans="1:7" ht="15.75">
      <c r="A2013" s="3252">
        <v>97450</v>
      </c>
      <c r="B2013" s="3252">
        <v>97500</v>
      </c>
      <c r="C2013" s="3252">
        <v>20469</v>
      </c>
      <c r="D2013" s="3252">
        <v>16081</v>
      </c>
      <c r="E2013" s="3252">
        <v>20917</v>
      </c>
      <c r="F2013" s="3252">
        <v>18781</v>
      </c>
      <c r="G2013" s="1698"/>
    </row>
    <row r="2014" spans="1:7" ht="15.75">
      <c r="A2014" s="3252">
        <v>97500</v>
      </c>
      <c r="B2014" s="3252">
        <v>97550</v>
      </c>
      <c r="C2014" s="3252">
        <v>20483</v>
      </c>
      <c r="D2014" s="3252">
        <v>16094</v>
      </c>
      <c r="E2014" s="3252">
        <v>20931</v>
      </c>
      <c r="F2014" s="3252">
        <v>18794</v>
      </c>
      <c r="G2014" s="1698"/>
    </row>
    <row r="2015" spans="1:7" ht="15.75">
      <c r="A2015" s="3252">
        <v>97550</v>
      </c>
      <c r="B2015" s="3252">
        <v>97600</v>
      </c>
      <c r="C2015" s="3252">
        <v>20497</v>
      </c>
      <c r="D2015" s="3252">
        <v>16106</v>
      </c>
      <c r="E2015" s="3252">
        <v>20945</v>
      </c>
      <c r="F2015" s="3252">
        <v>18806</v>
      </c>
      <c r="G2015" s="1698"/>
    </row>
    <row r="2016" spans="1:7" ht="15.75">
      <c r="A2016" s="3252">
        <v>97600</v>
      </c>
      <c r="B2016" s="3252">
        <v>97650</v>
      </c>
      <c r="C2016" s="3252">
        <v>20511</v>
      </c>
      <c r="D2016" s="3252">
        <v>16119</v>
      </c>
      <c r="E2016" s="3252">
        <v>20959</v>
      </c>
      <c r="F2016" s="3252">
        <v>18819</v>
      </c>
      <c r="G2016" s="1698"/>
    </row>
    <row r="2017" spans="1:7" ht="15.75">
      <c r="A2017" s="3252">
        <v>97650</v>
      </c>
      <c r="B2017" s="3252">
        <v>97700</v>
      </c>
      <c r="C2017" s="3252">
        <v>20525</v>
      </c>
      <c r="D2017" s="3252">
        <v>16131</v>
      </c>
      <c r="E2017" s="3252">
        <v>20973</v>
      </c>
      <c r="F2017" s="3252">
        <v>18831</v>
      </c>
      <c r="G2017" s="1698"/>
    </row>
    <row r="2018" spans="1:7" ht="15.75">
      <c r="A2018" s="3252">
        <v>97700</v>
      </c>
      <c r="B2018" s="3252">
        <v>97750</v>
      </c>
      <c r="C2018" s="3252">
        <v>20539</v>
      </c>
      <c r="D2018" s="3252">
        <v>16144</v>
      </c>
      <c r="E2018" s="3252">
        <v>20987</v>
      </c>
      <c r="F2018" s="3252">
        <v>18844</v>
      </c>
      <c r="G2018" s="1698"/>
    </row>
    <row r="2019" spans="1:7" ht="15.75">
      <c r="A2019" s="3252">
        <v>97750</v>
      </c>
      <c r="B2019" s="3252">
        <v>97800</v>
      </c>
      <c r="C2019" s="3252">
        <v>20553</v>
      </c>
      <c r="D2019" s="3252">
        <v>16156</v>
      </c>
      <c r="E2019" s="3252">
        <v>21001</v>
      </c>
      <c r="F2019" s="3252">
        <v>18856</v>
      </c>
      <c r="G2019" s="1698"/>
    </row>
    <row r="2020" spans="1:7" ht="15.75">
      <c r="A2020" s="3252">
        <v>97800</v>
      </c>
      <c r="B2020" s="3252">
        <v>97850</v>
      </c>
      <c r="C2020" s="3252">
        <v>20567</v>
      </c>
      <c r="D2020" s="3252">
        <v>16169</v>
      </c>
      <c r="E2020" s="3252">
        <v>21015</v>
      </c>
      <c r="F2020" s="3252">
        <v>18869</v>
      </c>
      <c r="G2020" s="1698"/>
    </row>
    <row r="2021" spans="1:7" ht="15.75">
      <c r="A2021" s="3252">
        <v>97850</v>
      </c>
      <c r="B2021" s="3252">
        <v>97900</v>
      </c>
      <c r="C2021" s="3252">
        <v>20581</v>
      </c>
      <c r="D2021" s="3252">
        <v>16181</v>
      </c>
      <c r="E2021" s="3252">
        <v>21029</v>
      </c>
      <c r="F2021" s="3252">
        <v>18881</v>
      </c>
      <c r="G2021" s="1698"/>
    </row>
    <row r="2022" spans="1:7" ht="15.75">
      <c r="A2022" s="3252">
        <v>97900</v>
      </c>
      <c r="B2022" s="3252">
        <v>97950</v>
      </c>
      <c r="C2022" s="3252">
        <v>20595</v>
      </c>
      <c r="D2022" s="3252">
        <v>16194</v>
      </c>
      <c r="E2022" s="3252">
        <v>21043</v>
      </c>
      <c r="F2022" s="3252">
        <v>18894</v>
      </c>
      <c r="G2022" s="1698"/>
    </row>
    <row r="2023" spans="1:7" ht="15.75">
      <c r="A2023" s="3252">
        <v>97950</v>
      </c>
      <c r="B2023" s="3252">
        <v>98000</v>
      </c>
      <c r="C2023" s="3252">
        <v>20609</v>
      </c>
      <c r="D2023" s="3252">
        <v>16206</v>
      </c>
      <c r="E2023" s="3252">
        <v>21057</v>
      </c>
      <c r="F2023" s="3252">
        <v>18906</v>
      </c>
      <c r="G2023" s="1698"/>
    </row>
    <row r="2024" spans="1:7" ht="15.75">
      <c r="A2024" s="3252">
        <v>98000</v>
      </c>
      <c r="B2024" s="3252">
        <v>98050</v>
      </c>
      <c r="C2024" s="3252">
        <v>20623</v>
      </c>
      <c r="D2024" s="3252">
        <v>16219</v>
      </c>
      <c r="E2024" s="3252">
        <v>21071</v>
      </c>
      <c r="F2024" s="3252">
        <v>18919</v>
      </c>
      <c r="G2024" s="1698"/>
    </row>
    <row r="2025" spans="1:7" ht="15.75">
      <c r="A2025" s="3252">
        <v>98050</v>
      </c>
      <c r="B2025" s="3252">
        <v>98100</v>
      </c>
      <c r="C2025" s="3252">
        <v>20637</v>
      </c>
      <c r="D2025" s="3252">
        <v>16231</v>
      </c>
      <c r="E2025" s="3252">
        <v>21085</v>
      </c>
      <c r="F2025" s="3252">
        <v>18931</v>
      </c>
      <c r="G2025" s="1698"/>
    </row>
    <row r="2026" spans="1:7" ht="15.75">
      <c r="A2026" s="3252">
        <v>98100</v>
      </c>
      <c r="B2026" s="3252">
        <v>98150</v>
      </c>
      <c r="C2026" s="3252">
        <v>20651</v>
      </c>
      <c r="D2026" s="3252">
        <v>16244</v>
      </c>
      <c r="E2026" s="3252">
        <v>21099</v>
      </c>
      <c r="F2026" s="3252">
        <v>18944</v>
      </c>
      <c r="G2026" s="1698"/>
    </row>
    <row r="2027" spans="1:7" ht="15.75">
      <c r="A2027" s="3252">
        <v>98150</v>
      </c>
      <c r="B2027" s="3252">
        <v>98200</v>
      </c>
      <c r="C2027" s="3252">
        <v>20665</v>
      </c>
      <c r="D2027" s="3252">
        <v>16256</v>
      </c>
      <c r="E2027" s="3252">
        <v>21113</v>
      </c>
      <c r="F2027" s="3252">
        <v>18956</v>
      </c>
      <c r="G2027" s="1698"/>
    </row>
    <row r="2028" spans="1:7" ht="15.75">
      <c r="A2028" s="3252">
        <v>98200</v>
      </c>
      <c r="B2028" s="3252">
        <v>98250</v>
      </c>
      <c r="C2028" s="3252">
        <v>20679</v>
      </c>
      <c r="D2028" s="3252">
        <v>16269</v>
      </c>
      <c r="E2028" s="3252">
        <v>21127</v>
      </c>
      <c r="F2028" s="3252">
        <v>18969</v>
      </c>
      <c r="G2028" s="1698"/>
    </row>
    <row r="2029" spans="1:7" ht="15.75">
      <c r="A2029" s="3252">
        <v>98250</v>
      </c>
      <c r="B2029" s="3252">
        <v>98300</v>
      </c>
      <c r="C2029" s="3252">
        <v>20693</v>
      </c>
      <c r="D2029" s="3252">
        <v>16281</v>
      </c>
      <c r="E2029" s="3252">
        <v>21141</v>
      </c>
      <c r="F2029" s="3252">
        <v>18981</v>
      </c>
      <c r="G2029" s="1698"/>
    </row>
    <row r="2030" spans="1:7" ht="15.75">
      <c r="A2030" s="3252">
        <v>98300</v>
      </c>
      <c r="B2030" s="3252">
        <v>98350</v>
      </c>
      <c r="C2030" s="3252">
        <v>20707</v>
      </c>
      <c r="D2030" s="3252">
        <v>16294</v>
      </c>
      <c r="E2030" s="3252">
        <v>21155</v>
      </c>
      <c r="F2030" s="3252">
        <v>18994</v>
      </c>
      <c r="G2030" s="1698"/>
    </row>
    <row r="2031" spans="1:7" ht="15.75">
      <c r="A2031" s="3252">
        <v>98350</v>
      </c>
      <c r="B2031" s="3252">
        <v>98400</v>
      </c>
      <c r="C2031" s="3252">
        <v>20721</v>
      </c>
      <c r="D2031" s="3252">
        <v>16306</v>
      </c>
      <c r="E2031" s="3252">
        <v>21169</v>
      </c>
      <c r="F2031" s="3252">
        <v>19006</v>
      </c>
      <c r="G2031" s="1698"/>
    </row>
    <row r="2032" spans="1:7" ht="15.75">
      <c r="A2032" s="3252">
        <v>98400</v>
      </c>
      <c r="B2032" s="3252">
        <v>98450</v>
      </c>
      <c r="C2032" s="3252">
        <v>20735</v>
      </c>
      <c r="D2032" s="3252">
        <v>16319</v>
      </c>
      <c r="E2032" s="3252">
        <v>21183</v>
      </c>
      <c r="F2032" s="3252">
        <v>19019</v>
      </c>
      <c r="G2032" s="1698"/>
    </row>
    <row r="2033" spans="1:7" ht="15.75">
      <c r="A2033" s="3252">
        <v>98450</v>
      </c>
      <c r="B2033" s="3252">
        <v>98500</v>
      </c>
      <c r="C2033" s="3252">
        <v>20749</v>
      </c>
      <c r="D2033" s="3252">
        <v>16331</v>
      </c>
      <c r="E2033" s="3252">
        <v>21197</v>
      </c>
      <c r="F2033" s="3252">
        <v>19031</v>
      </c>
      <c r="G2033" s="1698"/>
    </row>
    <row r="2034" spans="1:7" ht="15.75">
      <c r="A2034" s="3252">
        <v>98500</v>
      </c>
      <c r="B2034" s="3252">
        <v>98550</v>
      </c>
      <c r="C2034" s="3252">
        <v>20763</v>
      </c>
      <c r="D2034" s="3252">
        <v>16344</v>
      </c>
      <c r="E2034" s="3252">
        <v>21211</v>
      </c>
      <c r="F2034" s="3252">
        <v>19044</v>
      </c>
      <c r="G2034" s="1698"/>
    </row>
    <row r="2035" spans="1:7" ht="15.75">
      <c r="A2035" s="3252">
        <v>98550</v>
      </c>
      <c r="B2035" s="3252">
        <v>98600</v>
      </c>
      <c r="C2035" s="3252">
        <v>20777</v>
      </c>
      <c r="D2035" s="3252">
        <v>16356</v>
      </c>
      <c r="E2035" s="3252">
        <v>21225</v>
      </c>
      <c r="F2035" s="3252">
        <v>19056</v>
      </c>
      <c r="G2035" s="1698"/>
    </row>
    <row r="2036" spans="1:7" ht="15.75">
      <c r="A2036" s="3252">
        <v>98600</v>
      </c>
      <c r="B2036" s="3252">
        <v>98650</v>
      </c>
      <c r="C2036" s="3252">
        <v>20791</v>
      </c>
      <c r="D2036" s="3252">
        <v>16369</v>
      </c>
      <c r="E2036" s="3252">
        <v>21239</v>
      </c>
      <c r="F2036" s="3252">
        <v>19069</v>
      </c>
      <c r="G2036" s="1698"/>
    </row>
    <row r="2037" spans="1:7" ht="15.75">
      <c r="A2037" s="3252">
        <v>98650</v>
      </c>
      <c r="B2037" s="3252">
        <v>98700</v>
      </c>
      <c r="C2037" s="3252">
        <v>20805</v>
      </c>
      <c r="D2037" s="3252">
        <v>16381</v>
      </c>
      <c r="E2037" s="3252">
        <v>21253</v>
      </c>
      <c r="F2037" s="3252">
        <v>19081</v>
      </c>
      <c r="G2037" s="1698"/>
    </row>
    <row r="2038" spans="1:7" ht="15.75">
      <c r="A2038" s="3252">
        <v>98700</v>
      </c>
      <c r="B2038" s="3252">
        <v>98750</v>
      </c>
      <c r="C2038" s="3252">
        <v>20819</v>
      </c>
      <c r="D2038" s="3252">
        <v>16394</v>
      </c>
      <c r="E2038" s="3252">
        <v>21267</v>
      </c>
      <c r="F2038" s="3252">
        <v>19094</v>
      </c>
      <c r="G2038" s="1698"/>
    </row>
    <row r="2039" spans="1:7" ht="15.75">
      <c r="A2039" s="3252">
        <v>98750</v>
      </c>
      <c r="B2039" s="3252">
        <v>98800</v>
      </c>
      <c r="C2039" s="3252">
        <v>20833</v>
      </c>
      <c r="D2039" s="3252">
        <v>16406</v>
      </c>
      <c r="E2039" s="3252">
        <v>21281</v>
      </c>
      <c r="F2039" s="3252">
        <v>19106</v>
      </c>
      <c r="G2039" s="1698"/>
    </row>
    <row r="2040" spans="1:7" ht="15.75">
      <c r="A2040" s="3252">
        <v>98800</v>
      </c>
      <c r="B2040" s="3252">
        <v>98850</v>
      </c>
      <c r="C2040" s="3252">
        <v>20847</v>
      </c>
      <c r="D2040" s="3252">
        <v>16419</v>
      </c>
      <c r="E2040" s="3252">
        <v>21295</v>
      </c>
      <c r="F2040" s="3252">
        <v>19119</v>
      </c>
      <c r="G2040" s="1698"/>
    </row>
    <row r="2041" spans="1:7" ht="15.75">
      <c r="A2041" s="3252">
        <v>98850</v>
      </c>
      <c r="B2041" s="3252">
        <v>98900</v>
      </c>
      <c r="C2041" s="3252">
        <v>20861</v>
      </c>
      <c r="D2041" s="3252">
        <v>16431</v>
      </c>
      <c r="E2041" s="3252">
        <v>21309</v>
      </c>
      <c r="F2041" s="3252">
        <v>19131</v>
      </c>
      <c r="G2041" s="1698"/>
    </row>
    <row r="2042" spans="1:7" ht="15.75">
      <c r="A2042" s="3252">
        <v>98900</v>
      </c>
      <c r="B2042" s="3252">
        <v>98950</v>
      </c>
      <c r="C2042" s="3252">
        <v>20875</v>
      </c>
      <c r="D2042" s="3252">
        <v>16444</v>
      </c>
      <c r="E2042" s="3252">
        <v>21323</v>
      </c>
      <c r="F2042" s="3252">
        <v>19144</v>
      </c>
      <c r="G2042" s="1698"/>
    </row>
    <row r="2043" spans="1:7" ht="15.75">
      <c r="A2043" s="3252">
        <v>98950</v>
      </c>
      <c r="B2043" s="3252">
        <v>99000</v>
      </c>
      <c r="C2043" s="3252">
        <v>20889</v>
      </c>
      <c r="D2043" s="3252">
        <v>16456</v>
      </c>
      <c r="E2043" s="3252">
        <v>21337</v>
      </c>
      <c r="F2043" s="3252">
        <v>19156</v>
      </c>
      <c r="G2043" s="1698"/>
    </row>
    <row r="2044" spans="1:7" ht="15.75">
      <c r="A2044" s="3252">
        <v>99000</v>
      </c>
      <c r="B2044" s="3252">
        <v>99050</v>
      </c>
      <c r="C2044" s="3252">
        <v>20903</v>
      </c>
      <c r="D2044" s="3252">
        <v>16469</v>
      </c>
      <c r="E2044" s="3252">
        <v>21351</v>
      </c>
      <c r="F2044" s="3252">
        <v>19169</v>
      </c>
      <c r="G2044" s="1698"/>
    </row>
    <row r="2045" spans="1:7" ht="15.75">
      <c r="A2045" s="3252">
        <v>99050</v>
      </c>
      <c r="B2045" s="3252">
        <v>99100</v>
      </c>
      <c r="C2045" s="3252">
        <v>20917</v>
      </c>
      <c r="D2045" s="3252">
        <v>16481</v>
      </c>
      <c r="E2045" s="3252">
        <v>21365</v>
      </c>
      <c r="F2045" s="3252">
        <v>19181</v>
      </c>
      <c r="G2045" s="1698"/>
    </row>
    <row r="2046" spans="1:7" ht="15.75">
      <c r="A2046" s="3252">
        <v>99100</v>
      </c>
      <c r="B2046" s="3252">
        <v>99150</v>
      </c>
      <c r="C2046" s="3252">
        <v>20931</v>
      </c>
      <c r="D2046" s="3252">
        <v>16494</v>
      </c>
      <c r="E2046" s="3252">
        <v>21379</v>
      </c>
      <c r="F2046" s="3252">
        <v>19194</v>
      </c>
      <c r="G2046" s="1698"/>
    </row>
    <row r="2047" spans="1:7" ht="15.75">
      <c r="A2047" s="3252">
        <v>99150</v>
      </c>
      <c r="B2047" s="3252">
        <v>99200</v>
      </c>
      <c r="C2047" s="3252">
        <v>20945</v>
      </c>
      <c r="D2047" s="3252">
        <v>16506</v>
      </c>
      <c r="E2047" s="3252">
        <v>21393</v>
      </c>
      <c r="F2047" s="3252">
        <v>19206</v>
      </c>
      <c r="G2047" s="1698"/>
    </row>
    <row r="2048" spans="1:7" ht="15.75">
      <c r="A2048" s="3252">
        <v>99200</v>
      </c>
      <c r="B2048" s="3252">
        <v>99250</v>
      </c>
      <c r="C2048" s="3252">
        <v>20959</v>
      </c>
      <c r="D2048" s="3252">
        <v>16519</v>
      </c>
      <c r="E2048" s="3252">
        <v>21407</v>
      </c>
      <c r="F2048" s="3252">
        <v>19219</v>
      </c>
      <c r="G2048" s="1698"/>
    </row>
    <row r="2049" spans="1:7" ht="15.75">
      <c r="A2049" s="3252">
        <v>99250</v>
      </c>
      <c r="B2049" s="3252">
        <v>99300</v>
      </c>
      <c r="C2049" s="3252">
        <v>20973</v>
      </c>
      <c r="D2049" s="3252">
        <v>16531</v>
      </c>
      <c r="E2049" s="3252">
        <v>21421</v>
      </c>
      <c r="F2049" s="3252">
        <v>19231</v>
      </c>
      <c r="G2049" s="1698"/>
    </row>
    <row r="2050" spans="1:7" ht="15.75">
      <c r="A2050" s="3252">
        <v>99300</v>
      </c>
      <c r="B2050" s="3252">
        <v>99350</v>
      </c>
      <c r="C2050" s="3252">
        <v>20987</v>
      </c>
      <c r="D2050" s="3252">
        <v>16544</v>
      </c>
      <c r="E2050" s="3252">
        <v>21435</v>
      </c>
      <c r="F2050" s="3252">
        <v>19244</v>
      </c>
      <c r="G2050" s="1698"/>
    </row>
    <row r="2051" spans="1:7" ht="15.75">
      <c r="A2051" s="3252">
        <v>99350</v>
      </c>
      <c r="B2051" s="3252">
        <v>99400</v>
      </c>
      <c r="C2051" s="3252">
        <v>21001</v>
      </c>
      <c r="D2051" s="3252">
        <v>16556</v>
      </c>
      <c r="E2051" s="3252">
        <v>21449</v>
      </c>
      <c r="F2051" s="3252">
        <v>19256</v>
      </c>
      <c r="G2051" s="1698"/>
    </row>
    <row r="2052" spans="1:7" ht="15.75">
      <c r="A2052" s="3252">
        <v>99400</v>
      </c>
      <c r="B2052" s="3252">
        <v>99450</v>
      </c>
      <c r="C2052" s="3252">
        <v>21015</v>
      </c>
      <c r="D2052" s="3252">
        <v>16569</v>
      </c>
      <c r="E2052" s="3252">
        <v>21463</v>
      </c>
      <c r="F2052" s="3252">
        <v>19269</v>
      </c>
      <c r="G2052" s="1698"/>
    </row>
    <row r="2053" spans="1:7" ht="15.75">
      <c r="A2053" s="3252">
        <v>99450</v>
      </c>
      <c r="B2053" s="3252">
        <v>99500</v>
      </c>
      <c r="C2053" s="3252">
        <v>21029</v>
      </c>
      <c r="D2053" s="3252">
        <v>16581</v>
      </c>
      <c r="E2053" s="3252">
        <v>21477</v>
      </c>
      <c r="F2053" s="3252">
        <v>19281</v>
      </c>
      <c r="G2053" s="1698"/>
    </row>
    <row r="2054" spans="1:7" ht="15.75">
      <c r="A2054" s="3252">
        <v>99500</v>
      </c>
      <c r="B2054" s="3252">
        <v>99550</v>
      </c>
      <c r="C2054" s="3252">
        <v>21043</v>
      </c>
      <c r="D2054" s="3252">
        <v>16594</v>
      </c>
      <c r="E2054" s="3252">
        <v>21491</v>
      </c>
      <c r="F2054" s="3252">
        <v>19294</v>
      </c>
      <c r="G2054" s="1698"/>
    </row>
    <row r="2055" spans="1:7" ht="15.75">
      <c r="A2055" s="3252">
        <v>99550</v>
      </c>
      <c r="B2055" s="3252">
        <v>99600</v>
      </c>
      <c r="C2055" s="3252">
        <v>21057</v>
      </c>
      <c r="D2055" s="3252">
        <v>16606</v>
      </c>
      <c r="E2055" s="3252">
        <v>21505</v>
      </c>
      <c r="F2055" s="3252">
        <v>19306</v>
      </c>
      <c r="G2055" s="1698"/>
    </row>
    <row r="2056" spans="1:7" ht="15.75">
      <c r="A2056" s="3252">
        <v>99600</v>
      </c>
      <c r="B2056" s="3252">
        <v>99650</v>
      </c>
      <c r="C2056" s="3252">
        <v>21071</v>
      </c>
      <c r="D2056" s="3252">
        <v>16619</v>
      </c>
      <c r="E2056" s="3252">
        <v>21519</v>
      </c>
      <c r="F2056" s="3252">
        <v>19319</v>
      </c>
      <c r="G2056" s="1698"/>
    </row>
    <row r="2057" spans="1:7" ht="15.75">
      <c r="A2057" s="3252">
        <v>99650</v>
      </c>
      <c r="B2057" s="3252">
        <v>99700</v>
      </c>
      <c r="C2057" s="3252">
        <v>21085</v>
      </c>
      <c r="D2057" s="3252">
        <v>16631</v>
      </c>
      <c r="E2057" s="3252">
        <v>21533</v>
      </c>
      <c r="F2057" s="3252">
        <v>19331</v>
      </c>
      <c r="G2057" s="1698"/>
    </row>
    <row r="2058" spans="1:7" ht="15.75">
      <c r="A2058" s="3252">
        <v>99700</v>
      </c>
      <c r="B2058" s="3252">
        <v>99750</v>
      </c>
      <c r="C2058" s="3252">
        <v>21099</v>
      </c>
      <c r="D2058" s="3252">
        <v>16644</v>
      </c>
      <c r="E2058" s="3252">
        <v>21547</v>
      </c>
      <c r="F2058" s="3252">
        <v>19344</v>
      </c>
      <c r="G2058" s="1698"/>
    </row>
    <row r="2059" spans="1:7" ht="15.75">
      <c r="A2059" s="3252">
        <v>99750</v>
      </c>
      <c r="B2059" s="3252">
        <v>99800</v>
      </c>
      <c r="C2059" s="3252">
        <v>21113</v>
      </c>
      <c r="D2059" s="3252">
        <v>16656</v>
      </c>
      <c r="E2059" s="3252">
        <v>21561</v>
      </c>
      <c r="F2059" s="3252">
        <v>19356</v>
      </c>
      <c r="G2059" s="1698"/>
    </row>
    <row r="2060" spans="1:7" ht="15.75">
      <c r="A2060" s="3252">
        <v>99800</v>
      </c>
      <c r="B2060" s="3252">
        <v>99850</v>
      </c>
      <c r="C2060" s="3252">
        <v>21127</v>
      </c>
      <c r="D2060" s="3252">
        <v>16669</v>
      </c>
      <c r="E2060" s="3252">
        <v>21575</v>
      </c>
      <c r="F2060" s="3252">
        <v>19369</v>
      </c>
      <c r="G2060" s="1698"/>
    </row>
    <row r="2061" spans="1:7" ht="15.75">
      <c r="A2061" s="3252">
        <v>99850</v>
      </c>
      <c r="B2061" s="3252">
        <v>99900</v>
      </c>
      <c r="C2061" s="3252">
        <v>21141</v>
      </c>
      <c r="D2061" s="3252">
        <v>16681</v>
      </c>
      <c r="E2061" s="3252">
        <v>21589</v>
      </c>
      <c r="F2061" s="3252">
        <v>19381</v>
      </c>
      <c r="G2061" s="1698"/>
    </row>
    <row r="2062" spans="1:7" ht="15.75">
      <c r="A2062" s="3252">
        <v>99900</v>
      </c>
      <c r="B2062" s="3252">
        <v>99950</v>
      </c>
      <c r="C2062" s="3252">
        <v>21155</v>
      </c>
      <c r="D2062" s="3252">
        <v>16694</v>
      </c>
      <c r="E2062" s="3252">
        <v>21603</v>
      </c>
      <c r="F2062" s="3252">
        <v>19394</v>
      </c>
      <c r="G2062" s="1698"/>
    </row>
    <row r="2063" spans="1:7" ht="15.75">
      <c r="A2063" s="3252">
        <v>99950</v>
      </c>
      <c r="B2063" s="3252">
        <v>100000</v>
      </c>
      <c r="C2063" s="3252">
        <v>21169</v>
      </c>
      <c r="D2063" s="3252">
        <v>16706</v>
      </c>
      <c r="E2063" s="3252">
        <v>21617</v>
      </c>
      <c r="F2063" s="3252">
        <v>19406</v>
      </c>
      <c r="G2063" s="1698"/>
    </row>
    <row r="2064" spans="1:7">
      <c r="A2064" s="1697"/>
      <c r="B2064" s="1700"/>
      <c r="C2064" s="1701"/>
      <c r="D2064" s="1701"/>
      <c r="E2064" s="1701"/>
      <c r="F2064" s="1701"/>
    </row>
  </sheetData>
  <sheetProtection password="F07E" sheet="1" objects="1" scenarios="1"/>
  <phoneticPr fontId="12" type="noConversion"/>
  <pageMargins left="0.75" right="0.75" top="0.43" bottom="0.57999999999999996" header="0.37" footer="0.5"/>
  <pageSetup orientation="portrait" horizontalDpi="4294967292" r:id="rId1"/>
  <headerFooter alignWithMargins="0"/>
  <rowBreaks count="51" manualBreakCount="51">
    <brk id="43" max="5" man="1"/>
    <brk id="83" max="5" man="1"/>
    <brk id="123" max="5" man="1"/>
    <brk id="163" max="5" man="1"/>
    <brk id="203" max="5" man="1"/>
    <brk id="243" max="5" man="1"/>
    <brk id="283" max="5" man="1"/>
    <brk id="323" max="5" man="1"/>
    <brk id="363" max="5" man="1"/>
    <brk id="403" max="5" man="1"/>
    <brk id="443" max="5" man="1"/>
    <brk id="483" max="5" man="1"/>
    <brk id="523" max="5" man="1"/>
    <brk id="563" max="5" man="1"/>
    <brk id="603" max="5" man="1"/>
    <brk id="643" max="5" man="1"/>
    <brk id="683" max="5" man="1"/>
    <brk id="723" max="5" man="1"/>
    <brk id="763" max="5" man="1"/>
    <brk id="803" max="5" man="1"/>
    <brk id="843" max="5" man="1"/>
    <brk id="883" max="5" man="1"/>
    <brk id="923" max="5" man="1"/>
    <brk id="963" max="5" man="1"/>
    <brk id="1003" max="5" man="1"/>
    <brk id="1043" max="5" man="1"/>
    <brk id="1083" max="5" man="1"/>
    <brk id="1123" max="5" man="1"/>
    <brk id="1163" max="5" man="1"/>
    <brk id="1203" max="5" man="1"/>
    <brk id="1243" max="5" man="1"/>
    <brk id="1283" max="5" man="1"/>
    <brk id="1323" max="5" man="1"/>
    <brk id="1363" max="5" man="1"/>
    <brk id="1403" max="5" man="1"/>
    <brk id="1443" max="5" man="1"/>
    <brk id="1483" max="5" man="1"/>
    <brk id="1523" max="5" man="1"/>
    <brk id="1563" max="5" man="1"/>
    <brk id="1603" max="5" man="1"/>
    <brk id="1643" max="5" man="1"/>
    <brk id="1683" max="5" man="1"/>
    <brk id="1723" max="5" man="1"/>
    <brk id="1763" max="5" man="1"/>
    <brk id="1803" max="5" man="1"/>
    <brk id="1843" max="5" man="1"/>
    <brk id="1883" max="5" man="1"/>
    <brk id="1923" max="5" man="1"/>
    <brk id="1963" max="5" man="1"/>
    <brk id="2003" max="5" man="1"/>
    <brk id="2043"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61"/>
  <sheetViews>
    <sheetView zoomScaleNormal="100" workbookViewId="0">
      <pane ySplit="1" topLeftCell="A2" activePane="bottomLeft" state="frozen"/>
      <selection activeCell="D26" sqref="D26"/>
      <selection pane="bottomLeft" activeCell="D3" sqref="D3"/>
    </sheetView>
  </sheetViews>
  <sheetFormatPr defaultRowHeight="12.75"/>
  <cols>
    <col min="1" max="1" width="2.5703125" customWidth="1"/>
    <col min="2" max="2" width="4.42578125" customWidth="1"/>
    <col min="3" max="3" width="44" customWidth="1"/>
    <col min="4" max="7" width="13.140625" customWidth="1"/>
    <col min="8" max="8" width="13.42578125" customWidth="1"/>
    <col min="9" max="9" width="12.42578125" customWidth="1"/>
    <col min="11" max="14" width="9.140625" hidden="1" customWidth="1"/>
  </cols>
  <sheetData>
    <row r="1" spans="1:15" ht="36.75" customHeight="1" thickBot="1">
      <c r="A1" s="2252"/>
      <c r="B1" s="719" t="s">
        <v>166</v>
      </c>
      <c r="C1" s="720"/>
      <c r="D1" s="721"/>
      <c r="E1" s="721"/>
      <c r="F1" s="721"/>
      <c r="G1" s="721"/>
      <c r="H1" s="721"/>
      <c r="I1" s="721"/>
      <c r="J1" s="754"/>
      <c r="K1" s="700"/>
      <c r="L1" s="700"/>
      <c r="M1" s="700"/>
      <c r="N1" s="700"/>
    </row>
    <row r="2" spans="1:15" ht="41.25" customHeight="1" thickTop="1" thickBot="1">
      <c r="A2" s="2253"/>
      <c r="B2" s="1313"/>
      <c r="C2" s="2824" t="str">
        <f>IF(Name_1st_Yours="","Enter your name on Form 1040",NameYours)</f>
        <v>Enter your name on Form 1040</v>
      </c>
      <c r="D2" s="874" t="s">
        <v>480</v>
      </c>
      <c r="E2" s="874" t="s">
        <v>481</v>
      </c>
      <c r="F2" s="874" t="s">
        <v>482</v>
      </c>
      <c r="G2" s="874" t="s">
        <v>626</v>
      </c>
      <c r="H2" s="874" t="s">
        <v>349</v>
      </c>
      <c r="I2" s="716" t="s">
        <v>705</v>
      </c>
      <c r="J2" s="180"/>
      <c r="K2" s="498"/>
      <c r="L2" s="498"/>
      <c r="M2" s="498"/>
      <c r="N2" s="498"/>
    </row>
    <row r="3" spans="1:15" ht="13.5" thickBot="1">
      <c r="A3" s="2240"/>
      <c r="B3" s="2243"/>
      <c r="C3" s="2244" t="s">
        <v>2680</v>
      </c>
      <c r="D3" s="3641"/>
      <c r="E3" s="2241"/>
      <c r="F3" s="2241"/>
      <c r="G3" s="2246"/>
      <c r="H3" s="2247" t="s">
        <v>704</v>
      </c>
      <c r="I3" s="2242" t="s">
        <v>673</v>
      </c>
      <c r="J3" s="713"/>
      <c r="K3" s="68"/>
      <c r="L3" s="68"/>
      <c r="M3" s="68"/>
      <c r="N3" s="68"/>
      <c r="O3" s="3077" t="s">
        <v>1478</v>
      </c>
    </row>
    <row r="4" spans="1:15" ht="13.5" customHeight="1">
      <c r="A4" s="2240"/>
      <c r="B4" s="701">
        <v>1</v>
      </c>
      <c r="C4" s="2264" t="s">
        <v>803</v>
      </c>
      <c r="D4" s="710"/>
      <c r="E4" s="710"/>
      <c r="F4" s="710"/>
      <c r="G4" s="747"/>
      <c r="H4" s="751">
        <f>SUM(K4:N4)</f>
        <v>0</v>
      </c>
      <c r="I4" s="751">
        <f>SUM(D4:G4)-H4</f>
        <v>0</v>
      </c>
      <c r="J4" s="589"/>
      <c r="K4" s="755">
        <f>IF(D$3="ira",D4,0)</f>
        <v>0</v>
      </c>
      <c r="L4" s="755">
        <f>IF(E$3="ira",E4,0)</f>
        <v>0</v>
      </c>
      <c r="M4" s="755">
        <f>IF(F$3="ira",F4,0)</f>
        <v>0</v>
      </c>
      <c r="N4" s="755">
        <f>IF(G$3="ira",G4,0)</f>
        <v>0</v>
      </c>
    </row>
    <row r="5" spans="1:15" ht="13.5" customHeight="1">
      <c r="A5" s="2240"/>
      <c r="B5" s="702" t="s">
        <v>586</v>
      </c>
      <c r="C5" s="2266" t="s">
        <v>479</v>
      </c>
      <c r="D5" s="741"/>
      <c r="E5" s="744"/>
      <c r="F5" s="744"/>
      <c r="G5" s="748"/>
      <c r="H5" s="756">
        <f>SUM(K5:N5)</f>
        <v>0</v>
      </c>
      <c r="I5" s="752">
        <f>SUM(D5:G5)-H5</f>
        <v>0</v>
      </c>
      <c r="J5" s="589"/>
      <c r="K5" s="755">
        <f t="shared" ref="K5:K11" si="0">IF(D$3="ira",D5,0)</f>
        <v>0</v>
      </c>
      <c r="L5" s="755">
        <f t="shared" ref="L5:L11" si="1">IF(E$3="ira",E5,0)</f>
        <v>0</v>
      </c>
      <c r="M5" s="755">
        <f t="shared" ref="M5:M11" si="2">IF(F$3="ira",F5,0)</f>
        <v>0</v>
      </c>
      <c r="N5" s="755">
        <f t="shared" ref="N5:N11" si="3">IF(G$3="ira",G5,0)</f>
        <v>0</v>
      </c>
    </row>
    <row r="6" spans="1:15" ht="13.5" customHeight="1">
      <c r="A6" s="2240"/>
      <c r="B6" s="2254">
        <v>3</v>
      </c>
      <c r="C6" s="2255" t="s">
        <v>1473</v>
      </c>
      <c r="D6" s="741"/>
      <c r="E6" s="744"/>
      <c r="F6" s="744"/>
      <c r="G6" s="748"/>
      <c r="H6" s="756">
        <f>SUM(K6:N6)</f>
        <v>0</v>
      </c>
      <c r="I6" s="752">
        <f>SUM(D6:G6)-H6</f>
        <v>0</v>
      </c>
      <c r="J6" s="589"/>
      <c r="K6" s="755">
        <f>IF(D$3="ira",D6,0)</f>
        <v>0</v>
      </c>
      <c r="L6" s="755">
        <f>IF(E$3="ira",E6,0)</f>
        <v>0</v>
      </c>
      <c r="M6" s="755">
        <f>IF(F$3="ira",F6,0)</f>
        <v>0</v>
      </c>
      <c r="N6" s="755">
        <f>IF(G$3="ira",G6,0)</f>
        <v>0</v>
      </c>
    </row>
    <row r="7" spans="1:15" ht="13.5" customHeight="1">
      <c r="A7" s="2240"/>
      <c r="B7" s="702">
        <v>4</v>
      </c>
      <c r="C7" s="2266" t="s">
        <v>286</v>
      </c>
      <c r="D7" s="741"/>
      <c r="E7" s="744"/>
      <c r="F7" s="744"/>
      <c r="G7" s="748"/>
      <c r="H7" s="756">
        <f t="shared" ref="H7:H21" si="4">SUM(K7:N7)</f>
        <v>0</v>
      </c>
      <c r="I7" s="752">
        <f t="shared" ref="I7:I19" si="5">SUM(D7:G7)-H7</f>
        <v>0</v>
      </c>
      <c r="J7" s="589"/>
      <c r="K7" s="755">
        <f t="shared" si="0"/>
        <v>0</v>
      </c>
      <c r="L7" s="755">
        <f t="shared" si="1"/>
        <v>0</v>
      </c>
      <c r="M7" s="755">
        <f t="shared" si="2"/>
        <v>0</v>
      </c>
      <c r="N7" s="755">
        <f t="shared" si="3"/>
        <v>0</v>
      </c>
    </row>
    <row r="8" spans="1:15" ht="27" customHeight="1">
      <c r="A8" s="2240"/>
      <c r="B8" s="2257">
        <v>5</v>
      </c>
      <c r="C8" s="2258" t="s">
        <v>1474</v>
      </c>
      <c r="D8" s="741"/>
      <c r="E8" s="744"/>
      <c r="F8" s="744"/>
      <c r="G8" s="748"/>
      <c r="H8" s="756">
        <f t="shared" si="4"/>
        <v>0</v>
      </c>
      <c r="I8" s="752">
        <f t="shared" si="5"/>
        <v>0</v>
      </c>
      <c r="J8" s="599"/>
      <c r="K8" s="755">
        <f t="shared" si="0"/>
        <v>0</v>
      </c>
      <c r="L8" s="755">
        <f t="shared" si="1"/>
        <v>0</v>
      </c>
      <c r="M8" s="755">
        <f t="shared" si="2"/>
        <v>0</v>
      </c>
      <c r="N8" s="755">
        <f t="shared" si="3"/>
        <v>0</v>
      </c>
    </row>
    <row r="9" spans="1:15">
      <c r="A9" s="2240"/>
      <c r="B9" s="2254">
        <v>6</v>
      </c>
      <c r="C9" s="2255" t="s">
        <v>167</v>
      </c>
      <c r="D9" s="741"/>
      <c r="E9" s="744"/>
      <c r="F9" s="744"/>
      <c r="G9" s="748"/>
      <c r="H9" s="756">
        <f t="shared" si="4"/>
        <v>0</v>
      </c>
      <c r="I9" s="752">
        <f t="shared" si="5"/>
        <v>0</v>
      </c>
      <c r="J9" s="599"/>
      <c r="K9" s="755">
        <f t="shared" si="0"/>
        <v>0</v>
      </c>
      <c r="L9" s="755">
        <f t="shared" si="1"/>
        <v>0</v>
      </c>
      <c r="M9" s="755">
        <f t="shared" si="2"/>
        <v>0</v>
      </c>
      <c r="N9" s="755">
        <f t="shared" si="3"/>
        <v>0</v>
      </c>
    </row>
    <row r="10" spans="1:15">
      <c r="A10" s="2240"/>
      <c r="B10" s="2254">
        <v>7</v>
      </c>
      <c r="C10" s="2255" t="s">
        <v>1475</v>
      </c>
      <c r="D10" s="743"/>
      <c r="E10" s="745"/>
      <c r="F10" s="745"/>
      <c r="G10" s="749"/>
      <c r="H10" s="753" t="str">
        <f>" - - - -"</f>
        <v xml:space="preserve"> - - - -</v>
      </c>
      <c r="I10" s="753" t="str">
        <f>" - - - -"</f>
        <v xml:space="preserve"> - - - -</v>
      </c>
      <c r="J10" s="599"/>
      <c r="K10" s="755"/>
      <c r="L10" s="755"/>
      <c r="M10" s="755"/>
      <c r="N10" s="755"/>
    </row>
    <row r="11" spans="1:15">
      <c r="A11" s="2240"/>
      <c r="B11" s="2254">
        <v>8</v>
      </c>
      <c r="C11" s="2255" t="s">
        <v>689</v>
      </c>
      <c r="D11" s="741"/>
      <c r="E11" s="744"/>
      <c r="F11" s="744"/>
      <c r="G11" s="748"/>
      <c r="H11" s="756">
        <f t="shared" si="4"/>
        <v>0</v>
      </c>
      <c r="I11" s="752">
        <f t="shared" si="5"/>
        <v>0</v>
      </c>
      <c r="J11" s="599"/>
      <c r="K11" s="755">
        <f t="shared" si="0"/>
        <v>0</v>
      </c>
      <c r="L11" s="755">
        <f t="shared" si="1"/>
        <v>0</v>
      </c>
      <c r="M11" s="755">
        <f t="shared" si="2"/>
        <v>0</v>
      </c>
      <c r="N11" s="755">
        <f t="shared" si="3"/>
        <v>0</v>
      </c>
    </row>
    <row r="12" spans="1:15">
      <c r="A12" s="2240"/>
      <c r="B12" s="2254" t="s">
        <v>486</v>
      </c>
      <c r="C12" s="2255" t="s">
        <v>488</v>
      </c>
      <c r="D12" s="742"/>
      <c r="E12" s="746"/>
      <c r="F12" s="746"/>
      <c r="G12" s="750"/>
      <c r="H12" s="757">
        <f t="shared" si="4"/>
        <v>0</v>
      </c>
      <c r="I12" s="757">
        <f>SUM(D12:G12)-H12</f>
        <v>0</v>
      </c>
      <c r="J12" s="599"/>
      <c r="K12" s="746">
        <f>IF(D$3="IRA",D12,0)</f>
        <v>0</v>
      </c>
      <c r="L12" s="746">
        <f>IF(E$3="IRA",E12,0)</f>
        <v>0</v>
      </c>
      <c r="M12" s="746">
        <f>IF(F$3="IRA",F12,0)</f>
        <v>0</v>
      </c>
      <c r="N12" s="746">
        <f>IF(G$3="IRA",G12,0)</f>
        <v>0</v>
      </c>
    </row>
    <row r="13" spans="1:15">
      <c r="A13" s="2240"/>
      <c r="B13" s="2254" t="s">
        <v>487</v>
      </c>
      <c r="C13" s="2255" t="s">
        <v>721</v>
      </c>
      <c r="D13" s="741"/>
      <c r="E13" s="744"/>
      <c r="F13" s="744"/>
      <c r="G13" s="748"/>
      <c r="H13" s="756">
        <f t="shared" si="4"/>
        <v>0</v>
      </c>
      <c r="I13" s="752">
        <f t="shared" si="5"/>
        <v>0</v>
      </c>
      <c r="J13" s="599"/>
      <c r="K13" s="755">
        <f t="shared" ref="K13:N19" si="6">IF(D$3="ira",D13,0)</f>
        <v>0</v>
      </c>
      <c r="L13" s="755">
        <f t="shared" si="6"/>
        <v>0</v>
      </c>
      <c r="M13" s="755">
        <f t="shared" si="6"/>
        <v>0</v>
      </c>
      <c r="N13" s="755">
        <f t="shared" si="6"/>
        <v>0</v>
      </c>
    </row>
    <row r="14" spans="1:15">
      <c r="A14" s="2240"/>
      <c r="B14" s="2254">
        <v>10</v>
      </c>
      <c r="C14" s="2255" t="s">
        <v>1476</v>
      </c>
      <c r="D14" s="741"/>
      <c r="E14" s="744"/>
      <c r="F14" s="744"/>
      <c r="G14" s="748"/>
      <c r="H14" s="756">
        <f>SUM(K14:N14)</f>
        <v>0</v>
      </c>
      <c r="I14" s="752">
        <f>SUM(D14:G14)-H14</f>
        <v>0</v>
      </c>
      <c r="J14" s="599"/>
      <c r="K14" s="755">
        <f t="shared" ref="K14:N15" si="7">IF(D$3="ira",D14,0)</f>
        <v>0</v>
      </c>
      <c r="L14" s="755">
        <f t="shared" si="7"/>
        <v>0</v>
      </c>
      <c r="M14" s="755">
        <f t="shared" si="7"/>
        <v>0</v>
      </c>
      <c r="N14" s="755">
        <f t="shared" si="7"/>
        <v>0</v>
      </c>
    </row>
    <row r="15" spans="1:15">
      <c r="A15" s="2240"/>
      <c r="B15" s="2254">
        <v>11</v>
      </c>
      <c r="C15" s="2255" t="s">
        <v>1477</v>
      </c>
      <c r="D15" s="741"/>
      <c r="E15" s="744"/>
      <c r="F15" s="744"/>
      <c r="G15" s="748"/>
      <c r="H15" s="756">
        <f>SUM(K15:N15)</f>
        <v>0</v>
      </c>
      <c r="I15" s="752">
        <f>SUM(D15:G15)-H15</f>
        <v>0</v>
      </c>
      <c r="J15" s="599"/>
      <c r="K15" s="755">
        <f t="shared" si="7"/>
        <v>0</v>
      </c>
      <c r="L15" s="755">
        <f t="shared" si="7"/>
        <v>0</v>
      </c>
      <c r="M15" s="755">
        <f t="shared" si="7"/>
        <v>0</v>
      </c>
      <c r="N15" s="755">
        <f t="shared" si="7"/>
        <v>0</v>
      </c>
    </row>
    <row r="16" spans="1:15">
      <c r="A16" s="2240"/>
      <c r="B16" s="702">
        <v>12</v>
      </c>
      <c r="C16" s="2266" t="s">
        <v>722</v>
      </c>
      <c r="D16" s="741"/>
      <c r="E16" s="744"/>
      <c r="F16" s="744"/>
      <c r="G16" s="748"/>
      <c r="H16" s="756">
        <f t="shared" si="4"/>
        <v>0</v>
      </c>
      <c r="I16" s="752">
        <f t="shared" si="5"/>
        <v>0</v>
      </c>
      <c r="J16" s="599"/>
      <c r="K16" s="755">
        <f t="shared" si="6"/>
        <v>0</v>
      </c>
      <c r="L16" s="755">
        <f t="shared" si="6"/>
        <v>0</v>
      </c>
      <c r="M16" s="755">
        <f t="shared" si="6"/>
        <v>0</v>
      </c>
      <c r="N16" s="755">
        <f t="shared" si="6"/>
        <v>0</v>
      </c>
    </row>
    <row r="17" spans="1:15">
      <c r="A17" s="2240"/>
      <c r="B17" s="2254">
        <v>13</v>
      </c>
      <c r="C17" s="2255" t="s">
        <v>551</v>
      </c>
      <c r="D17" s="782"/>
      <c r="E17" s="783"/>
      <c r="F17" s="783"/>
      <c r="G17" s="784"/>
      <c r="H17" s="753" t="str">
        <f>" - - - -"</f>
        <v xml:space="preserve"> - - - -</v>
      </c>
      <c r="I17" s="753" t="str">
        <f>" - - - -"</f>
        <v xml:space="preserve"> - - - -</v>
      </c>
      <c r="J17" s="599"/>
      <c r="K17" s="755">
        <f t="shared" si="6"/>
        <v>0</v>
      </c>
      <c r="L17" s="755">
        <f t="shared" si="6"/>
        <v>0</v>
      </c>
      <c r="M17" s="755">
        <f t="shared" si="6"/>
        <v>0</v>
      </c>
      <c r="N17" s="755">
        <f t="shared" si="6"/>
        <v>0</v>
      </c>
    </row>
    <row r="18" spans="1:15">
      <c r="A18" s="2240"/>
      <c r="B18" s="2254">
        <v>14</v>
      </c>
      <c r="C18" s="2255" t="s">
        <v>66</v>
      </c>
      <c r="D18" s="741"/>
      <c r="E18" s="744"/>
      <c r="F18" s="744"/>
      <c r="G18" s="748"/>
      <c r="H18" s="756">
        <f t="shared" si="4"/>
        <v>0</v>
      </c>
      <c r="I18" s="752">
        <f t="shared" si="5"/>
        <v>0</v>
      </c>
      <c r="J18" s="599"/>
      <c r="K18" s="755">
        <f t="shared" si="6"/>
        <v>0</v>
      </c>
      <c r="L18" s="755">
        <f t="shared" si="6"/>
        <v>0</v>
      </c>
      <c r="M18" s="755">
        <f t="shared" si="6"/>
        <v>0</v>
      </c>
      <c r="N18" s="755">
        <f t="shared" si="6"/>
        <v>0</v>
      </c>
    </row>
    <row r="19" spans="1:15">
      <c r="A19" s="2240"/>
      <c r="B19" s="702">
        <v>15</v>
      </c>
      <c r="C19" s="2266" t="s">
        <v>371</v>
      </c>
      <c r="D19" s="741"/>
      <c r="E19" s="744"/>
      <c r="F19" s="744"/>
      <c r="G19" s="748"/>
      <c r="H19" s="756">
        <f t="shared" si="4"/>
        <v>0</v>
      </c>
      <c r="I19" s="752">
        <f t="shared" si="5"/>
        <v>0</v>
      </c>
      <c r="J19" s="599"/>
      <c r="K19" s="755">
        <f t="shared" si="6"/>
        <v>0</v>
      </c>
      <c r="L19" s="755">
        <f t="shared" si="6"/>
        <v>0</v>
      </c>
      <c r="M19" s="755">
        <f t="shared" si="6"/>
        <v>0</v>
      </c>
      <c r="N19" s="755">
        <f t="shared" si="6"/>
        <v>0</v>
      </c>
    </row>
    <row r="20" spans="1:15">
      <c r="A20" s="2240"/>
      <c r="B20" s="2254">
        <v>16</v>
      </c>
      <c r="C20" s="2255" t="s">
        <v>372</v>
      </c>
      <c r="D20" s="741"/>
      <c r="E20" s="744"/>
      <c r="F20" s="744"/>
      <c r="G20" s="748"/>
      <c r="H20" s="753" t="str">
        <f>" - - - -"</f>
        <v xml:space="preserve"> - - - -</v>
      </c>
      <c r="I20" s="753" t="str">
        <f>" - - - -"</f>
        <v xml:space="preserve"> - - - -</v>
      </c>
      <c r="J20" s="599"/>
      <c r="K20" s="755"/>
      <c r="L20" s="755"/>
      <c r="M20" s="755"/>
      <c r="N20" s="755"/>
    </row>
    <row r="21" spans="1:15" ht="13.5" thickBot="1">
      <c r="A21" s="2240"/>
      <c r="B21" s="2261">
        <v>17</v>
      </c>
      <c r="C21" s="2262" t="s">
        <v>373</v>
      </c>
      <c r="D21" s="758"/>
      <c r="E21" s="759"/>
      <c r="F21" s="759"/>
      <c r="G21" s="760"/>
      <c r="H21" s="761">
        <f t="shared" si="4"/>
        <v>0</v>
      </c>
      <c r="I21" s="1267">
        <f>SUM(E21:H21)</f>
        <v>0</v>
      </c>
      <c r="J21" s="599"/>
      <c r="K21" s="755">
        <f>IF(D$3="IRA",D21,0)</f>
        <v>0</v>
      </c>
      <c r="L21" s="755">
        <f>IF(E20="IRA",E21,0)</f>
        <v>0</v>
      </c>
      <c r="M21" s="755">
        <f>IF(F$3="IRA",F21,0)</f>
        <v>0</v>
      </c>
      <c r="N21" s="755">
        <f>IF(G$3="IRA",G21,0)</f>
        <v>0</v>
      </c>
    </row>
    <row r="22" spans="1:15" ht="48" customHeight="1" thickBot="1">
      <c r="A22" s="2240"/>
      <c r="B22" s="718"/>
      <c r="C22" s="2824" t="str">
        <f>IF(Name_1st_Sp="","Enter spouse's name on Form 1040",NameSpouse)</f>
        <v>Enter spouse's name on Form 1040</v>
      </c>
      <c r="D22" s="874" t="s">
        <v>480</v>
      </c>
      <c r="E22" s="874" t="s">
        <v>481</v>
      </c>
      <c r="F22" s="874" t="s">
        <v>482</v>
      </c>
      <c r="G22" s="874" t="s">
        <v>626</v>
      </c>
      <c r="H22" s="716" t="s">
        <v>813</v>
      </c>
      <c r="I22" s="716" t="s">
        <v>705</v>
      </c>
      <c r="J22" s="180"/>
      <c r="K22" s="498"/>
      <c r="L22" s="498"/>
      <c r="M22" s="498"/>
      <c r="N22" s="498"/>
    </row>
    <row r="23" spans="1:15" ht="13.5" thickBot="1">
      <c r="A23" s="2240"/>
      <c r="B23" s="2243"/>
      <c r="C23" s="2244" t="s">
        <v>2681</v>
      </c>
      <c r="D23" s="2245"/>
      <c r="E23" s="2241"/>
      <c r="F23" s="2241"/>
      <c r="G23" s="2246"/>
      <c r="H23" s="2247" t="s">
        <v>704</v>
      </c>
      <c r="I23" s="2242" t="s">
        <v>673</v>
      </c>
      <c r="J23" s="37"/>
      <c r="K23" s="68"/>
      <c r="L23" s="68"/>
      <c r="M23" s="68"/>
      <c r="N23" s="68"/>
      <c r="O23" s="3077" t="s">
        <v>1478</v>
      </c>
    </row>
    <row r="24" spans="1:15" ht="13.5" customHeight="1">
      <c r="A24" s="2240"/>
      <c r="B24" s="701">
        <v>1</v>
      </c>
      <c r="C24" s="2264" t="s">
        <v>803</v>
      </c>
      <c r="D24" s="710"/>
      <c r="E24" s="710"/>
      <c r="F24" s="710"/>
      <c r="G24" s="747"/>
      <c r="H24" s="751">
        <f>SUM(K24:N24)</f>
        <v>0</v>
      </c>
      <c r="I24" s="751">
        <f t="shared" ref="I24:I39" si="8">SUM(D24:G24)-H24</f>
        <v>0</v>
      </c>
      <c r="J24" s="432"/>
      <c r="K24" s="755">
        <f t="shared" ref="K24:K39" si="9">IF(D$23="IRA",D24,0)</f>
        <v>0</v>
      </c>
      <c r="L24" s="755">
        <f t="shared" ref="L24:L39" si="10">IF(E$23="IRA",E24,0)</f>
        <v>0</v>
      </c>
      <c r="M24" s="755">
        <f t="shared" ref="M24:M39" si="11">IF(F$23="IRA",F24,0)</f>
        <v>0</v>
      </c>
      <c r="N24" s="755">
        <f t="shared" ref="N24:N39" si="12">IF(G$23="IRA",G24,0)</f>
        <v>0</v>
      </c>
    </row>
    <row r="25" spans="1:15" ht="13.5" customHeight="1">
      <c r="A25" s="2240"/>
      <c r="B25" s="702" t="s">
        <v>586</v>
      </c>
      <c r="C25" s="2266" t="s">
        <v>479</v>
      </c>
      <c r="D25" s="741"/>
      <c r="E25" s="744"/>
      <c r="F25" s="744"/>
      <c r="G25" s="748"/>
      <c r="H25" s="756">
        <f>SUM(K25:N25)</f>
        <v>0</v>
      </c>
      <c r="I25" s="752">
        <f t="shared" si="8"/>
        <v>0</v>
      </c>
      <c r="J25" s="432"/>
      <c r="K25" s="755">
        <f t="shared" si="9"/>
        <v>0</v>
      </c>
      <c r="L25" s="755">
        <f t="shared" si="10"/>
        <v>0</v>
      </c>
      <c r="M25" s="755">
        <f t="shared" si="11"/>
        <v>0</v>
      </c>
      <c r="N25" s="755">
        <f t="shared" si="12"/>
        <v>0</v>
      </c>
    </row>
    <row r="26" spans="1:15" ht="13.5" customHeight="1">
      <c r="A26" s="2240"/>
      <c r="B26" s="2254">
        <v>3</v>
      </c>
      <c r="C26" s="2255" t="s">
        <v>1473</v>
      </c>
      <c r="D26" s="741"/>
      <c r="E26" s="744"/>
      <c r="F26" s="744"/>
      <c r="G26" s="748"/>
      <c r="H26" s="756">
        <f>SUM(K26:N26)</f>
        <v>0</v>
      </c>
      <c r="I26" s="752">
        <f>SUM(D26:G26)-H26</f>
        <v>0</v>
      </c>
      <c r="J26" s="432"/>
      <c r="K26" s="755">
        <f>IF(D$23="IRA",D26,0)</f>
        <v>0</v>
      </c>
      <c r="L26" s="755">
        <f>IF(E$23="IRA",E26,0)</f>
        <v>0</v>
      </c>
      <c r="M26" s="755">
        <f>IF(F$23="IRA",F26,0)</f>
        <v>0</v>
      </c>
      <c r="N26" s="755">
        <f>IF(G$23="IRA",G26,0)</f>
        <v>0</v>
      </c>
    </row>
    <row r="27" spans="1:15" ht="13.5" customHeight="1">
      <c r="A27" s="2240"/>
      <c r="B27" s="702">
        <v>4</v>
      </c>
      <c r="C27" s="2266" t="s">
        <v>286</v>
      </c>
      <c r="D27" s="741"/>
      <c r="E27" s="744"/>
      <c r="F27" s="744"/>
      <c r="G27" s="748"/>
      <c r="H27" s="756">
        <f t="shared" ref="H27:H39" si="13">SUM(K27:N27)</f>
        <v>0</v>
      </c>
      <c r="I27" s="752">
        <f t="shared" si="8"/>
        <v>0</v>
      </c>
      <c r="J27" s="432"/>
      <c r="K27" s="755">
        <f t="shared" si="9"/>
        <v>0</v>
      </c>
      <c r="L27" s="755">
        <f t="shared" si="10"/>
        <v>0</v>
      </c>
      <c r="M27" s="755">
        <f t="shared" si="11"/>
        <v>0</v>
      </c>
      <c r="N27" s="755">
        <f t="shared" si="12"/>
        <v>0</v>
      </c>
    </row>
    <row r="28" spans="1:15" ht="26.25" customHeight="1">
      <c r="A28" s="2240"/>
      <c r="B28" s="2257">
        <v>5</v>
      </c>
      <c r="C28" s="2258" t="s">
        <v>1474</v>
      </c>
      <c r="D28" s="741"/>
      <c r="E28" s="744"/>
      <c r="F28" s="744"/>
      <c r="G28" s="748"/>
      <c r="H28" s="756">
        <f t="shared" si="13"/>
        <v>0</v>
      </c>
      <c r="I28" s="752">
        <f t="shared" si="8"/>
        <v>0</v>
      </c>
      <c r="J28" s="37"/>
      <c r="K28" s="755">
        <f t="shared" si="9"/>
        <v>0</v>
      </c>
      <c r="L28" s="755">
        <f t="shared" si="10"/>
        <v>0</v>
      </c>
      <c r="M28" s="755">
        <f t="shared" si="11"/>
        <v>0</v>
      </c>
      <c r="N28" s="755">
        <f t="shared" si="12"/>
        <v>0</v>
      </c>
    </row>
    <row r="29" spans="1:15">
      <c r="A29" s="2240"/>
      <c r="B29" s="2254">
        <v>6</v>
      </c>
      <c r="C29" s="2255" t="s">
        <v>167</v>
      </c>
      <c r="D29" s="741"/>
      <c r="E29" s="744"/>
      <c r="F29" s="744"/>
      <c r="G29" s="748"/>
      <c r="H29" s="756">
        <f t="shared" si="13"/>
        <v>0</v>
      </c>
      <c r="I29" s="752">
        <f t="shared" si="8"/>
        <v>0</v>
      </c>
      <c r="J29" s="37"/>
      <c r="K29" s="755">
        <f t="shared" si="9"/>
        <v>0</v>
      </c>
      <c r="L29" s="755">
        <f t="shared" si="10"/>
        <v>0</v>
      </c>
      <c r="M29" s="755">
        <f t="shared" si="11"/>
        <v>0</v>
      </c>
      <c r="N29" s="755">
        <f t="shared" si="12"/>
        <v>0</v>
      </c>
    </row>
    <row r="30" spans="1:15">
      <c r="A30" s="2240"/>
      <c r="B30" s="2254">
        <v>7</v>
      </c>
      <c r="C30" s="2255" t="s">
        <v>1475</v>
      </c>
      <c r="D30" s="743"/>
      <c r="E30" s="745"/>
      <c r="F30" s="745"/>
      <c r="G30" s="749"/>
      <c r="H30" s="753" t="str">
        <f>" - - - -"</f>
        <v xml:space="preserve"> - - - -</v>
      </c>
      <c r="I30" s="753" t="str">
        <f>" - - - -"</f>
        <v xml:space="preserve"> - - - -</v>
      </c>
      <c r="J30" s="37"/>
      <c r="K30" s="755"/>
      <c r="L30" s="755"/>
      <c r="M30" s="755"/>
      <c r="N30" s="755"/>
    </row>
    <row r="31" spans="1:15">
      <c r="A31" s="2240"/>
      <c r="B31" s="2254">
        <v>8</v>
      </c>
      <c r="C31" s="2255" t="s">
        <v>689</v>
      </c>
      <c r="D31" s="741"/>
      <c r="E31" s="744"/>
      <c r="F31" s="744"/>
      <c r="G31" s="748"/>
      <c r="H31" s="756">
        <f t="shared" si="13"/>
        <v>0</v>
      </c>
      <c r="I31" s="752">
        <f t="shared" si="8"/>
        <v>0</v>
      </c>
      <c r="J31" s="37"/>
      <c r="K31" s="755">
        <f t="shared" si="9"/>
        <v>0</v>
      </c>
      <c r="L31" s="755">
        <f t="shared" si="10"/>
        <v>0</v>
      </c>
      <c r="M31" s="755">
        <f t="shared" si="11"/>
        <v>0</v>
      </c>
      <c r="N31" s="755">
        <f t="shared" si="12"/>
        <v>0</v>
      </c>
    </row>
    <row r="32" spans="1:15">
      <c r="A32" s="2240"/>
      <c r="B32" s="2254" t="s">
        <v>486</v>
      </c>
      <c r="C32" s="2255" t="s">
        <v>488</v>
      </c>
      <c r="D32" s="742"/>
      <c r="E32" s="746"/>
      <c r="F32" s="746"/>
      <c r="G32" s="750"/>
      <c r="H32" s="757">
        <f t="shared" si="13"/>
        <v>0</v>
      </c>
      <c r="I32" s="757">
        <f t="shared" si="8"/>
        <v>0</v>
      </c>
      <c r="J32" s="37"/>
      <c r="K32" s="746">
        <f t="shared" si="9"/>
        <v>0</v>
      </c>
      <c r="L32" s="746">
        <f t="shared" si="10"/>
        <v>0</v>
      </c>
      <c r="M32" s="746">
        <f t="shared" si="11"/>
        <v>0</v>
      </c>
      <c r="N32" s="746">
        <f t="shared" si="12"/>
        <v>0</v>
      </c>
    </row>
    <row r="33" spans="1:14">
      <c r="A33" s="2240"/>
      <c r="B33" s="2254" t="s">
        <v>487</v>
      </c>
      <c r="C33" s="2255" t="s">
        <v>721</v>
      </c>
      <c r="D33" s="741"/>
      <c r="E33" s="744"/>
      <c r="F33" s="744"/>
      <c r="G33" s="748"/>
      <c r="H33" s="756">
        <f t="shared" si="13"/>
        <v>0</v>
      </c>
      <c r="I33" s="752">
        <f t="shared" si="8"/>
        <v>0</v>
      </c>
      <c r="J33" s="37"/>
      <c r="K33" s="755">
        <f t="shared" si="9"/>
        <v>0</v>
      </c>
      <c r="L33" s="755">
        <f t="shared" si="10"/>
        <v>0</v>
      </c>
      <c r="M33" s="755">
        <f t="shared" si="11"/>
        <v>0</v>
      </c>
      <c r="N33" s="755">
        <f t="shared" si="12"/>
        <v>0</v>
      </c>
    </row>
    <row r="34" spans="1:14">
      <c r="A34" s="2240"/>
      <c r="B34" s="2254">
        <v>10</v>
      </c>
      <c r="C34" s="2255" t="s">
        <v>1476</v>
      </c>
      <c r="D34" s="741"/>
      <c r="E34" s="744"/>
      <c r="F34" s="744"/>
      <c r="G34" s="748"/>
      <c r="H34" s="756">
        <f t="shared" si="13"/>
        <v>0</v>
      </c>
      <c r="I34" s="752">
        <f t="shared" si="8"/>
        <v>0</v>
      </c>
      <c r="J34" s="599"/>
      <c r="K34" s="755">
        <f t="shared" ref="K34:N35" si="14">IF(D$3="ira",D34,0)</f>
        <v>0</v>
      </c>
      <c r="L34" s="755">
        <f t="shared" si="14"/>
        <v>0</v>
      </c>
      <c r="M34" s="755">
        <f t="shared" si="14"/>
        <v>0</v>
      </c>
      <c r="N34" s="755">
        <f t="shared" si="14"/>
        <v>0</v>
      </c>
    </row>
    <row r="35" spans="1:14">
      <c r="A35" s="2240"/>
      <c r="B35" s="2254">
        <v>11</v>
      </c>
      <c r="C35" s="2255" t="s">
        <v>1477</v>
      </c>
      <c r="D35" s="741"/>
      <c r="E35" s="744"/>
      <c r="F35" s="744"/>
      <c r="G35" s="748"/>
      <c r="H35" s="756">
        <f t="shared" si="13"/>
        <v>0</v>
      </c>
      <c r="I35" s="752">
        <f t="shared" si="8"/>
        <v>0</v>
      </c>
      <c r="J35" s="599"/>
      <c r="K35" s="755">
        <f t="shared" si="14"/>
        <v>0</v>
      </c>
      <c r="L35" s="755">
        <f t="shared" si="14"/>
        <v>0</v>
      </c>
      <c r="M35" s="755">
        <f t="shared" si="14"/>
        <v>0</v>
      </c>
      <c r="N35" s="755">
        <f t="shared" si="14"/>
        <v>0</v>
      </c>
    </row>
    <row r="36" spans="1:14">
      <c r="A36" s="2240"/>
      <c r="B36" s="702">
        <v>12</v>
      </c>
      <c r="C36" s="2266" t="s">
        <v>722</v>
      </c>
      <c r="D36" s="741"/>
      <c r="E36" s="744"/>
      <c r="F36" s="744"/>
      <c r="G36" s="748"/>
      <c r="H36" s="756">
        <f t="shared" si="13"/>
        <v>0</v>
      </c>
      <c r="I36" s="752">
        <f t="shared" si="8"/>
        <v>0</v>
      </c>
      <c r="J36" s="37"/>
      <c r="K36" s="755">
        <f t="shared" si="9"/>
        <v>0</v>
      </c>
      <c r="L36" s="755">
        <f t="shared" si="10"/>
        <v>0</v>
      </c>
      <c r="M36" s="755">
        <f t="shared" si="11"/>
        <v>0</v>
      </c>
      <c r="N36" s="755">
        <f t="shared" si="12"/>
        <v>0</v>
      </c>
    </row>
    <row r="37" spans="1:14">
      <c r="A37" s="2240"/>
      <c r="B37" s="2254">
        <v>13</v>
      </c>
      <c r="C37" s="2255" t="s">
        <v>551</v>
      </c>
      <c r="D37" s="782"/>
      <c r="E37" s="783"/>
      <c r="F37" s="783"/>
      <c r="G37" s="784"/>
      <c r="H37" s="753" t="str">
        <f>" - - - -"</f>
        <v xml:space="preserve"> - - - -</v>
      </c>
      <c r="I37" s="753" t="str">
        <f>" - - - -"</f>
        <v xml:space="preserve"> - - - -</v>
      </c>
      <c r="J37" s="37"/>
      <c r="K37" s="755">
        <f t="shared" si="9"/>
        <v>0</v>
      </c>
      <c r="L37" s="755">
        <f t="shared" si="10"/>
        <v>0</v>
      </c>
      <c r="M37" s="755">
        <f t="shared" si="11"/>
        <v>0</v>
      </c>
      <c r="N37" s="755">
        <f t="shared" si="12"/>
        <v>0</v>
      </c>
    </row>
    <row r="38" spans="1:14">
      <c r="A38" s="2240"/>
      <c r="B38" s="2254">
        <v>14</v>
      </c>
      <c r="C38" s="2255" t="s">
        <v>66</v>
      </c>
      <c r="D38" s="741"/>
      <c r="E38" s="744"/>
      <c r="F38" s="744"/>
      <c r="G38" s="748"/>
      <c r="H38" s="756">
        <f t="shared" si="13"/>
        <v>0</v>
      </c>
      <c r="I38" s="752">
        <f t="shared" si="8"/>
        <v>0</v>
      </c>
      <c r="J38" s="37"/>
      <c r="K38" s="755">
        <f t="shared" si="9"/>
        <v>0</v>
      </c>
      <c r="L38" s="755">
        <f t="shared" si="10"/>
        <v>0</v>
      </c>
      <c r="M38" s="755">
        <f t="shared" si="11"/>
        <v>0</v>
      </c>
      <c r="N38" s="755">
        <f t="shared" si="12"/>
        <v>0</v>
      </c>
    </row>
    <row r="39" spans="1:14">
      <c r="A39" s="2240"/>
      <c r="B39" s="702">
        <v>15</v>
      </c>
      <c r="C39" s="2266" t="s">
        <v>371</v>
      </c>
      <c r="D39" s="741"/>
      <c r="E39" s="744"/>
      <c r="F39" s="744"/>
      <c r="G39" s="748"/>
      <c r="H39" s="756">
        <f t="shared" si="13"/>
        <v>0</v>
      </c>
      <c r="I39" s="752">
        <f t="shared" si="8"/>
        <v>0</v>
      </c>
      <c r="J39" s="37"/>
      <c r="K39" s="755">
        <f t="shared" si="9"/>
        <v>0</v>
      </c>
      <c r="L39" s="755">
        <f t="shared" si="10"/>
        <v>0</v>
      </c>
      <c r="M39" s="755">
        <f t="shared" si="11"/>
        <v>0</v>
      </c>
      <c r="N39" s="755">
        <f t="shared" si="12"/>
        <v>0</v>
      </c>
    </row>
    <row r="40" spans="1:14">
      <c r="A40" s="2240"/>
      <c r="B40" s="2254">
        <v>16</v>
      </c>
      <c r="C40" s="2255" t="s">
        <v>372</v>
      </c>
      <c r="D40" s="741"/>
      <c r="E40" s="744"/>
      <c r="F40" s="744"/>
      <c r="G40" s="748"/>
      <c r="H40" s="753" t="str">
        <f>" - - - -"</f>
        <v xml:space="preserve"> - - - -</v>
      </c>
      <c r="I40" s="753" t="str">
        <f>" - - - -"</f>
        <v xml:space="preserve"> - - - -</v>
      </c>
      <c r="J40" s="37"/>
      <c r="K40" s="755"/>
      <c r="L40" s="755"/>
      <c r="M40" s="755"/>
      <c r="N40" s="755"/>
    </row>
    <row r="41" spans="1:14" ht="13.5" thickBot="1">
      <c r="A41" s="2240"/>
      <c r="B41" s="2261">
        <v>17</v>
      </c>
      <c r="C41" s="2262" t="s">
        <v>373</v>
      </c>
      <c r="D41" s="758"/>
      <c r="E41" s="759"/>
      <c r="F41" s="759"/>
      <c r="G41" s="760"/>
      <c r="H41" s="761">
        <f>SUM(K41:N41)</f>
        <v>0</v>
      </c>
      <c r="I41" s="1267">
        <f>SUM(E41:H41)</f>
        <v>0</v>
      </c>
      <c r="J41" s="37"/>
      <c r="K41" s="755">
        <f>IF(D$23="IRA",D41,0)</f>
        <v>0</v>
      </c>
      <c r="L41" s="755">
        <f>IF(E$23="IRA",E41,0)</f>
        <v>0</v>
      </c>
      <c r="M41" s="755">
        <f>IF(F$23="IRA",F41,0)</f>
        <v>0</v>
      </c>
      <c r="N41" s="755">
        <f>IF(G$23="IRA",G41,0)</f>
        <v>0</v>
      </c>
    </row>
    <row r="42" spans="1:14" ht="49.5" customHeight="1" thickBot="1">
      <c r="A42" s="2240"/>
      <c r="B42" s="718"/>
      <c r="C42" s="718" t="s">
        <v>374</v>
      </c>
      <c r="D42" s="716" t="s">
        <v>813</v>
      </c>
      <c r="E42" s="716" t="s">
        <v>814</v>
      </c>
      <c r="F42" s="716"/>
      <c r="G42" s="716"/>
      <c r="H42" s="716"/>
      <c r="I42" s="716"/>
      <c r="J42" s="716"/>
      <c r="K42" s="180"/>
      <c r="L42" s="498"/>
      <c r="M42" s="498"/>
      <c r="N42" s="498"/>
    </row>
    <row r="43" spans="1:14" ht="13.5" thickBot="1">
      <c r="A43" s="2240"/>
      <c r="B43" s="2243"/>
      <c r="C43" s="2248"/>
      <c r="D43" s="2249" t="s">
        <v>704</v>
      </c>
      <c r="E43" s="2250" t="s">
        <v>673</v>
      </c>
      <c r="F43" s="2268" t="s">
        <v>1478</v>
      </c>
      <c r="G43" s="599"/>
      <c r="H43" s="46"/>
      <c r="I43" s="714"/>
      <c r="J43" s="46"/>
      <c r="K43" s="37"/>
      <c r="L43" s="68"/>
      <c r="M43" s="68"/>
      <c r="N43" s="68"/>
    </row>
    <row r="44" spans="1:14" ht="13.5" customHeight="1">
      <c r="A44" s="2240"/>
      <c r="B44" s="701">
        <v>1</v>
      </c>
      <c r="C44" s="2264" t="s">
        <v>803</v>
      </c>
      <c r="D44" s="2265">
        <f t="shared" ref="D44:E49" si="15">SUM(H4,H24)</f>
        <v>0</v>
      </c>
      <c r="E44" s="2265">
        <f t="shared" si="15"/>
        <v>0</v>
      </c>
      <c r="F44" s="711"/>
      <c r="G44" s="589"/>
      <c r="H44" s="589"/>
      <c r="I44" s="712"/>
      <c r="J44" s="59"/>
      <c r="K44" s="432"/>
      <c r="L44" s="315"/>
      <c r="M44" s="315"/>
      <c r="N44" s="315"/>
    </row>
    <row r="45" spans="1:14" ht="13.5" customHeight="1">
      <c r="A45" s="2240"/>
      <c r="B45" s="702" t="s">
        <v>586</v>
      </c>
      <c r="C45" s="2266" t="s">
        <v>479</v>
      </c>
      <c r="D45" s="2267">
        <f t="shared" si="15"/>
        <v>0</v>
      </c>
      <c r="E45" s="2267">
        <f t="shared" si="15"/>
        <v>0</v>
      </c>
      <c r="F45" s="717" t="s">
        <v>305</v>
      </c>
      <c r="G45" s="589"/>
      <c r="H45" s="589"/>
      <c r="I45" s="712"/>
      <c r="J45" s="59"/>
      <c r="K45" s="432"/>
      <c r="L45" s="315"/>
      <c r="M45" s="315"/>
      <c r="N45" s="315"/>
    </row>
    <row r="46" spans="1:14" ht="13.5" customHeight="1">
      <c r="A46" s="2240"/>
      <c r="B46" s="2254">
        <v>3</v>
      </c>
      <c r="C46" s="2255" t="s">
        <v>1473</v>
      </c>
      <c r="D46" s="2256">
        <f t="shared" si="15"/>
        <v>0</v>
      </c>
      <c r="E46" s="2256">
        <f t="shared" si="15"/>
        <v>0</v>
      </c>
      <c r="F46" s="717" t="s">
        <v>674</v>
      </c>
      <c r="G46" s="589"/>
      <c r="H46" s="589"/>
      <c r="I46" s="712"/>
      <c r="J46" s="59"/>
    </row>
    <row r="47" spans="1:14" ht="13.5" customHeight="1">
      <c r="A47" s="2240"/>
      <c r="B47" s="702">
        <v>4</v>
      </c>
      <c r="C47" s="2266" t="s">
        <v>286</v>
      </c>
      <c r="D47" s="2267">
        <f t="shared" si="15"/>
        <v>0</v>
      </c>
      <c r="E47" s="2267">
        <f t="shared" si="15"/>
        <v>0</v>
      </c>
      <c r="F47" s="717" t="s">
        <v>11</v>
      </c>
      <c r="G47" s="589"/>
      <c r="H47" s="589"/>
      <c r="I47" s="712"/>
      <c r="J47" s="59"/>
      <c r="K47" s="432"/>
      <c r="L47" s="315"/>
      <c r="M47" s="315"/>
      <c r="N47" s="315"/>
    </row>
    <row r="48" spans="1:14" ht="26.25" customHeight="1">
      <c r="A48" s="2240"/>
      <c r="B48" s="2257">
        <v>5</v>
      </c>
      <c r="C48" s="2258" t="s">
        <v>1474</v>
      </c>
      <c r="D48" s="2256">
        <f t="shared" si="15"/>
        <v>0</v>
      </c>
      <c r="E48" s="2256">
        <f t="shared" si="15"/>
        <v>0</v>
      </c>
      <c r="F48" s="2251" t="s">
        <v>431</v>
      </c>
      <c r="G48" s="599"/>
      <c r="H48" s="589"/>
      <c r="I48" s="714"/>
      <c r="J48" s="46"/>
      <c r="K48" s="37"/>
      <c r="L48" s="68"/>
      <c r="M48" s="68"/>
      <c r="N48" s="68"/>
    </row>
    <row r="49" spans="1:14">
      <c r="A49" s="2240"/>
      <c r="B49" s="2254">
        <v>6</v>
      </c>
      <c r="C49" s="2255" t="s">
        <v>167</v>
      </c>
      <c r="D49" s="2256">
        <f t="shared" si="15"/>
        <v>0</v>
      </c>
      <c r="E49" s="2256">
        <f t="shared" si="15"/>
        <v>0</v>
      </c>
      <c r="F49" s="717"/>
      <c r="G49" s="599"/>
      <c r="H49" s="589"/>
      <c r="I49" s="715"/>
      <c r="J49" s="22"/>
      <c r="K49" s="37"/>
      <c r="L49" s="68"/>
      <c r="M49" s="68"/>
      <c r="N49" s="68"/>
    </row>
    <row r="50" spans="1:14">
      <c r="A50" s="2240"/>
      <c r="B50" s="2254">
        <v>7</v>
      </c>
      <c r="C50" s="2255" t="s">
        <v>168</v>
      </c>
      <c r="D50" s="2259" t="str">
        <f>" - - - -"</f>
        <v xml:space="preserve"> - - - -</v>
      </c>
      <c r="E50" s="2259" t="str">
        <f>" - - - -"</f>
        <v xml:space="preserve"> - - - -</v>
      </c>
      <c r="F50" s="713"/>
      <c r="G50" s="599"/>
      <c r="H50" s="589"/>
      <c r="I50" s="714"/>
      <c r="J50" s="46"/>
      <c r="K50" s="37"/>
      <c r="L50" s="68"/>
      <c r="M50" s="68"/>
      <c r="N50" s="68"/>
    </row>
    <row r="51" spans="1:14">
      <c r="A51" s="2240"/>
      <c r="B51" s="2254">
        <v>8</v>
      </c>
      <c r="C51" s="2255" t="s">
        <v>689</v>
      </c>
      <c r="D51" s="2256">
        <f t="shared" ref="D51:E56" si="16">SUM(H11,H31)</f>
        <v>0</v>
      </c>
      <c r="E51" s="2256">
        <f t="shared" si="16"/>
        <v>0</v>
      </c>
      <c r="F51" s="713"/>
      <c r="G51" s="599"/>
      <c r="H51" s="589"/>
      <c r="I51" s="714"/>
      <c r="J51" s="46"/>
      <c r="K51" s="37"/>
      <c r="L51" s="68"/>
      <c r="M51" s="68"/>
      <c r="N51" s="68"/>
    </row>
    <row r="52" spans="1:14">
      <c r="A52" s="2240"/>
      <c r="B52" s="2254" t="s">
        <v>486</v>
      </c>
      <c r="C52" s="2255" t="s">
        <v>289</v>
      </c>
      <c r="D52" s="2260">
        <f t="shared" si="16"/>
        <v>0</v>
      </c>
      <c r="E52" s="2260">
        <f t="shared" si="16"/>
        <v>0</v>
      </c>
      <c r="F52" s="713"/>
      <c r="G52" s="599"/>
      <c r="H52" s="589"/>
      <c r="I52" s="714"/>
      <c r="J52" s="46"/>
      <c r="K52" s="37"/>
      <c r="L52" s="68"/>
      <c r="M52" s="68"/>
      <c r="N52" s="68"/>
    </row>
    <row r="53" spans="1:14">
      <c r="A53" s="2240"/>
      <c r="B53" s="2254" t="s">
        <v>487</v>
      </c>
      <c r="C53" s="2255" t="s">
        <v>721</v>
      </c>
      <c r="D53" s="2256">
        <f t="shared" si="16"/>
        <v>0</v>
      </c>
      <c r="E53" s="2256">
        <f t="shared" si="16"/>
        <v>0</v>
      </c>
      <c r="F53" s="713"/>
      <c r="G53" s="599"/>
      <c r="H53" s="589"/>
      <c r="I53" s="714"/>
      <c r="J53" s="46"/>
      <c r="K53" s="37"/>
      <c r="L53" s="68"/>
      <c r="M53" s="68"/>
      <c r="N53" s="68"/>
    </row>
    <row r="54" spans="1:14">
      <c r="A54" s="2240"/>
      <c r="B54" s="2254">
        <v>10</v>
      </c>
      <c r="C54" s="2255" t="s">
        <v>1476</v>
      </c>
      <c r="D54" s="2256">
        <f t="shared" si="16"/>
        <v>0</v>
      </c>
      <c r="E54" s="2256">
        <f t="shared" si="16"/>
        <v>0</v>
      </c>
      <c r="F54" s="599"/>
      <c r="G54" s="589"/>
      <c r="H54" s="589"/>
      <c r="I54" s="712"/>
      <c r="J54" s="59"/>
    </row>
    <row r="55" spans="1:14">
      <c r="A55" s="2240"/>
      <c r="B55" s="2254">
        <v>11</v>
      </c>
      <c r="C55" s="2255" t="s">
        <v>1477</v>
      </c>
      <c r="D55" s="2256">
        <f t="shared" si="16"/>
        <v>0</v>
      </c>
      <c r="E55" s="2256">
        <f t="shared" si="16"/>
        <v>0</v>
      </c>
      <c r="F55" s="599"/>
      <c r="G55" s="589"/>
      <c r="H55" s="589"/>
      <c r="I55" s="712"/>
      <c r="J55" s="59"/>
    </row>
    <row r="56" spans="1:14">
      <c r="A56" s="2240"/>
      <c r="B56" s="702">
        <v>12</v>
      </c>
      <c r="C56" s="2266" t="s">
        <v>722</v>
      </c>
      <c r="D56" s="2267">
        <f t="shared" si="16"/>
        <v>0</v>
      </c>
      <c r="E56" s="2267">
        <f t="shared" si="16"/>
        <v>0</v>
      </c>
      <c r="F56" s="713"/>
      <c r="G56" s="599"/>
      <c r="H56" s="589"/>
      <c r="I56" s="714"/>
      <c r="J56" s="46"/>
      <c r="K56" s="37"/>
      <c r="L56" s="68"/>
      <c r="M56" s="68"/>
      <c r="N56" s="68"/>
    </row>
    <row r="57" spans="1:14">
      <c r="A57" s="2240"/>
      <c r="B57" s="2254">
        <v>13</v>
      </c>
      <c r="C57" s="2255" t="s">
        <v>551</v>
      </c>
      <c r="D57" s="2259" t="str">
        <f>" - - - -"</f>
        <v xml:space="preserve"> - - - -</v>
      </c>
      <c r="E57" s="2259" t="str">
        <f>" - - - -"</f>
        <v xml:space="preserve"> - - - -</v>
      </c>
      <c r="F57" s="713"/>
      <c r="G57" s="599"/>
      <c r="H57" s="589"/>
      <c r="I57" s="714"/>
      <c r="J57" s="46"/>
      <c r="K57" s="37"/>
      <c r="L57" s="68"/>
      <c r="M57" s="68"/>
      <c r="N57" s="68"/>
    </row>
    <row r="58" spans="1:14">
      <c r="A58" s="2240"/>
      <c r="B58" s="2254">
        <v>14</v>
      </c>
      <c r="C58" s="2255" t="s">
        <v>66</v>
      </c>
      <c r="D58" s="2256">
        <f>SUM(H18,H38)</f>
        <v>0</v>
      </c>
      <c r="E58" s="2256">
        <f>SUM(I18,I38)</f>
        <v>0</v>
      </c>
      <c r="F58" s="713"/>
      <c r="G58" s="599"/>
      <c r="H58" s="46"/>
      <c r="I58" s="714"/>
      <c r="J58" s="46"/>
      <c r="K58" s="37"/>
      <c r="L58" s="68"/>
      <c r="M58" s="68"/>
      <c r="N58" s="68"/>
    </row>
    <row r="59" spans="1:14">
      <c r="A59" s="2240"/>
      <c r="B59" s="702">
        <v>15</v>
      </c>
      <c r="C59" s="2266" t="s">
        <v>371</v>
      </c>
      <c r="D59" s="2267">
        <f>SUM(H19,H39)</f>
        <v>0</v>
      </c>
      <c r="E59" s="2267">
        <f>SUM(I19,I39)</f>
        <v>0</v>
      </c>
      <c r="F59" s="713"/>
      <c r="G59" s="599"/>
      <c r="H59" s="46"/>
      <c r="I59" s="714"/>
      <c r="J59" s="46"/>
      <c r="K59" s="37"/>
      <c r="L59" s="68"/>
      <c r="M59" s="68"/>
      <c r="N59" s="68"/>
    </row>
    <row r="60" spans="1:14">
      <c r="A60" s="2240"/>
      <c r="B60" s="2254">
        <v>16</v>
      </c>
      <c r="C60" s="2255" t="s">
        <v>372</v>
      </c>
      <c r="D60" s="2259" t="str">
        <f>" - - - -"</f>
        <v xml:space="preserve"> - - - -</v>
      </c>
      <c r="E60" s="2259" t="str">
        <f>" - - - -"</f>
        <v xml:space="preserve"> - - - -</v>
      </c>
      <c r="F60" s="713"/>
      <c r="G60" s="599"/>
      <c r="H60" s="46"/>
      <c r="I60" s="714"/>
      <c r="J60" s="46"/>
      <c r="K60" s="37"/>
      <c r="L60" s="68"/>
      <c r="M60" s="68"/>
      <c r="N60" s="68"/>
    </row>
    <row r="61" spans="1:14" ht="13.5" thickBot="1">
      <c r="A61" s="2240"/>
      <c r="B61" s="2261">
        <v>17</v>
      </c>
      <c r="C61" s="2262" t="s">
        <v>373</v>
      </c>
      <c r="D61" s="2263">
        <f>SUM(H21,H41)</f>
        <v>0</v>
      </c>
      <c r="E61" s="2263">
        <f>SUM(I21,I41)</f>
        <v>0</v>
      </c>
      <c r="F61" s="713"/>
      <c r="G61" s="599"/>
      <c r="H61" s="46"/>
      <c r="I61" s="714"/>
      <c r="J61" s="46"/>
      <c r="K61" s="37"/>
      <c r="L61" s="68"/>
      <c r="M61" s="68"/>
      <c r="N61" s="68"/>
    </row>
  </sheetData>
  <sheetProtection password="F07E" sheet="1" objects="1" scenarios="1"/>
  <phoneticPr fontId="42" type="noConversion"/>
  <printOptions gridLines="1" gridLinesSet="0"/>
  <pageMargins left="0.75" right="0.75" top="1" bottom="1" header="0.5" footer="0.5"/>
  <pageSetup scale="89" fitToHeight="0" orientation="landscape" horizontalDpi="360" verticalDpi="360" r:id="rId1"/>
  <headerFooter alignWithMargins="0">
    <oddHeader>&amp;A</oddHeader>
    <oddFooter>Page &amp;P</oddFooter>
  </headerFooter>
  <rowBreaks count="2" manualBreakCount="2">
    <brk id="21" max="9" man="1"/>
    <brk id="41" max="9"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2"/>
  <sheetViews>
    <sheetView workbookViewId="0">
      <pane ySplit="1" topLeftCell="A14" activePane="bottomLeft" state="frozen"/>
      <selection pane="bottomLeft" activeCell="C40" sqref="C40"/>
    </sheetView>
  </sheetViews>
  <sheetFormatPr defaultColWidth="9.140625" defaultRowHeight="12.75"/>
  <cols>
    <col min="1" max="1" width="12.42578125" style="3138" customWidth="1"/>
    <col min="2" max="2" width="18" style="3137" customWidth="1"/>
    <col min="3" max="3" width="74.7109375" style="3136" customWidth="1"/>
    <col min="4" max="4" width="34" style="3136" customWidth="1"/>
    <col min="5" max="16384" width="9.140625" style="3136"/>
  </cols>
  <sheetData>
    <row r="1" spans="1:4" s="3363" customFormat="1" ht="15" customHeight="1" thickBot="1">
      <c r="A1" s="3139" t="s">
        <v>187</v>
      </c>
      <c r="B1" s="3139" t="s">
        <v>330</v>
      </c>
      <c r="C1" s="3140" t="s">
        <v>331</v>
      </c>
      <c r="D1" s="3141" t="s">
        <v>380</v>
      </c>
    </row>
    <row r="2" spans="1:4">
      <c r="A2" s="3138">
        <v>42016</v>
      </c>
      <c r="B2" s="3227" t="s">
        <v>2351</v>
      </c>
      <c r="C2" s="3228" t="s">
        <v>2352</v>
      </c>
    </row>
    <row r="3" spans="1:4">
      <c r="A3" s="3138">
        <v>42017</v>
      </c>
      <c r="B3" s="3227">
        <v>1040</v>
      </c>
      <c r="C3" s="3228" t="s">
        <v>2353</v>
      </c>
    </row>
    <row r="4" spans="1:4" ht="25.5">
      <c r="A4" s="3138">
        <v>42020</v>
      </c>
      <c r="B4" s="3227" t="s">
        <v>2247</v>
      </c>
      <c r="C4" s="3228" t="s">
        <v>2358</v>
      </c>
    </row>
    <row r="5" spans="1:4">
      <c r="A5" s="3138">
        <v>42023</v>
      </c>
      <c r="B5" s="3227">
        <v>6251</v>
      </c>
      <c r="C5" s="3228" t="s">
        <v>2359</v>
      </c>
    </row>
    <row r="6" spans="1:4" ht="25.5">
      <c r="A6" s="3138">
        <v>42025</v>
      </c>
      <c r="B6" s="3227">
        <v>6251</v>
      </c>
      <c r="C6" s="3228" t="s">
        <v>2360</v>
      </c>
    </row>
    <row r="7" spans="1:4">
      <c r="A7" s="3138">
        <v>42025</v>
      </c>
      <c r="B7" s="3227" t="s">
        <v>2247</v>
      </c>
      <c r="C7" s="3228" t="s">
        <v>2361</v>
      </c>
    </row>
    <row r="8" spans="1:4">
      <c r="A8" s="3138">
        <v>42025</v>
      </c>
      <c r="B8" s="3227" t="s">
        <v>2247</v>
      </c>
      <c r="C8" s="3228" t="s">
        <v>2362</v>
      </c>
    </row>
    <row r="9" spans="1:4">
      <c r="A9" s="3138">
        <v>42029</v>
      </c>
      <c r="B9" s="3227" t="s">
        <v>2373</v>
      </c>
      <c r="C9" s="3228" t="s">
        <v>2374</v>
      </c>
    </row>
    <row r="10" spans="1:4">
      <c r="A10" s="3138">
        <v>42031</v>
      </c>
      <c r="B10" s="3227">
        <v>1040</v>
      </c>
      <c r="C10" s="3228" t="s">
        <v>2376</v>
      </c>
    </row>
    <row r="11" spans="1:4" ht="25.5">
      <c r="A11" s="3138">
        <v>42032</v>
      </c>
      <c r="B11" s="3227" t="s">
        <v>2174</v>
      </c>
      <c r="C11" s="3228" t="s">
        <v>2384</v>
      </c>
    </row>
    <row r="12" spans="1:4" ht="25.5">
      <c r="A12" s="3138">
        <v>42034</v>
      </c>
      <c r="B12" s="3227">
        <v>1040</v>
      </c>
      <c r="C12" s="3228" t="s">
        <v>2385</v>
      </c>
    </row>
    <row r="13" spans="1:4">
      <c r="A13" s="3138">
        <v>42039</v>
      </c>
      <c r="B13" s="3227">
        <v>8962</v>
      </c>
      <c r="C13" s="3228" t="s">
        <v>2551</v>
      </c>
    </row>
    <row r="14" spans="1:4" ht="25.5">
      <c r="A14" s="3138">
        <v>42040</v>
      </c>
      <c r="B14" s="3227" t="s">
        <v>2247</v>
      </c>
      <c r="C14" s="3228" t="s">
        <v>2552</v>
      </c>
    </row>
    <row r="15" spans="1:4" ht="25.5">
      <c r="A15" s="3138">
        <v>42043</v>
      </c>
      <c r="B15" s="3227">
        <v>8962</v>
      </c>
      <c r="C15" s="3228" t="s">
        <v>2640</v>
      </c>
    </row>
    <row r="16" spans="1:4">
      <c r="A16" s="3138">
        <v>42047</v>
      </c>
      <c r="B16" s="3227">
        <v>2441</v>
      </c>
      <c r="C16" s="3228" t="s">
        <v>2678</v>
      </c>
    </row>
    <row r="17" spans="1:3">
      <c r="A17" s="3138">
        <v>42048</v>
      </c>
      <c r="B17" s="3227" t="s">
        <v>2290</v>
      </c>
      <c r="C17" s="3228" t="s">
        <v>2684</v>
      </c>
    </row>
    <row r="18" spans="1:3">
      <c r="A18" s="3138">
        <v>42051</v>
      </c>
      <c r="B18" s="3227">
        <v>8962</v>
      </c>
      <c r="C18" s="3228" t="s">
        <v>2692</v>
      </c>
    </row>
    <row r="19" spans="1:3">
      <c r="A19" s="3138">
        <v>42051</v>
      </c>
      <c r="B19" s="3227">
        <v>8962</v>
      </c>
      <c r="C19" s="3228" t="s">
        <v>2696</v>
      </c>
    </row>
    <row r="20" spans="1:3" ht="25.5">
      <c r="A20" s="3138">
        <v>42051</v>
      </c>
      <c r="B20" s="3227">
        <v>8962</v>
      </c>
      <c r="C20" s="3228" t="s">
        <v>2697</v>
      </c>
    </row>
    <row r="21" spans="1:3" ht="25.5">
      <c r="A21" s="3138">
        <v>42058</v>
      </c>
      <c r="B21" s="3137">
        <v>2441</v>
      </c>
      <c r="C21" s="3136" t="s">
        <v>2698</v>
      </c>
    </row>
    <row r="22" spans="1:3">
      <c r="A22" s="3138">
        <v>42064</v>
      </c>
      <c r="B22" s="3137">
        <v>2441</v>
      </c>
      <c r="C22" s="3136" t="s">
        <v>2699</v>
      </c>
    </row>
    <row r="23" spans="1:3" ht="25.5">
      <c r="A23" s="3138">
        <v>42064</v>
      </c>
      <c r="B23" s="3137">
        <v>1040</v>
      </c>
      <c r="C23" s="3228" t="s">
        <v>2703</v>
      </c>
    </row>
    <row r="24" spans="1:3">
      <c r="A24" s="3138">
        <v>42069</v>
      </c>
      <c r="B24" s="3137">
        <v>2441</v>
      </c>
      <c r="C24" s="3228" t="s">
        <v>2704</v>
      </c>
    </row>
    <row r="25" spans="1:3" ht="25.5">
      <c r="A25" s="3138">
        <v>42072</v>
      </c>
      <c r="B25" s="3137">
        <v>6251</v>
      </c>
      <c r="C25" s="3136" t="s">
        <v>2707</v>
      </c>
    </row>
    <row r="26" spans="1:3">
      <c r="A26" s="3138">
        <v>42074</v>
      </c>
      <c r="B26" s="3137">
        <v>6251</v>
      </c>
      <c r="C26" s="3228" t="s">
        <v>2709</v>
      </c>
    </row>
    <row r="27" spans="1:3" ht="25.5">
      <c r="A27" s="3138">
        <v>42075</v>
      </c>
      <c r="B27" s="3227" t="s">
        <v>2716</v>
      </c>
      <c r="C27" s="3228" t="s">
        <v>2717</v>
      </c>
    </row>
    <row r="28" spans="1:3" ht="25.5">
      <c r="A28" s="3138">
        <v>42076</v>
      </c>
      <c r="B28" s="3137" t="s">
        <v>2174</v>
      </c>
      <c r="C28" s="3136" t="s">
        <v>2719</v>
      </c>
    </row>
    <row r="29" spans="1:3" ht="25.5">
      <c r="A29" s="3138">
        <v>42079</v>
      </c>
      <c r="B29" s="3137">
        <v>1040</v>
      </c>
      <c r="C29" s="3228" t="s">
        <v>2722</v>
      </c>
    </row>
    <row r="30" spans="1:3" ht="25.5">
      <c r="A30" s="3138">
        <v>42079</v>
      </c>
      <c r="B30" s="3137" t="s">
        <v>2291</v>
      </c>
      <c r="C30" s="3136" t="s">
        <v>2723</v>
      </c>
    </row>
    <row r="31" spans="1:3" ht="25.5">
      <c r="A31" s="3138">
        <v>42086</v>
      </c>
      <c r="B31" s="3137" t="s">
        <v>2174</v>
      </c>
      <c r="C31" s="3228" t="s">
        <v>2724</v>
      </c>
    </row>
    <row r="32" spans="1:3" ht="25.5">
      <c r="A32" s="3138">
        <v>42100</v>
      </c>
      <c r="B32" s="3137">
        <v>1040</v>
      </c>
      <c r="C32" s="3136" t="s">
        <v>2726</v>
      </c>
    </row>
    <row r="33" spans="1:3" ht="25.5">
      <c r="A33" s="3138">
        <v>42100</v>
      </c>
      <c r="B33" s="3227" t="s">
        <v>1629</v>
      </c>
      <c r="C33" s="3136" t="s">
        <v>2727</v>
      </c>
    </row>
    <row r="34" spans="1:3">
      <c r="A34" s="3138">
        <v>42109</v>
      </c>
      <c r="B34" s="3137" t="s">
        <v>2174</v>
      </c>
      <c r="C34" s="3136" t="s">
        <v>2776</v>
      </c>
    </row>
    <row r="35" spans="1:3" ht="25.5">
      <c r="A35" s="3138">
        <v>42109</v>
      </c>
      <c r="B35" s="3137" t="s">
        <v>2171</v>
      </c>
      <c r="C35" s="3136" t="s">
        <v>2775</v>
      </c>
    </row>
    <row r="36" spans="1:3" ht="25.5">
      <c r="A36" s="3138">
        <v>42235</v>
      </c>
      <c r="B36" s="3137">
        <v>6251</v>
      </c>
      <c r="C36" s="3136" t="s">
        <v>2781</v>
      </c>
    </row>
    <row r="37" spans="1:3" ht="25.5">
      <c r="A37" s="3138">
        <v>42305</v>
      </c>
      <c r="B37" s="3137">
        <v>6251</v>
      </c>
      <c r="C37" s="3136" t="s">
        <v>2784</v>
      </c>
    </row>
    <row r="38" spans="1:3" ht="25.5">
      <c r="A38" s="3138">
        <v>42328</v>
      </c>
      <c r="B38" s="3137">
        <v>1040</v>
      </c>
      <c r="C38" s="3228" t="s">
        <v>2796</v>
      </c>
    </row>
    <row r="39" spans="1:3">
      <c r="A39" s="3138">
        <v>42377</v>
      </c>
      <c r="B39" s="3137">
        <v>8962</v>
      </c>
      <c r="C39" s="3228" t="s">
        <v>2797</v>
      </c>
    </row>
    <row r="100" spans="1:3">
      <c r="A100" s="3351">
        <v>41941</v>
      </c>
      <c r="B100" s="3352" t="s">
        <v>2171</v>
      </c>
      <c r="C100" s="3353" t="s">
        <v>2172</v>
      </c>
    </row>
    <row r="101" spans="1:3">
      <c r="A101" s="3351">
        <v>41941</v>
      </c>
      <c r="B101" s="3352" t="s">
        <v>2173</v>
      </c>
      <c r="C101" s="3353" t="s">
        <v>2167</v>
      </c>
    </row>
    <row r="102" spans="1:3">
      <c r="A102" s="3351">
        <v>41942</v>
      </c>
      <c r="B102" s="3352" t="s">
        <v>2174</v>
      </c>
      <c r="C102" s="3353" t="s">
        <v>2167</v>
      </c>
    </row>
    <row r="103" spans="1:3">
      <c r="A103" s="3351">
        <v>41942</v>
      </c>
      <c r="B103" s="3352" t="s">
        <v>2001</v>
      </c>
      <c r="C103" s="3353" t="s">
        <v>2167</v>
      </c>
    </row>
    <row r="104" spans="1:3">
      <c r="A104" s="3351">
        <v>41962</v>
      </c>
      <c r="B104" s="3352" t="s">
        <v>2184</v>
      </c>
      <c r="C104" s="3353" t="s">
        <v>2167</v>
      </c>
    </row>
    <row r="105" spans="1:3">
      <c r="A105" s="3351">
        <v>41993</v>
      </c>
      <c r="B105" s="3352" t="s">
        <v>2191</v>
      </c>
      <c r="C105" s="3353" t="s">
        <v>2167</v>
      </c>
    </row>
    <row r="106" spans="1:3">
      <c r="A106" s="3351">
        <v>42001</v>
      </c>
      <c r="B106" s="3352" t="s">
        <v>2171</v>
      </c>
      <c r="C106" s="3353" t="s">
        <v>2167</v>
      </c>
    </row>
    <row r="107" spans="1:3">
      <c r="A107" s="3351">
        <v>42008</v>
      </c>
      <c r="B107" s="3352" t="s">
        <v>1652</v>
      </c>
      <c r="C107" s="3353" t="s">
        <v>2235</v>
      </c>
    </row>
    <row r="108" spans="1:3">
      <c r="A108" s="3351">
        <v>42010</v>
      </c>
      <c r="B108" s="3352" t="s">
        <v>2236</v>
      </c>
      <c r="C108" s="3353" t="s">
        <v>2237</v>
      </c>
    </row>
    <row r="109" spans="1:3">
      <c r="A109" s="3351">
        <v>42010</v>
      </c>
      <c r="B109" s="3352" t="s">
        <v>2184</v>
      </c>
      <c r="C109" s="3353" t="s">
        <v>2167</v>
      </c>
    </row>
    <row r="110" spans="1:3">
      <c r="A110" s="3351">
        <v>42014</v>
      </c>
      <c r="B110" s="3352" t="s">
        <v>2238</v>
      </c>
      <c r="C110" s="3353" t="s">
        <v>2167</v>
      </c>
    </row>
    <row r="111" spans="1:3">
      <c r="A111" s="3351">
        <v>42014</v>
      </c>
      <c r="B111" s="3352" t="s">
        <v>2239</v>
      </c>
      <c r="C111" s="3353" t="s">
        <v>2167</v>
      </c>
    </row>
    <row r="112" spans="1:3">
      <c r="A112" s="3351">
        <v>42014</v>
      </c>
      <c r="B112" s="3352" t="s">
        <v>1652</v>
      </c>
      <c r="C112" s="3353" t="s">
        <v>2240</v>
      </c>
    </row>
    <row r="113" spans="1:3">
      <c r="A113" s="3351">
        <v>42014</v>
      </c>
      <c r="B113" s="3352" t="s">
        <v>2244</v>
      </c>
      <c r="C113" s="3353" t="s">
        <v>2167</v>
      </c>
    </row>
    <row r="114" spans="1:3">
      <c r="A114" s="3351">
        <v>42014</v>
      </c>
      <c r="B114" s="3352" t="s">
        <v>2245</v>
      </c>
      <c r="C114" s="3353" t="s">
        <v>2167</v>
      </c>
    </row>
    <row r="115" spans="1:3">
      <c r="A115" s="3351">
        <v>42014</v>
      </c>
      <c r="B115" s="3352" t="s">
        <v>2247</v>
      </c>
      <c r="C115" s="3353" t="s">
        <v>2167</v>
      </c>
    </row>
    <row r="116" spans="1:3">
      <c r="A116" s="3351">
        <v>42014</v>
      </c>
      <c r="B116" s="3352" t="s">
        <v>1629</v>
      </c>
      <c r="C116" s="3353" t="s">
        <v>2167</v>
      </c>
    </row>
    <row r="117" spans="1:3">
      <c r="A117" s="3351">
        <v>42015</v>
      </c>
      <c r="B117" s="3352" t="s">
        <v>2253</v>
      </c>
      <c r="C117" s="3353" t="s">
        <v>2167</v>
      </c>
    </row>
    <row r="118" spans="1:3">
      <c r="A118" s="3351">
        <v>42015</v>
      </c>
      <c r="B118" s="3352" t="s">
        <v>2261</v>
      </c>
      <c r="C118" s="3353" t="s">
        <v>2167</v>
      </c>
    </row>
    <row r="119" spans="1:3">
      <c r="A119" s="3351">
        <v>42015</v>
      </c>
      <c r="B119" s="3352" t="s">
        <v>2290</v>
      </c>
      <c r="C119" s="3353" t="s">
        <v>2167</v>
      </c>
    </row>
    <row r="120" spans="1:3">
      <c r="A120" s="3351">
        <v>42015</v>
      </c>
      <c r="B120" s="3352" t="s">
        <v>2291</v>
      </c>
      <c r="C120" s="3353" t="s">
        <v>2167</v>
      </c>
    </row>
    <row r="121" spans="1:3">
      <c r="A121" s="3351">
        <v>42016</v>
      </c>
      <c r="B121" s="3352">
        <v>8959</v>
      </c>
      <c r="C121" s="3353" t="s">
        <v>2167</v>
      </c>
    </row>
    <row r="122" spans="1:3">
      <c r="A122" s="3351">
        <v>42016</v>
      </c>
      <c r="B122" s="3352">
        <v>8960</v>
      </c>
      <c r="C122" s="3353" t="s">
        <v>2167</v>
      </c>
    </row>
  </sheetData>
  <sheetProtection password="F07E" sheet="1" objects="1" scenarios="1"/>
  <hyperlinks>
    <hyperlink ref="D1" r:id="rId1"/>
  </hyperlinks>
  <pageMargins left="0.7" right="0.7" top="0.75" bottom="0.75" header="0.3" footer="0.3"/>
  <pageSetup orientation="landscape" horizontalDpi="4294967293" verticalDpi="4294967293"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L41"/>
  <sheetViews>
    <sheetView zoomScaleNormal="100" workbookViewId="0">
      <pane ySplit="1" topLeftCell="A2" activePane="bottomLeft" state="frozen"/>
      <selection activeCell="D26" sqref="D26"/>
      <selection pane="bottomLeft" activeCell="D3" sqref="D3"/>
    </sheetView>
  </sheetViews>
  <sheetFormatPr defaultColWidth="9.140625" defaultRowHeight="12.75"/>
  <cols>
    <col min="1" max="1" width="2.5703125" style="37" customWidth="1"/>
    <col min="2" max="2" width="4.42578125" style="61" customWidth="1"/>
    <col min="3" max="3" width="37.28515625" style="37" customWidth="1"/>
    <col min="4" max="4" width="17" style="37" customWidth="1"/>
    <col min="5" max="5" width="3.85546875" style="37" customWidth="1"/>
    <col min="6" max="6" width="19.42578125" style="37" customWidth="1"/>
    <col min="7" max="7" width="3.7109375" style="37" customWidth="1"/>
    <col min="8" max="8" width="12.7109375" style="37" customWidth="1"/>
    <col min="9" max="9" width="2" style="37" customWidth="1"/>
    <col min="10" max="10" width="2.42578125" style="37" customWidth="1"/>
    <col min="11" max="11" width="13.42578125" style="37" customWidth="1"/>
    <col min="12" max="12" width="9.140625" style="37"/>
    <col min="13" max="16384" width="9.140625" style="68"/>
  </cols>
  <sheetData>
    <row r="1" spans="2:9" s="1516" customFormat="1" ht="36.75" customHeight="1" thickBot="1">
      <c r="B1" s="1528" t="s">
        <v>454</v>
      </c>
    </row>
    <row r="2" spans="2:9" ht="41.25" customHeight="1" thickBot="1">
      <c r="B2" s="1517">
        <v>1</v>
      </c>
      <c r="C2" s="2811" t="str">
        <f>IF(Name_1st_Yours="","Enter your name on Form 1040",NameYours)</f>
        <v>Enter your name on Form 1040</v>
      </c>
      <c r="D2" s="1548"/>
    </row>
    <row r="3" spans="2:9" ht="13.5" customHeight="1">
      <c r="B3" s="701">
        <v>3</v>
      </c>
      <c r="C3" s="704" t="str">
        <f>"Benefits Paid in "&amp;TaxYear</f>
        <v>Benefits Paid in 2014</v>
      </c>
      <c r="D3" s="1529"/>
    </row>
    <row r="4" spans="2:9" ht="13.5" customHeight="1">
      <c r="B4" s="702">
        <v>4</v>
      </c>
      <c r="C4" s="705" t="str">
        <f>"Benefits Repaid in "&amp;TaxYear</f>
        <v>Benefits Repaid in 2014</v>
      </c>
      <c r="D4" s="1530"/>
    </row>
    <row r="5" spans="2:9" ht="13.5" customHeight="1">
      <c r="B5" s="702">
        <v>5</v>
      </c>
      <c r="C5" s="705" t="str">
        <f>"Net Benefits for "&amp;TaxYear&amp;" (Box 3 minus Box 4)"</f>
        <v>Net Benefits for 2014 (Box 3 minus Box 4)</v>
      </c>
      <c r="D5" s="756">
        <f>SUM(D3,-D4)</f>
        <v>0</v>
      </c>
    </row>
    <row r="6" spans="2:9" ht="13.5" thickBot="1">
      <c r="B6" s="703">
        <v>6</v>
      </c>
      <c r="C6" s="706" t="s">
        <v>455</v>
      </c>
      <c r="D6" s="1531"/>
    </row>
    <row r="7" spans="2:9" ht="48" customHeight="1" thickBot="1">
      <c r="B7" s="1518">
        <v>1</v>
      </c>
      <c r="C7" s="2812" t="str">
        <f>IF(Name_1st_Sp="","Enter spouse's name on Form 1040",NameSpouse)</f>
        <v>Enter spouse's name on Form 1040</v>
      </c>
      <c r="D7" s="716"/>
    </row>
    <row r="8" spans="2:9" ht="13.5" customHeight="1">
      <c r="B8" s="701">
        <v>3</v>
      </c>
      <c r="C8" s="704" t="str">
        <f>"Benefits Paid in "&amp;TaxYear</f>
        <v>Benefits Paid in 2014</v>
      </c>
      <c r="D8" s="1529"/>
    </row>
    <row r="9" spans="2:9" ht="13.5" customHeight="1">
      <c r="B9" s="702">
        <v>4</v>
      </c>
      <c r="C9" s="705" t="str">
        <f>"Benefits Repaid in "&amp;TaxYear</f>
        <v>Benefits Repaid in 2014</v>
      </c>
      <c r="D9" s="1530"/>
    </row>
    <row r="10" spans="2:9" ht="13.5" customHeight="1">
      <c r="B10" s="702">
        <v>5</v>
      </c>
      <c r="C10" s="705" t="str">
        <f>"Net Benefits for "&amp;TaxYear&amp;" (Box 3 minus Box 4)"</f>
        <v>Net Benefits for 2014 (Box 3 minus Box 4)</v>
      </c>
      <c r="D10" s="756">
        <f>SUM(D8,-D9)</f>
        <v>0</v>
      </c>
    </row>
    <row r="11" spans="2:9" ht="13.5" thickBot="1">
      <c r="B11" s="703">
        <v>6</v>
      </c>
      <c r="C11" s="706" t="s">
        <v>455</v>
      </c>
      <c r="D11" s="1531"/>
    </row>
    <row r="13" spans="2:9" ht="13.5" customHeight="1"/>
    <row r="14" spans="2:9" ht="13.5" thickBot="1"/>
    <row r="15" spans="2:9" ht="22.5" customHeight="1">
      <c r="B15" s="701"/>
      <c r="C15" s="762" t="s">
        <v>227</v>
      </c>
      <c r="D15" s="1521"/>
      <c r="E15" s="48"/>
      <c r="F15" s="1522"/>
      <c r="G15" s="48"/>
      <c r="H15" s="1522" t="s">
        <v>303</v>
      </c>
      <c r="I15" s="139"/>
    </row>
    <row r="16" spans="2:9" ht="16.5" thickBot="1">
      <c r="B16" s="702"/>
      <c r="C16" s="45" t="s">
        <v>228</v>
      </c>
      <c r="D16" s="1523"/>
      <c r="E16" s="55"/>
      <c r="F16" s="1524"/>
      <c r="G16" s="55"/>
      <c r="H16" s="1524" t="s">
        <v>680</v>
      </c>
      <c r="I16" s="140"/>
    </row>
    <row r="17" spans="1:12">
      <c r="B17" s="702"/>
      <c r="C17" s="59" t="s">
        <v>229</v>
      </c>
      <c r="D17" s="46"/>
      <c r="E17" s="46"/>
      <c r="F17" s="46"/>
      <c r="G17" s="46"/>
      <c r="H17" s="46"/>
      <c r="I17" s="140"/>
    </row>
    <row r="18" spans="1:12" ht="8.25" customHeight="1">
      <c r="B18" s="702"/>
      <c r="C18" s="46"/>
      <c r="D18" s="46"/>
      <c r="E18" s="46"/>
      <c r="F18" s="46"/>
      <c r="G18" s="46"/>
      <c r="H18" s="46"/>
      <c r="I18" s="140"/>
    </row>
    <row r="19" spans="1:12" s="1519" customFormat="1" ht="76.5">
      <c r="A19" s="613"/>
      <c r="B19" s="1525"/>
      <c r="C19" s="1526" t="str">
        <f>"If your social security and/or SSI
(supplemental security income)
benefits were your only source of
income for "&amp;TaxYear&amp;", you probably will
not have to file a federal income 
tax return."</f>
        <v>If your social security and/or SSI
(supplemental security income)
benefits were your only source of
income for 2014, you probably will
not have to file a federal income 
tax return.</v>
      </c>
      <c r="D19" s="1526" t="str">
        <f>"Fill in lines A through E below
to see if any of your benefits
may be taxable for "&amp;TaxYear&amp;"."</f>
        <v>Fill in lines A through E below
to see if any of your benefits
may be taxable for 2014.</v>
      </c>
      <c r="E19" s="1298"/>
      <c r="F19" s="1526" t="s">
        <v>230</v>
      </c>
      <c r="G19" s="144"/>
      <c r="H19" s="144"/>
      <c r="I19" s="1102"/>
      <c r="J19" s="613"/>
      <c r="K19" s="1672" t="s">
        <v>1023</v>
      </c>
      <c r="L19" s="613"/>
    </row>
    <row r="20" spans="1:12">
      <c r="B20" s="702"/>
      <c r="C20" s="46"/>
      <c r="D20" s="46"/>
      <c r="E20" s="46"/>
      <c r="F20" s="46"/>
      <c r="G20" s="46"/>
      <c r="H20" s="46"/>
      <c r="I20" s="140"/>
      <c r="K20" s="551"/>
    </row>
    <row r="21" spans="1:12">
      <c r="B21" s="702" t="s">
        <v>242</v>
      </c>
      <c r="C21" s="183" t="s">
        <v>1021</v>
      </c>
      <c r="D21" s="46"/>
      <c r="E21" s="77" t="s">
        <v>242</v>
      </c>
      <c r="F21" s="1390">
        <f>IF(K21&lt;&gt;"",K21,ROUND(SUM(D5,D10),0))</f>
        <v>0</v>
      </c>
      <c r="G21" s="46"/>
      <c r="H21" s="46"/>
      <c r="I21" s="140"/>
      <c r="K21" s="1532"/>
    </row>
    <row r="22" spans="1:12">
      <c r="B22" s="702" t="s">
        <v>490</v>
      </c>
      <c r="C22" s="46" t="s">
        <v>491</v>
      </c>
      <c r="D22" s="46"/>
      <c r="E22" s="46"/>
      <c r="F22" s="46"/>
      <c r="G22" s="77" t="s">
        <v>490</v>
      </c>
      <c r="H22" s="1390">
        <f>IF(K22&lt;&gt;"",K22,ROUND(F21/2,0))</f>
        <v>0</v>
      </c>
      <c r="I22" s="140"/>
      <c r="K22" s="1532"/>
    </row>
    <row r="23" spans="1:12" s="1520" customFormat="1" ht="52.5" customHeight="1">
      <c r="A23" s="1534"/>
      <c r="B23" s="1525" t="s">
        <v>243</v>
      </c>
      <c r="C23" s="3720" t="s">
        <v>1020</v>
      </c>
      <c r="D23" s="3721"/>
      <c r="E23" s="3721"/>
      <c r="F23" s="3721"/>
      <c r="G23" s="77" t="s">
        <v>243</v>
      </c>
      <c r="H23" s="1549">
        <f>IF(K23&lt;&gt;"",K23,(Wages+'1040'!AB39+'1040'!AB41+SUM('1040'!AB43:AB47)+'1040'!AB48+'1040'!AB49+SUM('1040'!AB50:AB52)+'1040'!AB54))</f>
        <v>0</v>
      </c>
      <c r="I23" s="1533"/>
      <c r="J23" s="1534"/>
      <c r="K23" s="1532"/>
      <c r="L23" s="1534"/>
    </row>
    <row r="24" spans="1:12">
      <c r="B24" s="1525" t="s">
        <v>493</v>
      </c>
      <c r="C24" s="46" t="s">
        <v>492</v>
      </c>
      <c r="D24" s="46"/>
      <c r="E24" s="46"/>
      <c r="F24" s="46"/>
      <c r="G24" s="77" t="s">
        <v>493</v>
      </c>
      <c r="H24" s="1549">
        <f>IF(K24&lt;&gt;"",K24,'1040'!V40)</f>
        <v>0</v>
      </c>
      <c r="I24" s="140"/>
      <c r="K24" s="1532"/>
    </row>
    <row r="25" spans="1:12">
      <c r="B25" s="702" t="s">
        <v>629</v>
      </c>
      <c r="C25" s="183" t="s">
        <v>1022</v>
      </c>
      <c r="D25" s="46"/>
      <c r="E25" s="46"/>
      <c r="F25" s="46"/>
      <c r="G25" s="77" t="s">
        <v>629</v>
      </c>
      <c r="H25" s="1550">
        <f>SUM(H22,H23,H24)</f>
        <v>0</v>
      </c>
      <c r="I25" s="140"/>
      <c r="K25" s="551"/>
    </row>
    <row r="26" spans="1:12">
      <c r="B26" s="702"/>
      <c r="C26" s="67"/>
      <c r="D26" s="67"/>
      <c r="E26" s="67"/>
      <c r="F26" s="67"/>
      <c r="G26" s="67"/>
      <c r="H26" s="67"/>
      <c r="I26" s="140"/>
      <c r="K26" s="551"/>
    </row>
    <row r="27" spans="1:12">
      <c r="B27" s="702"/>
      <c r="C27" s="22" t="s">
        <v>840</v>
      </c>
      <c r="D27" s="46"/>
      <c r="E27" s="46"/>
      <c r="F27" s="46"/>
      <c r="G27" s="46"/>
      <c r="H27" s="82" t="b">
        <f>IF(AND(OR(File_Head&lt;&gt;"",File_Qual_Widow&lt;&gt;"",File_Single&lt;&gt;""),H25&gt;H28),TRUE,IF(AND(File_Marr_Joint&lt;&gt;"",H25&gt;H29),TRUE,IF(AND(File_Marr_Sep&lt;&gt;"",'Line 20'!O8,H25&gt;0),TRUE,IF(AND(File_Marr_Sep&lt;&gt;"",'Line 20'!O6,H25&gt;H29),TRUE,FALSE))))</f>
        <v>0</v>
      </c>
      <c r="I27" s="140"/>
      <c r="K27" s="551"/>
    </row>
    <row r="28" spans="1:12" ht="38.25">
      <c r="B28" s="702"/>
      <c r="C28" s="1527" t="str">
        <f>"Part of your social security
benefits may be taxable if, for
"&amp;TaxYear&amp;", you were:"</f>
        <v>Part of your social security
benefits may be taxable if, for
2014, you were:</v>
      </c>
      <c r="D28" s="3721" t="s">
        <v>544</v>
      </c>
      <c r="E28" s="3722"/>
      <c r="F28" s="3722"/>
      <c r="G28" s="46"/>
      <c r="H28" s="22">
        <v>25000</v>
      </c>
      <c r="I28" s="140"/>
      <c r="K28" s="551"/>
    </row>
    <row r="29" spans="1:12" ht="25.5">
      <c r="B29" s="702"/>
      <c r="C29" s="1527" t="str">
        <f>"1. Single, and line E above is
more than "&amp;TEXT(H28,"$0,000")&amp;"."</f>
        <v>1. Single, and line E above is
more than $25,000.</v>
      </c>
      <c r="D29" s="3722"/>
      <c r="E29" s="3722"/>
      <c r="F29" s="3722"/>
      <c r="G29" s="46"/>
      <c r="H29" s="22">
        <v>32000</v>
      </c>
      <c r="I29" s="140"/>
      <c r="K29" s="551"/>
    </row>
    <row r="30" spans="1:12" s="1519" customFormat="1" ht="137.25" customHeight="1">
      <c r="A30" s="613"/>
      <c r="B30" s="1525"/>
      <c r="C30" s="1527" t="str">
        <f>"2. Married, and
a. You would file jointly, and
line E above is more than
"&amp;TEXT(H29,"$0,000")&amp;"; or
b. You would file separately,
and line E above is more than
zero (more than "&amp;TEXT(H28,"$0,000")&amp;" if you
lived apart from your spouse for
all of "&amp;TaxYear&amp;")."</f>
        <v>2. Married, and
a. You would file jointly, and
line E above is more than
$32,000; or
b. You would file separately,
and line E above is more than
zero (more than $25,000 if you
lived apart from your spouse for
all of 2014).</v>
      </c>
      <c r="D30" s="3722"/>
      <c r="E30" s="3722"/>
      <c r="F30" s="3722"/>
      <c r="G30" s="144"/>
      <c r="H30" s="144"/>
      <c r="I30" s="1102"/>
      <c r="J30" s="613"/>
      <c r="K30" s="551"/>
      <c r="L30" s="613"/>
    </row>
    <row r="31" spans="1:12" s="1519" customFormat="1" ht="112.5" customHeight="1">
      <c r="A31" s="613"/>
      <c r="B31" s="1525"/>
      <c r="C31" s="1527" t="s">
        <v>425</v>
      </c>
      <c r="D31" s="3721" t="str">
        <f>"Note. If your figures show that
part of your benefits may be
taxable and you received
benefits in "&amp;TaxYear&amp;" that were for a
prior year, see Pub. 915 for rules
on a special election you can
make that may reduce the
amount of your taxable benefits."</f>
        <v>Note. If your figures show that
part of your benefits may be
taxable and you received
benefits in 2014 that were for a
prior year, see Pub. 915 for rules
on a special election you can
make that may reduce the
amount of your taxable benefits.</v>
      </c>
      <c r="E31" s="3723"/>
      <c r="F31" s="3723"/>
      <c r="G31" s="144"/>
      <c r="H31" s="144"/>
      <c r="I31" s="1102"/>
      <c r="J31" s="613"/>
      <c r="K31" s="551"/>
      <c r="L31" s="613"/>
    </row>
    <row r="32" spans="1:12" s="1519" customFormat="1" ht="88.5" customHeight="1" thickBot="1">
      <c r="A32" s="613"/>
      <c r="B32" s="1545"/>
      <c r="C32" s="1546" t="str">
        <f>"If you file separately and you
lived apart from your spouse for
all of "&amp;TaxYear&amp;", enter “D” to the right
of the word “benefits” on Form
1040, line 20a, or Form 1040A,
line 14a."</f>
        <v>If you file separately and you
lived apart from your spouse for
all of 2014, enter “D” to the right
of the word “benefits” on Form
1040, line 20a, or Form 1040A,
line 14a.</v>
      </c>
      <c r="D32" s="3724"/>
      <c r="E32" s="3725"/>
      <c r="F32" s="3725"/>
      <c r="G32" s="1241"/>
      <c r="H32" s="1241"/>
      <c r="I32" s="1547"/>
      <c r="J32" s="613"/>
      <c r="K32" s="551"/>
      <c r="L32" s="613"/>
    </row>
    <row r="41" spans="3:3">
      <c r="C41" s="1534"/>
    </row>
  </sheetData>
  <sheetProtection password="F07E" sheet="1" scenarios="1"/>
  <mergeCells count="4">
    <mergeCell ref="C23:F23"/>
    <mergeCell ref="D28:F30"/>
    <mergeCell ref="D31:F31"/>
    <mergeCell ref="D32:F32"/>
  </mergeCells>
  <phoneticPr fontId="0" type="noConversion"/>
  <conditionalFormatting sqref="C27">
    <cfRule type="expression" dxfId="1076" priority="1" stopIfTrue="1">
      <formula>IF(H27,1,0)</formula>
    </cfRule>
  </conditionalFormatting>
  <printOptions gridLines="1" gridLinesSet="0"/>
  <pageMargins left="0.51" right="0.35" top="0.52" bottom="0.77" header="0.28000000000000003" footer="0.5"/>
  <pageSetup scale="94" fitToHeight="0" orientation="portrait" horizontalDpi="360" verticalDpi="360" r:id="rId1"/>
  <headerFooter alignWithMargins="0">
    <oddHeader>&amp;A</oddHeader>
    <oddFooter>Page &amp;P</oddFooter>
  </headerFooter>
  <rowBreaks count="1" manualBreakCount="1">
    <brk id="13"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M158"/>
  <sheetViews>
    <sheetView zoomScaleNormal="100" workbookViewId="0">
      <selection activeCell="E18" sqref="E18"/>
    </sheetView>
  </sheetViews>
  <sheetFormatPr defaultRowHeight="12.75"/>
  <cols>
    <col min="1" max="1" width="3" customWidth="1"/>
    <col min="2" max="2" width="2.5703125" customWidth="1"/>
    <col min="3" max="3" width="13" customWidth="1"/>
    <col min="4" max="4" width="3.5703125" customWidth="1"/>
    <col min="5" max="5" width="1.85546875" customWidth="1"/>
    <col min="6" max="6" width="2.5703125" customWidth="1"/>
    <col min="7" max="7" width="9" customWidth="1"/>
    <col min="8" max="8" width="3.85546875" customWidth="1"/>
    <col min="9" max="9" width="2.7109375" customWidth="1"/>
    <col min="10" max="10" width="3.5703125" customWidth="1"/>
    <col min="11" max="11" width="3.140625" customWidth="1"/>
    <col min="12" max="12" width="2.7109375" customWidth="1"/>
    <col min="13" max="13" width="5.5703125" customWidth="1"/>
    <col min="14" max="14" width="3.85546875" customWidth="1"/>
    <col min="15" max="15" width="3.5703125" customWidth="1"/>
    <col min="16" max="16" width="2.7109375" customWidth="1"/>
    <col min="17" max="17" width="2.85546875" customWidth="1"/>
    <col min="18" max="18" width="5.140625" customWidth="1"/>
    <col min="19" max="19" width="2.5703125" customWidth="1"/>
    <col min="20" max="20" width="4.28515625" customWidth="1"/>
    <col min="21" max="21" width="2.42578125" customWidth="1"/>
    <col min="22" max="22" width="2.85546875" customWidth="1"/>
    <col min="23" max="23" width="3.7109375" customWidth="1"/>
    <col min="24" max="24" width="5.42578125" customWidth="1"/>
    <col min="25" max="25" width="3" customWidth="1"/>
    <col min="26" max="26" width="3.7109375" customWidth="1"/>
    <col min="27" max="27" width="4.5703125" customWidth="1"/>
    <col min="28" max="28" width="3.28515625" customWidth="1"/>
    <col min="29" max="30" width="3" customWidth="1"/>
    <col min="31" max="31" width="4.5703125" customWidth="1"/>
    <col min="32" max="32" width="4.7109375" customWidth="1"/>
    <col min="33" max="33" width="4.42578125" customWidth="1"/>
    <col min="34" max="34" width="2.85546875" customWidth="1"/>
    <col min="35" max="35" width="5" customWidth="1"/>
    <col min="36" max="36" width="2.85546875" customWidth="1"/>
    <col min="37" max="37" width="7.5703125" customWidth="1"/>
    <col min="38" max="38" width="14" customWidth="1"/>
    <col min="39" max="39" width="14.85546875" customWidth="1"/>
    <col min="40" max="40" width="16" customWidth="1"/>
    <col min="41" max="41" width="12.28515625" hidden="1" customWidth="1"/>
    <col min="42" max="42" width="12.5703125" hidden="1" customWidth="1"/>
    <col min="43" max="43" width="11.140625" hidden="1" customWidth="1"/>
    <col min="44" max="44" width="13.28515625" hidden="1" customWidth="1"/>
    <col min="45" max="45" width="12.85546875" hidden="1" customWidth="1"/>
    <col min="46" max="46" width="10.28515625" hidden="1" customWidth="1"/>
    <col min="47" max="47" width="10.5703125" hidden="1" customWidth="1"/>
    <col min="48" max="48" width="11.42578125" hidden="1" customWidth="1"/>
    <col min="49" max="49" width="10.140625" hidden="1" customWidth="1"/>
    <col min="50" max="50" width="3.140625" customWidth="1"/>
    <col min="51" max="51" width="8.140625" style="68" customWidth="1"/>
    <col min="52" max="52" width="2.7109375" style="68" customWidth="1"/>
    <col min="53" max="53" width="8.85546875" style="68" customWidth="1"/>
    <col min="54" max="54" width="13.85546875" style="68" customWidth="1"/>
    <col min="55" max="55" width="10.140625" style="68" customWidth="1"/>
    <col min="56" max="56" width="13.5703125" style="68" customWidth="1"/>
    <col min="57" max="57" width="15.140625" style="68" customWidth="1"/>
    <col min="58" max="58" width="3.28515625" style="68" customWidth="1"/>
    <col min="59" max="59" width="12.85546875" style="68" customWidth="1"/>
    <col min="60" max="60" width="10.28515625" style="68" customWidth="1"/>
    <col min="61" max="61" width="10.5703125" style="68" customWidth="1"/>
    <col min="62" max="62" width="2.7109375" style="68" customWidth="1"/>
  </cols>
  <sheetData>
    <row r="1" spans="1:50" ht="15" customHeight="1">
      <c r="A1" s="942"/>
      <c r="B1" s="942"/>
      <c r="C1" s="1253">
        <v>42377</v>
      </c>
      <c r="D1" s="116"/>
      <c r="E1" s="117"/>
      <c r="F1" s="1247" t="s">
        <v>524</v>
      </c>
      <c r="G1" s="1248"/>
      <c r="H1" s="1248"/>
      <c r="I1" s="1248"/>
      <c r="J1" s="1248"/>
      <c r="K1" s="1248"/>
      <c r="L1" s="1248"/>
      <c r="M1" s="1248"/>
      <c r="N1" s="1248"/>
      <c r="O1" s="1248"/>
      <c r="P1" s="1249"/>
      <c r="Q1" s="1249"/>
      <c r="R1" s="1249"/>
      <c r="S1" s="1249"/>
      <c r="T1" s="1250"/>
      <c r="U1" s="1250"/>
      <c r="V1" s="1250"/>
      <c r="W1" s="1250"/>
      <c r="X1" s="1250"/>
      <c r="Y1" s="119"/>
      <c r="Z1" s="119"/>
      <c r="AA1" s="119"/>
      <c r="AB1" s="120"/>
      <c r="AC1" s="120"/>
      <c r="AD1" s="120"/>
      <c r="AE1" s="120"/>
      <c r="AF1" s="120"/>
      <c r="AG1" s="121"/>
      <c r="AH1" s="122"/>
      <c r="AI1" s="369"/>
      <c r="AJ1" s="369"/>
      <c r="AK1" s="369"/>
      <c r="AL1" s="2295"/>
      <c r="AM1" s="2295"/>
      <c r="AN1" s="456"/>
      <c r="AO1" s="68"/>
      <c r="AP1" s="68"/>
      <c r="AQ1" s="68"/>
      <c r="AR1" s="68"/>
      <c r="AS1" s="68"/>
      <c r="AT1" s="68"/>
      <c r="AU1" s="68"/>
      <c r="AV1" s="68"/>
      <c r="AW1" s="68"/>
      <c r="AX1" s="68"/>
    </row>
    <row r="2" spans="1:50" ht="15.75" customHeight="1">
      <c r="A2" s="942"/>
      <c r="B2" s="942"/>
      <c r="C2" s="3368">
        <v>0.40972222222222227</v>
      </c>
      <c r="D2" s="367"/>
      <c r="E2" s="135"/>
      <c r="F2" s="3831" t="s">
        <v>380</v>
      </c>
      <c r="G2" s="3832"/>
      <c r="H2" s="3832"/>
      <c r="I2" s="3832"/>
      <c r="J2" s="3832"/>
      <c r="K2" s="3832"/>
      <c r="L2" s="3832"/>
      <c r="M2" s="3832"/>
      <c r="N2" s="3832"/>
      <c r="O2" s="3832"/>
      <c r="P2" s="1249"/>
      <c r="Q2" s="1249"/>
      <c r="R2" s="1249"/>
      <c r="S2" s="368"/>
      <c r="T2" s="118"/>
      <c r="U2" s="118"/>
      <c r="V2" s="118"/>
      <c r="W2" s="118"/>
      <c r="X2" s="821" t="s">
        <v>498</v>
      </c>
      <c r="Y2" s="1003"/>
      <c r="Z2" s="1003"/>
      <c r="AA2" s="1003"/>
      <c r="AB2" s="1003"/>
      <c r="AC2" s="1003"/>
      <c r="AD2" s="1003"/>
      <c r="AE2" s="1003"/>
      <c r="AF2" s="1003"/>
      <c r="AG2" s="121" t="s">
        <v>2280</v>
      </c>
      <c r="AH2" s="1003"/>
      <c r="AI2" s="369"/>
      <c r="AJ2" s="2579" t="b">
        <f>IF(AJ3&lt;&gt;"",TRUE,FALSE)</f>
        <v>0</v>
      </c>
      <c r="AK2" s="369"/>
      <c r="AL2" s="2581"/>
      <c r="AM2" s="2581"/>
      <c r="AN2" s="443"/>
      <c r="AO2" s="313"/>
      <c r="AP2" s="313"/>
      <c r="AQ2" s="313"/>
      <c r="AR2" s="313"/>
      <c r="AS2" s="313"/>
      <c r="AT2" s="313"/>
      <c r="AU2" s="313"/>
      <c r="AV2" s="313"/>
      <c r="AW2" s="313"/>
      <c r="AX2" s="313"/>
    </row>
    <row r="3" spans="1:50" ht="12.75" customHeight="1">
      <c r="A3" s="942"/>
      <c r="B3" s="3877" t="s">
        <v>117</v>
      </c>
      <c r="C3" s="3879">
        <v>1040</v>
      </c>
      <c r="D3" s="3880"/>
      <c r="E3" s="2351" t="s">
        <v>2223</v>
      </c>
      <c r="F3" s="2351"/>
      <c r="G3" s="2352"/>
      <c r="H3" s="2352"/>
      <c r="I3" s="2352"/>
      <c r="J3" s="2352"/>
      <c r="K3" s="2352"/>
      <c r="L3" s="2352"/>
      <c r="M3" s="2352"/>
      <c r="N3" s="2352"/>
      <c r="O3" s="2353"/>
      <c r="P3" s="2353"/>
      <c r="Q3" s="3870">
        <v>2014</v>
      </c>
      <c r="R3" s="3871"/>
      <c r="S3" s="3872"/>
      <c r="T3" s="3873"/>
      <c r="U3" s="2351"/>
      <c r="V3" s="2354">
        <f>DATEVALUE("1-JAN-"&amp;TaxYear+1)-1</f>
        <v>42004</v>
      </c>
      <c r="W3" s="2355"/>
      <c r="X3" s="2356"/>
      <c r="Y3" s="2357"/>
      <c r="Z3" s="2357"/>
      <c r="AA3" s="2357"/>
      <c r="AB3" s="2357"/>
      <c r="AC3" s="2357"/>
      <c r="AD3" s="2357"/>
      <c r="AE3" s="2357"/>
      <c r="AF3" s="2357"/>
      <c r="AG3" s="2357"/>
      <c r="AH3" s="1034"/>
      <c r="AI3" s="369"/>
      <c r="AJ3" s="2580"/>
      <c r="AK3" s="2587"/>
      <c r="AL3" s="2295"/>
      <c r="AM3" s="2581"/>
      <c r="AN3" s="456"/>
      <c r="AO3" s="68"/>
      <c r="AP3" s="68"/>
      <c r="AQ3" s="68"/>
      <c r="AR3" s="68"/>
      <c r="AS3" s="313"/>
      <c r="AT3" s="313"/>
      <c r="AU3" s="313"/>
      <c r="AV3" s="313"/>
      <c r="AW3" s="313"/>
      <c r="AX3" s="313"/>
    </row>
    <row r="4" spans="1:50" ht="18.75" customHeight="1" thickBot="1">
      <c r="A4" s="942"/>
      <c r="B4" s="3878"/>
      <c r="C4" s="3881"/>
      <c r="D4" s="3880"/>
      <c r="E4" s="2358" t="s">
        <v>256</v>
      </c>
      <c r="F4" s="2359"/>
      <c r="G4" s="2359"/>
      <c r="H4" s="2359"/>
      <c r="I4" s="2359"/>
      <c r="J4" s="2359"/>
      <c r="K4" s="2359"/>
      <c r="L4" s="2359"/>
      <c r="M4" s="2359"/>
      <c r="N4" s="2359"/>
      <c r="O4" s="2359"/>
      <c r="P4" s="2359"/>
      <c r="Q4" s="3874"/>
      <c r="R4" s="3875"/>
      <c r="S4" s="3875"/>
      <c r="T4" s="3876"/>
      <c r="U4" s="2360" t="s">
        <v>257</v>
      </c>
      <c r="V4" s="2361"/>
      <c r="W4" s="2362"/>
      <c r="X4" s="2363"/>
      <c r="Y4" s="3860" t="s">
        <v>2222</v>
      </c>
      <c r="Z4" s="3861"/>
      <c r="AA4" s="3861"/>
      <c r="AB4" s="3861"/>
      <c r="AC4" s="3861"/>
      <c r="AD4" s="3861"/>
      <c r="AE4" s="3861"/>
      <c r="AF4" s="3861"/>
      <c r="AG4" s="3861"/>
      <c r="AH4" s="1035"/>
      <c r="AI4" s="520"/>
      <c r="AJ4" s="2702" t="s">
        <v>1490</v>
      </c>
      <c r="AK4" s="2588"/>
      <c r="AL4" s="2295"/>
      <c r="AM4" s="2295"/>
      <c r="AN4" s="456"/>
      <c r="AO4" s="68"/>
      <c r="AP4" s="68"/>
      <c r="AQ4" s="68"/>
      <c r="AR4" s="68"/>
      <c r="AS4" s="68"/>
      <c r="AT4" s="68"/>
      <c r="AU4" s="68"/>
      <c r="AV4" s="68"/>
      <c r="AW4" s="68"/>
      <c r="AX4" s="68"/>
    </row>
    <row r="5" spans="1:50" ht="14.25" customHeight="1" thickTop="1">
      <c r="A5" s="942"/>
      <c r="B5" s="570"/>
      <c r="C5" s="571" t="str">
        <f>"For the year Jan. 1--Dec. 31, "&amp;TaxYear&amp;", or other tax year beginning"</f>
        <v>For the year Jan. 1--Dec. 31, 2014, or other tax year beginning</v>
      </c>
      <c r="D5" s="1687"/>
      <c r="E5" s="570"/>
      <c r="F5" s="571"/>
      <c r="G5" s="570"/>
      <c r="H5" s="570"/>
      <c r="I5" s="570"/>
      <c r="J5" s="570"/>
      <c r="K5" s="3983"/>
      <c r="L5" s="3984"/>
      <c r="M5" s="3984"/>
      <c r="N5" s="3984"/>
      <c r="O5" s="3984"/>
      <c r="P5" s="3984"/>
      <c r="Q5" s="3984"/>
      <c r="R5" s="571" t="s">
        <v>684</v>
      </c>
      <c r="S5" s="3983"/>
      <c r="T5" s="3984"/>
      <c r="U5" s="3984"/>
      <c r="V5" s="3984"/>
      <c r="W5" s="3984"/>
      <c r="X5" s="3984"/>
      <c r="Y5" s="3864" t="s">
        <v>1083</v>
      </c>
      <c r="Z5" s="3865"/>
      <c r="AA5" s="3866"/>
      <c r="AB5" s="3866"/>
      <c r="AC5" s="3866"/>
      <c r="AD5" s="3866"/>
      <c r="AE5" s="3866"/>
      <c r="AF5" s="3866"/>
      <c r="AG5" s="3866"/>
      <c r="AH5" s="135"/>
      <c r="AI5" s="46"/>
      <c r="AJ5" s="2703" t="s">
        <v>1491</v>
      </c>
      <c r="AK5" s="46"/>
      <c r="AL5" s="2295"/>
      <c r="AM5" s="2582"/>
      <c r="AN5" s="456"/>
      <c r="AO5" s="68"/>
      <c r="AP5" s="68"/>
      <c r="AQ5" s="68"/>
      <c r="AR5" s="68"/>
      <c r="AS5" s="314"/>
      <c r="AT5" s="314"/>
      <c r="AU5" s="314"/>
      <c r="AV5" s="314"/>
      <c r="AW5" s="314"/>
      <c r="AX5" s="314"/>
    </row>
    <row r="6" spans="1:50" ht="11.25" customHeight="1">
      <c r="A6" s="942"/>
      <c r="B6" s="87"/>
      <c r="C6" s="58" t="s">
        <v>786</v>
      </c>
      <c r="D6" s="1690"/>
      <c r="E6" s="87"/>
      <c r="F6" s="58"/>
      <c r="G6" s="569"/>
      <c r="H6" s="569"/>
      <c r="I6" s="1688"/>
      <c r="J6" s="572" t="s">
        <v>294</v>
      </c>
      <c r="K6" s="569"/>
      <c r="L6" s="569"/>
      <c r="M6" s="569"/>
      <c r="N6" s="569"/>
      <c r="O6" s="58"/>
      <c r="P6" s="569"/>
      <c r="Q6" s="569"/>
      <c r="R6" s="569"/>
      <c r="S6" s="58"/>
      <c r="T6" s="58"/>
      <c r="U6" s="58"/>
      <c r="V6" s="569"/>
      <c r="W6" s="569"/>
      <c r="X6" s="569"/>
      <c r="Y6" s="3833" t="s">
        <v>151</v>
      </c>
      <c r="Z6" s="3834"/>
      <c r="AA6" s="3835"/>
      <c r="AB6" s="3835"/>
      <c r="AC6" s="3835"/>
      <c r="AD6" s="3835"/>
      <c r="AE6" s="3835"/>
      <c r="AF6" s="3835"/>
      <c r="AG6" s="3835"/>
      <c r="AH6" s="135"/>
      <c r="AI6" s="46"/>
      <c r="AJ6" s="46"/>
      <c r="AK6" s="46"/>
      <c r="AL6" s="68"/>
      <c r="AM6" s="68"/>
      <c r="AN6" s="456"/>
      <c r="AO6" s="68"/>
      <c r="AP6" s="68"/>
      <c r="AQ6" s="68"/>
      <c r="AR6" s="68"/>
      <c r="AS6" s="68"/>
      <c r="AT6" s="68"/>
      <c r="AU6" s="68"/>
      <c r="AV6" s="68"/>
      <c r="AW6" s="68"/>
      <c r="AX6" s="68"/>
    </row>
    <row r="7" spans="1:50" ht="17.25" customHeight="1">
      <c r="A7" s="942"/>
      <c r="B7" s="3854"/>
      <c r="C7" s="3854"/>
      <c r="D7" s="3855"/>
      <c r="E7" s="3855"/>
      <c r="F7" s="3855"/>
      <c r="G7" s="3855"/>
      <c r="H7" s="3855"/>
      <c r="I7" s="3856"/>
      <c r="J7" s="3859"/>
      <c r="K7" s="3857"/>
      <c r="L7" s="3857"/>
      <c r="M7" s="3857"/>
      <c r="N7" s="3857"/>
      <c r="O7" s="3857"/>
      <c r="P7" s="3857"/>
      <c r="Q7" s="3857"/>
      <c r="R7" s="3857"/>
      <c r="S7" s="3857"/>
      <c r="T7" s="3857"/>
      <c r="U7" s="3857"/>
      <c r="V7" s="3857"/>
      <c r="W7" s="3857"/>
      <c r="X7" s="3858"/>
      <c r="Y7" s="3862"/>
      <c r="Z7" s="3863"/>
      <c r="AA7" s="3863"/>
      <c r="AB7" s="3863"/>
      <c r="AC7" s="3863"/>
      <c r="AD7" s="3863"/>
      <c r="AE7" s="3863"/>
      <c r="AF7" s="3863"/>
      <c r="AG7" s="3863"/>
      <c r="AH7" s="76"/>
      <c r="AI7" s="47"/>
      <c r="AJ7" s="47"/>
      <c r="AK7" s="47"/>
      <c r="AL7" s="2819" t="str">
        <f>Name_1st_Yours&amp;" "&amp;Name_Last_Yours</f>
        <v xml:space="preserve"> </v>
      </c>
      <c r="AM7" s="68"/>
      <c r="AN7" s="456"/>
      <c r="AO7" s="68"/>
      <c r="AP7" s="68"/>
      <c r="AQ7" s="68"/>
      <c r="AR7" s="68"/>
      <c r="AS7" s="68"/>
      <c r="AT7" s="68"/>
      <c r="AU7" s="68"/>
      <c r="AV7" s="68"/>
      <c r="AW7" s="68"/>
      <c r="AX7" s="68"/>
    </row>
    <row r="8" spans="1:50" ht="11.25" customHeight="1">
      <c r="A8" s="942"/>
      <c r="B8" s="1689"/>
      <c r="C8" s="58" t="s">
        <v>194</v>
      </c>
      <c r="D8" s="1690"/>
      <c r="E8" s="87"/>
      <c r="F8" s="58"/>
      <c r="G8" s="58"/>
      <c r="H8" s="58"/>
      <c r="I8" s="568"/>
      <c r="J8" s="572" t="s">
        <v>294</v>
      </c>
      <c r="K8" s="47"/>
      <c r="L8" s="47"/>
      <c r="M8" s="47"/>
      <c r="N8" s="47"/>
      <c r="O8" s="58"/>
      <c r="P8" s="47"/>
      <c r="Q8" s="47"/>
      <c r="R8" s="47"/>
      <c r="S8" s="58"/>
      <c r="T8" s="47"/>
      <c r="U8" s="47"/>
      <c r="V8" s="47"/>
      <c r="W8" s="47"/>
      <c r="X8" s="47"/>
      <c r="Y8" s="3867" t="s">
        <v>672</v>
      </c>
      <c r="Z8" s="3868"/>
      <c r="AA8" s="3869"/>
      <c r="AB8" s="3869"/>
      <c r="AC8" s="3869"/>
      <c r="AD8" s="3869"/>
      <c r="AE8" s="3869"/>
      <c r="AF8" s="3869"/>
      <c r="AG8" s="3869"/>
      <c r="AH8" s="76"/>
      <c r="AI8" s="47"/>
      <c r="AJ8" s="47"/>
      <c r="AK8" s="47"/>
      <c r="AL8" s="68"/>
      <c r="AM8" s="68"/>
      <c r="AN8" s="456"/>
      <c r="AO8" s="68"/>
      <c r="AP8" s="68"/>
      <c r="AQ8" s="68"/>
      <c r="AR8" s="68"/>
      <c r="AS8" s="68"/>
      <c r="AT8" s="68"/>
      <c r="AU8" s="68"/>
      <c r="AV8" s="68"/>
      <c r="AW8" s="68"/>
      <c r="AX8" s="68"/>
    </row>
    <row r="9" spans="1:50" ht="17.25" customHeight="1">
      <c r="A9" s="942"/>
      <c r="B9" s="3857"/>
      <c r="C9" s="3857"/>
      <c r="D9" s="3857"/>
      <c r="E9" s="3857"/>
      <c r="F9" s="3857"/>
      <c r="G9" s="3857"/>
      <c r="H9" s="3857"/>
      <c r="I9" s="3858"/>
      <c r="J9" s="3859"/>
      <c r="K9" s="3857"/>
      <c r="L9" s="3857"/>
      <c r="M9" s="3857"/>
      <c r="N9" s="3857"/>
      <c r="O9" s="3857"/>
      <c r="P9" s="3857"/>
      <c r="Q9" s="3857"/>
      <c r="R9" s="3857"/>
      <c r="S9" s="3857"/>
      <c r="T9" s="3857"/>
      <c r="U9" s="3857"/>
      <c r="V9" s="3857"/>
      <c r="W9" s="3857"/>
      <c r="X9" s="3858"/>
      <c r="Y9" s="3862"/>
      <c r="Z9" s="3863"/>
      <c r="AA9" s="3863"/>
      <c r="AB9" s="3863"/>
      <c r="AC9" s="3863"/>
      <c r="AD9" s="3863"/>
      <c r="AE9" s="3863"/>
      <c r="AF9" s="3863"/>
      <c r="AG9" s="3863"/>
      <c r="AH9" s="1036"/>
      <c r="AI9" s="51"/>
      <c r="AJ9" s="51"/>
      <c r="AK9" s="51"/>
      <c r="AL9" s="2819" t="str">
        <f>Name_1st_Sp&amp;" "&amp;Name_Last_Sp</f>
        <v xml:space="preserve"> </v>
      </c>
      <c r="AM9" s="68"/>
      <c r="AN9" s="456"/>
      <c r="AO9" s="68"/>
      <c r="AP9" s="68"/>
      <c r="AQ9" s="68"/>
      <c r="AR9" s="68"/>
      <c r="AS9" s="68"/>
      <c r="AT9" s="68"/>
      <c r="AU9" s="68"/>
      <c r="AV9" s="68"/>
      <c r="AW9" s="68"/>
      <c r="AX9" s="68"/>
    </row>
    <row r="10" spans="1:50" ht="14.25" customHeight="1">
      <c r="A10" s="942"/>
      <c r="B10" s="413"/>
      <c r="C10" s="47" t="s">
        <v>828</v>
      </c>
      <c r="D10" s="1686"/>
      <c r="E10" s="46"/>
      <c r="F10" s="47"/>
      <c r="G10" s="47"/>
      <c r="H10" s="47"/>
      <c r="I10" s="47"/>
      <c r="J10" s="58"/>
      <c r="K10" s="58"/>
      <c r="L10" s="58"/>
      <c r="M10" s="58"/>
      <c r="N10" s="58"/>
      <c r="O10" s="58"/>
      <c r="P10" s="58"/>
      <c r="Q10" s="58"/>
      <c r="R10" s="58"/>
      <c r="S10" s="58"/>
      <c r="T10" s="58"/>
      <c r="U10" s="58"/>
      <c r="V10" s="572" t="s">
        <v>293</v>
      </c>
      <c r="W10" s="58"/>
      <c r="X10" s="568"/>
      <c r="Y10" s="2364"/>
      <c r="Z10" s="2364"/>
      <c r="AA10" s="3837" t="s">
        <v>827</v>
      </c>
      <c r="AB10" s="3837"/>
      <c r="AC10" s="3838"/>
      <c r="AD10" s="3838"/>
      <c r="AE10" s="3838"/>
      <c r="AF10" s="3838"/>
      <c r="AG10" s="3839"/>
      <c r="AH10" s="1022"/>
      <c r="AI10" s="53"/>
      <c r="AJ10" s="53"/>
      <c r="AK10" s="53"/>
      <c r="AL10" s="68"/>
      <c r="AM10" s="68"/>
      <c r="AN10" s="456"/>
      <c r="AO10" s="68"/>
      <c r="AP10" s="68"/>
      <c r="AQ10" s="68"/>
      <c r="AR10" s="68"/>
      <c r="AS10" s="68"/>
      <c r="AT10" s="68"/>
      <c r="AU10" s="68"/>
      <c r="AV10" s="68"/>
      <c r="AW10" s="68"/>
      <c r="AX10" s="68"/>
    </row>
    <row r="11" spans="1:50" ht="15" customHeight="1">
      <c r="A11" s="942"/>
      <c r="B11" s="3857"/>
      <c r="C11" s="3857"/>
      <c r="D11" s="3857"/>
      <c r="E11" s="3857"/>
      <c r="F11" s="3857"/>
      <c r="G11" s="3857"/>
      <c r="H11" s="3857"/>
      <c r="I11" s="3857"/>
      <c r="J11" s="3857"/>
      <c r="K11" s="3857"/>
      <c r="L11" s="3857"/>
      <c r="M11" s="3857"/>
      <c r="N11" s="3857"/>
      <c r="O11" s="3857"/>
      <c r="P11" s="3857"/>
      <c r="Q11" s="3857"/>
      <c r="R11" s="3857"/>
      <c r="S11" s="3857"/>
      <c r="T11" s="3857"/>
      <c r="U11" s="3858"/>
      <c r="V11" s="3912"/>
      <c r="W11" s="3913"/>
      <c r="X11" s="3914"/>
      <c r="Y11" s="2350"/>
      <c r="Z11" s="2350"/>
      <c r="AA11" s="3840"/>
      <c r="AB11" s="3840"/>
      <c r="AC11" s="3840"/>
      <c r="AD11" s="3840"/>
      <c r="AE11" s="3840"/>
      <c r="AF11" s="3840"/>
      <c r="AG11" s="3841"/>
      <c r="AH11" s="1022"/>
      <c r="AI11" s="53"/>
      <c r="AJ11" s="53"/>
      <c r="AK11" s="53"/>
      <c r="AL11" s="3123" t="s">
        <v>2400</v>
      </c>
      <c r="AM11" s="3123" t="s">
        <v>2401</v>
      </c>
      <c r="AN11" s="456"/>
      <c r="AO11" s="68"/>
      <c r="AP11" s="68"/>
      <c r="AQ11" s="68"/>
      <c r="AR11" s="68"/>
      <c r="AS11" s="68"/>
      <c r="AT11" s="68"/>
      <c r="AU11" s="68"/>
      <c r="AV11" s="68"/>
      <c r="AW11" s="68"/>
      <c r="AX11" s="68"/>
    </row>
    <row r="12" spans="1:50" ht="12" customHeight="1">
      <c r="A12" s="942"/>
      <c r="B12" s="633"/>
      <c r="C12" s="58" t="s">
        <v>1080</v>
      </c>
      <c r="D12" s="1691"/>
      <c r="E12" s="87"/>
      <c r="F12" s="58"/>
      <c r="G12" s="58"/>
      <c r="H12" s="58"/>
      <c r="I12" s="58"/>
      <c r="J12" s="58"/>
      <c r="K12" s="58"/>
      <c r="L12" s="58"/>
      <c r="M12" s="58"/>
      <c r="N12" s="58"/>
      <c r="O12" s="58"/>
      <c r="P12" s="58"/>
      <c r="Q12" s="58"/>
      <c r="R12" s="58"/>
      <c r="S12" s="58"/>
      <c r="T12" s="58"/>
      <c r="U12" s="58"/>
      <c r="V12" s="58"/>
      <c r="W12" s="58"/>
      <c r="X12" s="568"/>
      <c r="Y12" s="3846" t="s">
        <v>1084</v>
      </c>
      <c r="Z12" s="3847"/>
      <c r="AA12" s="3847"/>
      <c r="AB12" s="3847"/>
      <c r="AC12" s="3847"/>
      <c r="AD12" s="3847"/>
      <c r="AE12" s="3847"/>
      <c r="AF12" s="3847"/>
      <c r="AG12" s="3847"/>
      <c r="AH12" s="1022"/>
      <c r="AI12" s="54"/>
      <c r="AJ12" s="54"/>
      <c r="AK12" s="54"/>
      <c r="AL12" s="2819" t="b">
        <f>IF(ISERROR(FIND(", AK",B13)),FALSE,TRUE)</f>
        <v>0</v>
      </c>
      <c r="AM12" s="2819" t="b">
        <f>IF(ISERROR(FIND(", HI",B13)),FALSE,TRUE)</f>
        <v>0</v>
      </c>
      <c r="AN12" s="456"/>
      <c r="AO12" s="68"/>
      <c r="AP12" s="68"/>
      <c r="AQ12" s="68"/>
      <c r="AR12" s="68"/>
      <c r="AS12" s="68"/>
      <c r="AT12" s="68"/>
      <c r="AU12" s="68"/>
      <c r="AV12" s="68"/>
      <c r="AW12" s="68"/>
      <c r="AX12" s="68"/>
    </row>
    <row r="13" spans="1:50" ht="15" customHeight="1">
      <c r="A13" s="942"/>
      <c r="B13" s="3857"/>
      <c r="C13" s="3857"/>
      <c r="D13" s="3857"/>
      <c r="E13" s="3857"/>
      <c r="F13" s="3857"/>
      <c r="G13" s="3857"/>
      <c r="H13" s="3857"/>
      <c r="I13" s="3857"/>
      <c r="J13" s="3857"/>
      <c r="K13" s="3857"/>
      <c r="L13" s="3857"/>
      <c r="M13" s="3857"/>
      <c r="N13" s="3857"/>
      <c r="O13" s="3857"/>
      <c r="P13" s="3857"/>
      <c r="Q13" s="3857"/>
      <c r="R13" s="3857"/>
      <c r="S13" s="3857"/>
      <c r="T13" s="3857"/>
      <c r="U13" s="3857"/>
      <c r="V13" s="3857"/>
      <c r="W13" s="3857"/>
      <c r="X13" s="3858"/>
      <c r="Y13" s="3738" t="s">
        <v>1085</v>
      </c>
      <c r="Z13" s="3739"/>
      <c r="AA13" s="3739"/>
      <c r="AB13" s="3739"/>
      <c r="AC13" s="3739"/>
      <c r="AD13" s="3739"/>
      <c r="AE13" s="3739"/>
      <c r="AF13" s="3739"/>
      <c r="AG13" s="3739"/>
      <c r="AH13" s="1022"/>
      <c r="AI13" s="54"/>
      <c r="AJ13" s="54"/>
      <c r="AK13" s="54"/>
      <c r="AL13" s="3123" t="b">
        <f>IF(ISERROR(FIND("Alaska",B13)),FALSE,TRUE)</f>
        <v>0</v>
      </c>
      <c r="AM13" s="3123" t="b">
        <f>IF(ISERROR(FIND("Hawaii",B13)),FALSE,TRUE)</f>
        <v>0</v>
      </c>
      <c r="AN13" s="456"/>
      <c r="AO13" s="68"/>
      <c r="AP13" s="68"/>
      <c r="AQ13" s="68"/>
      <c r="AR13" s="68"/>
      <c r="AS13" s="68"/>
      <c r="AT13" s="68"/>
      <c r="AU13" s="68"/>
      <c r="AV13" s="68"/>
      <c r="AW13" s="68"/>
      <c r="AX13" s="68"/>
    </row>
    <row r="14" spans="1:50" ht="19.5" customHeight="1">
      <c r="A14" s="942"/>
      <c r="B14" s="944"/>
      <c r="C14" s="1694" t="s">
        <v>1081</v>
      </c>
      <c r="D14" s="2101"/>
      <c r="E14" s="46"/>
      <c r="F14" s="2102"/>
      <c r="G14" s="2102"/>
      <c r="H14" s="2102"/>
      <c r="I14" s="2102"/>
      <c r="J14" s="2102"/>
      <c r="K14" s="2102"/>
      <c r="L14" s="2102"/>
      <c r="M14" s="2102"/>
      <c r="N14" s="1695" t="s">
        <v>1487</v>
      </c>
      <c r="O14" s="58"/>
      <c r="P14" s="2103"/>
      <c r="Q14" s="2103"/>
      <c r="R14" s="2103"/>
      <c r="S14" s="2104"/>
      <c r="T14" s="1695" t="s">
        <v>1082</v>
      </c>
      <c r="U14" s="2103"/>
      <c r="V14" s="2103"/>
      <c r="W14" s="1692"/>
      <c r="X14" s="1693"/>
      <c r="Y14" s="3740"/>
      <c r="Z14" s="3741"/>
      <c r="AA14" s="3741"/>
      <c r="AB14" s="3741"/>
      <c r="AC14" s="3741"/>
      <c r="AD14" s="3741"/>
      <c r="AE14" s="3741"/>
      <c r="AF14" s="3741"/>
      <c r="AG14" s="3741"/>
      <c r="AH14" s="1037"/>
      <c r="AI14" s="56"/>
      <c r="AJ14" s="56"/>
      <c r="AK14" s="56"/>
      <c r="AL14" s="2819" t="b">
        <f>OR(AL12,AL13)</f>
        <v>0</v>
      </c>
      <c r="AM14" s="2819" t="b">
        <f>OR(AM12,AM13)</f>
        <v>0</v>
      </c>
      <c r="AN14" s="456"/>
      <c r="AO14" s="68"/>
      <c r="AP14" s="68"/>
      <c r="AQ14" s="68"/>
      <c r="AR14" s="68"/>
      <c r="AS14" s="68"/>
      <c r="AT14" s="68"/>
      <c r="AU14" s="68"/>
      <c r="AV14" s="68"/>
      <c r="AW14" s="68"/>
      <c r="AX14" s="68"/>
    </row>
    <row r="15" spans="1:50" ht="12.75" customHeight="1">
      <c r="A15" s="942"/>
      <c r="B15" s="3758"/>
      <c r="C15" s="3759"/>
      <c r="D15" s="3759"/>
      <c r="E15" s="3759"/>
      <c r="F15" s="3759"/>
      <c r="G15" s="3759"/>
      <c r="H15" s="3759"/>
      <c r="I15" s="3759"/>
      <c r="J15" s="3759"/>
      <c r="K15" s="3759"/>
      <c r="L15" s="3759"/>
      <c r="M15" s="3760"/>
      <c r="N15" s="3763"/>
      <c r="O15" s="3764"/>
      <c r="P15" s="3764"/>
      <c r="Q15" s="3764"/>
      <c r="R15" s="3764"/>
      <c r="S15" s="3765"/>
      <c r="T15" s="3769"/>
      <c r="U15" s="3770"/>
      <c r="V15" s="3770"/>
      <c r="W15" s="3770"/>
      <c r="X15" s="3771"/>
      <c r="Y15" s="2365" t="s">
        <v>1086</v>
      </c>
      <c r="Z15" s="2366"/>
      <c r="AA15" s="2366"/>
      <c r="AB15" s="2296"/>
      <c r="AC15" s="2368" t="s">
        <v>542</v>
      </c>
      <c r="AD15" s="2366"/>
      <c r="AE15" s="2296"/>
      <c r="AF15" s="2368" t="s">
        <v>543</v>
      </c>
      <c r="AG15" s="2370"/>
      <c r="AH15" s="1038"/>
      <c r="AI15" s="3122" t="b">
        <f>IF(OR(File_Single=CHAR(32),File_Marr_Joint=CHAR(32),File_Head=CHAR(32),File_Qual_Widow=CHAR(32),File_Marr_Sep=CHAR(32)),TRUE,FALSE)</f>
        <v>0</v>
      </c>
      <c r="AJ15" s="685"/>
      <c r="AK15" s="685"/>
      <c r="AL15" s="68"/>
      <c r="AM15" s="68"/>
      <c r="AN15" s="456"/>
      <c r="AO15" s="68"/>
      <c r="AP15" s="68"/>
      <c r="AQ15" s="68"/>
      <c r="AR15" s="68"/>
      <c r="AS15" s="68"/>
      <c r="AT15" s="68"/>
      <c r="AU15" s="68"/>
      <c r="AV15" s="68"/>
      <c r="AW15" s="68"/>
      <c r="AX15" s="68"/>
    </row>
    <row r="16" spans="1:50" ht="6" customHeight="1">
      <c r="A16" s="942"/>
      <c r="B16" s="3761"/>
      <c r="C16" s="3761"/>
      <c r="D16" s="3761"/>
      <c r="E16" s="3761"/>
      <c r="F16" s="3761"/>
      <c r="G16" s="3761"/>
      <c r="H16" s="3761"/>
      <c r="I16" s="3761"/>
      <c r="J16" s="3761"/>
      <c r="K16" s="3761"/>
      <c r="L16" s="3761"/>
      <c r="M16" s="3762"/>
      <c r="N16" s="3766"/>
      <c r="O16" s="3767"/>
      <c r="P16" s="3767"/>
      <c r="Q16" s="3767"/>
      <c r="R16" s="3767"/>
      <c r="S16" s="3768"/>
      <c r="T16" s="3772"/>
      <c r="U16" s="3773"/>
      <c r="V16" s="3773"/>
      <c r="W16" s="3773"/>
      <c r="X16" s="3774"/>
      <c r="Y16" s="2367"/>
      <c r="Z16" s="2367"/>
      <c r="AA16" s="2367"/>
      <c r="AB16" s="2369"/>
      <c r="AC16" s="2369"/>
      <c r="AD16" s="2369"/>
      <c r="AE16" s="2369"/>
      <c r="AF16" s="2369"/>
      <c r="AG16" s="2371"/>
      <c r="AH16" s="1038"/>
      <c r="AI16" s="685"/>
      <c r="AJ16" s="685"/>
      <c r="AK16" s="685"/>
      <c r="AL16" s="68"/>
      <c r="AM16" s="68"/>
      <c r="AN16" s="456"/>
      <c r="AO16" s="68"/>
      <c r="AP16" s="68"/>
      <c r="AQ16" s="68"/>
      <c r="AR16" s="68"/>
      <c r="AS16" s="68"/>
      <c r="AT16" s="68"/>
      <c r="AU16" s="68"/>
      <c r="AV16" s="68"/>
      <c r="AW16" s="68"/>
      <c r="AX16" s="68"/>
    </row>
    <row r="17" spans="1:62" ht="6" customHeight="1">
      <c r="A17" s="942"/>
      <c r="B17" s="401"/>
      <c r="C17" s="47"/>
      <c r="D17" s="2339"/>
      <c r="E17" s="2348"/>
      <c r="F17" s="2351"/>
      <c r="G17" s="2351"/>
      <c r="H17" s="2351"/>
      <c r="I17" s="2351"/>
      <c r="J17" s="2351"/>
      <c r="K17" s="2351"/>
      <c r="L17" s="2351"/>
      <c r="M17" s="2351"/>
      <c r="N17" s="2351"/>
      <c r="O17" s="2351"/>
      <c r="P17" s="2351"/>
      <c r="Q17" s="2351"/>
      <c r="R17" s="2351"/>
      <c r="S17" s="2351"/>
      <c r="T17" s="2351"/>
      <c r="U17" s="2372"/>
      <c r="V17" s="2351"/>
      <c r="W17" s="2351"/>
      <c r="X17" s="2373"/>
      <c r="Y17" s="2374"/>
      <c r="Z17" s="2374"/>
      <c r="AA17" s="2374"/>
      <c r="AB17" s="2375"/>
      <c r="AC17" s="2375"/>
      <c r="AD17" s="2375"/>
      <c r="AE17" s="2375"/>
      <c r="AF17" s="2375"/>
      <c r="AG17" s="2376"/>
      <c r="AH17" s="1038"/>
      <c r="AI17" s="685"/>
      <c r="AJ17" s="685"/>
      <c r="AK17" s="685"/>
      <c r="AL17" s="68"/>
      <c r="AM17" s="68"/>
      <c r="AN17" s="456"/>
      <c r="AO17" s="68"/>
      <c r="AP17" s="68"/>
      <c r="AQ17" s="68"/>
      <c r="AR17" s="68"/>
      <c r="AS17" s="68"/>
      <c r="AT17" s="68"/>
      <c r="AU17" s="68"/>
      <c r="AV17" s="68"/>
      <c r="AW17" s="68"/>
      <c r="AX17" s="68"/>
    </row>
    <row r="18" spans="1:62" ht="10.5" customHeight="1">
      <c r="A18" s="942"/>
      <c r="B18" s="3882" t="s">
        <v>128</v>
      </c>
      <c r="C18" s="3883"/>
      <c r="D18" s="2377">
        <v>1</v>
      </c>
      <c r="E18" s="2297"/>
      <c r="F18" s="2334" t="s">
        <v>127</v>
      </c>
      <c r="G18" s="2334"/>
      <c r="H18" s="2334"/>
      <c r="I18" s="2334"/>
      <c r="J18" s="2334"/>
      <c r="K18" s="2334"/>
      <c r="L18" s="2334"/>
      <c r="M18" s="2382" t="str">
        <f>IF(SpaceUsed_1040,"ERROR: DO NOT use a space. Use 'Delete'.",IF(AI22=0,"CHECK ONE BOX  ( Use 'X' )",IF(AI22&gt;1,"CHECK ONLY ONE BOX","")))</f>
        <v>CHECK ONE BOX  ( Use 'X' )</v>
      </c>
      <c r="N18" s="2382"/>
      <c r="O18" s="2334"/>
      <c r="P18" s="2334"/>
      <c r="Q18" s="2334"/>
      <c r="R18" s="2334"/>
      <c r="S18" s="2334"/>
      <c r="T18" s="2377">
        <v>4</v>
      </c>
      <c r="U18" s="2297"/>
      <c r="V18" s="2334" t="s">
        <v>829</v>
      </c>
      <c r="W18" s="2334"/>
      <c r="X18" s="2390"/>
      <c r="Y18" s="2391"/>
      <c r="Z18" s="2391"/>
      <c r="AA18" s="2391"/>
      <c r="AB18" s="2396"/>
      <c r="AC18" s="2396"/>
      <c r="AD18" s="2396"/>
      <c r="AE18" s="2396"/>
      <c r="AF18" s="2396"/>
      <c r="AG18" s="2397"/>
      <c r="AH18" s="1046">
        <f>IF(File_Single&lt;&gt;"",1,0)</f>
        <v>0</v>
      </c>
      <c r="AI18" s="690">
        <f>IF(File_Head&lt;&gt;"",1,0)</f>
        <v>0</v>
      </c>
      <c r="AJ18" s="687"/>
      <c r="AK18" s="686"/>
      <c r="AL18" s="68"/>
      <c r="AM18" s="68"/>
      <c r="AN18" s="456"/>
      <c r="AO18" s="68"/>
      <c r="AP18" s="68"/>
      <c r="AQ18" s="68"/>
      <c r="AR18" s="68"/>
      <c r="AS18" s="68"/>
      <c r="AT18" s="68"/>
      <c r="AU18" s="68"/>
      <c r="AV18" s="68"/>
      <c r="AW18" s="68"/>
      <c r="AX18" s="68"/>
    </row>
    <row r="19" spans="1:62" ht="5.25" customHeight="1">
      <c r="A19" s="942"/>
      <c r="B19" s="3882"/>
      <c r="C19" s="3883"/>
      <c r="D19" s="2331"/>
      <c r="E19" s="2379"/>
      <c r="F19" s="2334"/>
      <c r="G19" s="2334"/>
      <c r="H19" s="2334"/>
      <c r="I19" s="2334"/>
      <c r="J19" s="2334"/>
      <c r="K19" s="2334"/>
      <c r="L19" s="2334"/>
      <c r="M19" s="2334"/>
      <c r="N19" s="2383"/>
      <c r="O19" s="2334"/>
      <c r="P19" s="2334"/>
      <c r="Q19" s="2334"/>
      <c r="R19" s="2334"/>
      <c r="S19" s="2334"/>
      <c r="T19" s="2341"/>
      <c r="U19" s="2389"/>
      <c r="V19" s="2334"/>
      <c r="W19" s="2334"/>
      <c r="X19" s="2390"/>
      <c r="Y19" s="2391"/>
      <c r="Z19" s="2391"/>
      <c r="AA19" s="2391"/>
      <c r="AB19" s="2396"/>
      <c r="AC19" s="2396"/>
      <c r="AD19" s="2396"/>
      <c r="AE19" s="2396"/>
      <c r="AF19" s="2396"/>
      <c r="AG19" s="2397"/>
      <c r="AH19" s="1046"/>
      <c r="AI19" s="690"/>
      <c r="AJ19" s="687"/>
      <c r="AK19" s="686"/>
      <c r="AL19" s="68"/>
      <c r="AM19" s="68"/>
      <c r="AN19" s="456"/>
      <c r="AO19" s="68"/>
      <c r="AP19" s="68"/>
      <c r="AQ19" s="68"/>
      <c r="AR19" s="68"/>
      <c r="AS19" s="68"/>
      <c r="AT19" s="68"/>
      <c r="AU19" s="68"/>
      <c r="AV19" s="68"/>
      <c r="AW19" s="68"/>
      <c r="AX19" s="68"/>
    </row>
    <row r="20" spans="1:62" ht="10.5" customHeight="1">
      <c r="A20" s="942"/>
      <c r="B20" s="401"/>
      <c r="C20" s="59"/>
      <c r="D20" s="2377">
        <v>2</v>
      </c>
      <c r="E20" s="2297"/>
      <c r="F20" s="2334" t="s">
        <v>320</v>
      </c>
      <c r="G20" s="2334"/>
      <c r="H20" s="2334"/>
      <c r="I20" s="2334"/>
      <c r="J20" s="2334"/>
      <c r="K20" s="2334"/>
      <c r="L20" s="2334"/>
      <c r="M20" s="2334"/>
      <c r="N20" s="2334"/>
      <c r="O20" s="2334"/>
      <c r="P20" s="2334"/>
      <c r="Q20" s="2334"/>
      <c r="R20" s="2334"/>
      <c r="S20" s="2334"/>
      <c r="T20" s="2342"/>
      <c r="U20" s="2342"/>
      <c r="V20" s="2334" t="s">
        <v>81</v>
      </c>
      <c r="W20" s="2334"/>
      <c r="X20" s="2342"/>
      <c r="Y20" s="2391"/>
      <c r="Z20" s="2391"/>
      <c r="AA20" s="2391"/>
      <c r="AB20" s="2398"/>
      <c r="AC20" s="2398"/>
      <c r="AD20" s="2398"/>
      <c r="AE20" s="2398"/>
      <c r="AF20" s="2398"/>
      <c r="AG20" s="2397"/>
      <c r="AH20" s="1046">
        <f>IF(File_Marr_Joint&lt;&gt;"",1,0)</f>
        <v>0</v>
      </c>
      <c r="AI20" s="690">
        <f>IF(File_Qual_Widow&lt;&gt;"",1,0)</f>
        <v>0</v>
      </c>
      <c r="AJ20" s="687"/>
      <c r="AK20" s="686"/>
      <c r="AL20" s="68"/>
      <c r="AM20" s="68"/>
      <c r="AN20" s="456"/>
      <c r="AO20" s="68"/>
      <c r="AP20" s="68"/>
      <c r="AQ20" s="68"/>
      <c r="AR20" s="68"/>
      <c r="AS20" s="68"/>
      <c r="AT20" s="68"/>
      <c r="AU20" s="68"/>
      <c r="AV20" s="68"/>
      <c r="AW20" s="68"/>
      <c r="AX20" s="68"/>
    </row>
    <row r="21" spans="1:62" ht="4.5" customHeight="1">
      <c r="A21" s="942"/>
      <c r="B21" s="401"/>
      <c r="C21" s="59"/>
      <c r="D21" s="2341"/>
      <c r="E21" s="2379"/>
      <c r="F21" s="2334"/>
      <c r="G21" s="2334"/>
      <c r="H21" s="2334"/>
      <c r="I21" s="2334"/>
      <c r="J21" s="2334"/>
      <c r="K21" s="2334"/>
      <c r="L21" s="2334"/>
      <c r="M21" s="2334"/>
      <c r="N21" s="2334"/>
      <c r="O21" s="2334"/>
      <c r="P21" s="2334"/>
      <c r="Q21" s="2334"/>
      <c r="R21" s="2334"/>
      <c r="S21" s="2334"/>
      <c r="T21" s="2342"/>
      <c r="U21" s="2342"/>
      <c r="V21" s="2334"/>
      <c r="W21" s="2334"/>
      <c r="X21" s="2342"/>
      <c r="Y21" s="2391"/>
      <c r="Z21" s="2391"/>
      <c r="AA21" s="2391"/>
      <c r="AB21" s="2398"/>
      <c r="AC21" s="2398"/>
      <c r="AD21" s="2398"/>
      <c r="AE21" s="2398"/>
      <c r="AF21" s="2398"/>
      <c r="AG21" s="2397"/>
      <c r="AH21" s="1046"/>
      <c r="AI21" s="690"/>
      <c r="AJ21" s="687"/>
      <c r="AK21" s="686"/>
      <c r="AL21" s="68"/>
      <c r="AM21" s="68"/>
      <c r="AN21" s="456"/>
      <c r="AO21" s="68"/>
      <c r="AP21" s="68"/>
      <c r="AQ21" s="68"/>
      <c r="AR21" s="68"/>
      <c r="AS21" s="68"/>
      <c r="AT21" s="68"/>
      <c r="AU21" s="68"/>
      <c r="AV21" s="68"/>
      <c r="AW21" s="68"/>
      <c r="AX21" s="68"/>
    </row>
    <row r="22" spans="1:62" ht="10.5" customHeight="1" thickBot="1">
      <c r="A22" s="942"/>
      <c r="B22" s="89" t="s">
        <v>834</v>
      </c>
      <c r="C22" s="89"/>
      <c r="D22" s="2377">
        <v>3</v>
      </c>
      <c r="E22" s="2297"/>
      <c r="F22" s="2380" t="s">
        <v>459</v>
      </c>
      <c r="G22" s="2380"/>
      <c r="H22" s="2380"/>
      <c r="I22" s="2380"/>
      <c r="J22" s="2380"/>
      <c r="K22" s="2380"/>
      <c r="L22" s="2380"/>
      <c r="M22" s="2380"/>
      <c r="N22" s="2380"/>
      <c r="O22" s="2380"/>
      <c r="P22" s="2380"/>
      <c r="Q22" s="2380"/>
      <c r="R22" s="2380"/>
      <c r="S22" s="2380"/>
      <c r="T22" s="2342"/>
      <c r="U22" s="2342"/>
      <c r="V22" s="2334" t="s">
        <v>433</v>
      </c>
      <c r="W22" s="2334"/>
      <c r="X22" s="2342"/>
      <c r="Y22" s="2392"/>
      <c r="Z22" s="2392"/>
      <c r="AA22" s="3827"/>
      <c r="AB22" s="3828"/>
      <c r="AC22" s="3828"/>
      <c r="AD22" s="3828"/>
      <c r="AE22" s="3828"/>
      <c r="AF22" s="3828"/>
      <c r="AG22" s="3828"/>
      <c r="AH22" s="1046">
        <f>IF(File_Marr_Sep&lt;&gt;"",1,0)</f>
        <v>0</v>
      </c>
      <c r="AI22" s="690">
        <f>SUM(AH18,AH20,AH22,AI18,AI20)</f>
        <v>0</v>
      </c>
      <c r="AJ22" s="687"/>
      <c r="AK22" s="688"/>
      <c r="AL22" s="68"/>
      <c r="AM22" s="68"/>
      <c r="AN22" s="456"/>
      <c r="AO22" s="68"/>
      <c r="AP22" s="68"/>
      <c r="AQ22" s="68"/>
      <c r="AR22" s="68"/>
      <c r="AS22" s="68"/>
      <c r="AT22" s="68"/>
      <c r="AU22" s="68"/>
      <c r="AV22" s="68"/>
      <c r="AW22" s="68"/>
      <c r="AX22" s="68"/>
    </row>
    <row r="23" spans="1:62" ht="12" customHeight="1">
      <c r="A23" s="942"/>
      <c r="B23" s="89" t="s">
        <v>835</v>
      </c>
      <c r="C23" s="89"/>
      <c r="D23" s="2341"/>
      <c r="E23" s="2341"/>
      <c r="F23" s="2380" t="s">
        <v>214</v>
      </c>
      <c r="G23" s="2380"/>
      <c r="H23" s="2380"/>
      <c r="I23" s="2381"/>
      <c r="J23" s="3836"/>
      <c r="K23" s="3836"/>
      <c r="L23" s="3836"/>
      <c r="M23" s="3836"/>
      <c r="N23" s="3836"/>
      <c r="O23" s="3836"/>
      <c r="P23" s="3836"/>
      <c r="Q23" s="3836"/>
      <c r="R23" s="3836"/>
      <c r="S23" s="3836"/>
      <c r="T23" s="2377">
        <v>5</v>
      </c>
      <c r="U23" s="2906"/>
      <c r="V23" s="2334" t="s">
        <v>830</v>
      </c>
      <c r="W23" s="2334"/>
      <c r="X23" s="2342"/>
      <c r="Y23" s="2342"/>
      <c r="Z23" s="2342"/>
      <c r="AA23" s="2393"/>
      <c r="AB23" s="2394"/>
      <c r="AC23" s="2394"/>
      <c r="AD23" s="2394"/>
      <c r="AE23" s="2394"/>
      <c r="AF23" s="2394"/>
      <c r="AG23" s="2395"/>
      <c r="AH23" s="1039"/>
      <c r="AI23" s="14"/>
      <c r="AJ23" s="3971" t="s">
        <v>552</v>
      </c>
      <c r="AK23" s="3972"/>
      <c r="AL23" s="3972"/>
      <c r="AM23" s="327"/>
      <c r="AN23" s="48"/>
      <c r="AO23" s="327"/>
      <c r="AP23" s="327"/>
      <c r="AQ23" s="327"/>
      <c r="AR23" s="327"/>
      <c r="AS23" s="327"/>
      <c r="AT23" s="327"/>
      <c r="AU23" s="327"/>
      <c r="AV23" s="327"/>
      <c r="AW23" s="327"/>
      <c r="AX23" s="327"/>
      <c r="AY23" s="327"/>
      <c r="AZ23" s="327"/>
      <c r="BA23" s="327"/>
      <c r="BB23" s="328"/>
      <c r="BI23"/>
      <c r="BJ23"/>
    </row>
    <row r="24" spans="1:62" ht="4.5" customHeight="1">
      <c r="A24" s="942"/>
      <c r="B24" s="947"/>
      <c r="C24" s="485"/>
      <c r="D24" s="2378"/>
      <c r="E24" s="2378"/>
      <c r="F24" s="2350"/>
      <c r="G24" s="2350"/>
      <c r="H24" s="2350"/>
      <c r="I24" s="2350"/>
      <c r="J24" s="2350"/>
      <c r="K24" s="2350"/>
      <c r="L24" s="2350"/>
      <c r="M24" s="2350"/>
      <c r="N24" s="2350"/>
      <c r="O24" s="2350"/>
      <c r="P24" s="2350"/>
      <c r="Q24" s="2350"/>
      <c r="R24" s="2350"/>
      <c r="S24" s="2350"/>
      <c r="T24" s="2350"/>
      <c r="U24" s="2350"/>
      <c r="V24" s="2350"/>
      <c r="W24" s="2350"/>
      <c r="X24" s="2384"/>
      <c r="Y24" s="2385"/>
      <c r="Z24" s="2385"/>
      <c r="AA24" s="2386"/>
      <c r="AB24" s="2387"/>
      <c r="AC24" s="2387"/>
      <c r="AD24" s="2387"/>
      <c r="AE24" s="2387"/>
      <c r="AF24" s="2387"/>
      <c r="AG24" s="2388"/>
      <c r="AH24" s="1039"/>
      <c r="AI24" s="14"/>
      <c r="AJ24" s="3973"/>
      <c r="AK24" s="3889"/>
      <c r="AL24" s="3889"/>
      <c r="AM24" s="196"/>
      <c r="AN24" s="46"/>
      <c r="AO24" s="196"/>
      <c r="AP24" s="196"/>
      <c r="AQ24" s="196"/>
      <c r="AR24" s="196"/>
      <c r="AS24" s="196"/>
      <c r="AT24" s="196"/>
      <c r="AU24" s="196"/>
      <c r="AV24" s="196"/>
      <c r="AW24" s="196"/>
      <c r="AX24" s="196"/>
      <c r="AY24" s="196"/>
      <c r="AZ24" s="196"/>
      <c r="BA24" s="196"/>
      <c r="BB24" s="242"/>
      <c r="BI24"/>
      <c r="BJ24"/>
    </row>
    <row r="25" spans="1:62" ht="8.25" customHeight="1">
      <c r="A25" s="942"/>
      <c r="B25" s="401"/>
      <c r="C25" s="54"/>
      <c r="D25" s="2336"/>
      <c r="E25" s="2378"/>
      <c r="F25" s="2334"/>
      <c r="G25" s="2334"/>
      <c r="H25" s="2334"/>
      <c r="I25" s="2334"/>
      <c r="J25" s="2334"/>
      <c r="K25" s="2334"/>
      <c r="L25" s="2334"/>
      <c r="M25" s="2334"/>
      <c r="N25" s="2334"/>
      <c r="O25" s="2334"/>
      <c r="P25" s="2334"/>
      <c r="Q25" s="2334"/>
      <c r="R25" s="2334"/>
      <c r="S25" s="2334"/>
      <c r="T25" s="2334"/>
      <c r="U25" s="2334"/>
      <c r="V25" s="2334"/>
      <c r="W25" s="2334"/>
      <c r="X25" s="2399"/>
      <c r="Y25" s="2400"/>
      <c r="Z25" s="2400"/>
      <c r="AA25" s="2401"/>
      <c r="AB25" s="3842" t="s">
        <v>1087</v>
      </c>
      <c r="AC25" s="3843"/>
      <c r="AD25" s="3843"/>
      <c r="AE25" s="3843"/>
      <c r="AF25" s="3843"/>
      <c r="AG25" s="2419"/>
      <c r="AH25" s="1039"/>
      <c r="AI25" s="14"/>
      <c r="AJ25" s="522"/>
      <c r="AK25" s="521"/>
      <c r="AL25" s="448"/>
      <c r="AM25" s="196"/>
      <c r="AN25" s="46"/>
      <c r="AO25" s="196"/>
      <c r="AP25" s="196"/>
      <c r="AQ25" s="196"/>
      <c r="AR25" s="196"/>
      <c r="AS25" s="196"/>
      <c r="AT25" s="196"/>
      <c r="AU25" s="196"/>
      <c r="AV25" s="196"/>
      <c r="AW25" s="196"/>
      <c r="AX25" s="196"/>
      <c r="AY25" s="196"/>
      <c r="AZ25" s="196"/>
      <c r="BA25" s="196"/>
      <c r="BB25" s="242"/>
      <c r="BI25"/>
      <c r="BJ25"/>
    </row>
    <row r="26" spans="1:62" ht="12" customHeight="1">
      <c r="A26" s="942"/>
      <c r="B26" s="401"/>
      <c r="C26" s="59"/>
      <c r="D26" s="2341" t="s">
        <v>738</v>
      </c>
      <c r="E26" s="2924" t="str">
        <f>IF(DependentYOU&lt;&gt;"","",IF(M18="",IF(OR(File_Single&lt;&gt;"",File_Marr_Joint&lt;&gt;"",File_Marr_Sep&lt;&gt;"",File_Head&lt;&gt;"",File_Qual_Widow&lt;&gt;""),"X",""),""))</f>
        <v/>
      </c>
      <c r="F26" s="2487" t="s">
        <v>1682</v>
      </c>
      <c r="G26" s="2402"/>
      <c r="H26" s="2380" t="s">
        <v>831</v>
      </c>
      <c r="I26" s="2402"/>
      <c r="J26" s="2402"/>
      <c r="K26" s="2402"/>
      <c r="L26" s="2402"/>
      <c r="M26" s="2402"/>
      <c r="N26" s="2402"/>
      <c r="O26" s="2402"/>
      <c r="P26" s="2402"/>
      <c r="Q26" s="2402"/>
      <c r="R26" s="2402"/>
      <c r="S26" s="2402"/>
      <c r="T26" s="2342"/>
      <c r="U26" s="2342"/>
      <c r="V26" s="2342"/>
      <c r="W26" s="2342"/>
      <c r="X26" s="2342"/>
      <c r="Y26" s="2342"/>
      <c r="Z26" s="2342"/>
      <c r="AA26" s="2403"/>
      <c r="AB26" s="3844"/>
      <c r="AC26" s="3845"/>
      <c r="AD26" s="3845"/>
      <c r="AE26" s="3845"/>
      <c r="AF26" s="3845"/>
      <c r="AG26" s="2839">
        <f>IF(AND(E26&lt;&gt;"",E28&lt;&gt;""),2,IF(OR(E26&lt;&gt;"",E28&lt;&gt;""),1,0))</f>
        <v>0</v>
      </c>
      <c r="AH26" s="1039"/>
      <c r="AI26" s="14"/>
      <c r="AJ26" s="523"/>
      <c r="AK26" s="3354"/>
      <c r="AL26" s="448" t="s">
        <v>295</v>
      </c>
      <c r="AM26" s="196"/>
      <c r="AN26" s="46"/>
      <c r="AO26" s="196"/>
      <c r="AP26" s="196"/>
      <c r="AQ26" s="196"/>
      <c r="AR26" s="196"/>
      <c r="AS26" s="196"/>
      <c r="AT26" s="196"/>
      <c r="AU26" s="196"/>
      <c r="AV26" s="196"/>
      <c r="AW26" s="196"/>
      <c r="AX26" s="196"/>
      <c r="AY26" s="196"/>
      <c r="AZ26" s="196"/>
      <c r="BA26" s="196"/>
      <c r="BB26" s="242"/>
      <c r="BI26"/>
      <c r="BJ26"/>
    </row>
    <row r="27" spans="1:62" ht="9.75" customHeight="1">
      <c r="A27" s="942"/>
      <c r="B27" s="437"/>
      <c r="C27" s="486"/>
      <c r="D27" s="2342"/>
      <c r="E27" s="2342"/>
      <c r="F27" s="2380"/>
      <c r="G27" s="2380"/>
      <c r="H27" s="2380"/>
      <c r="I27" s="2380"/>
      <c r="J27" s="2380"/>
      <c r="K27" s="2380"/>
      <c r="L27" s="2380"/>
      <c r="M27" s="2380"/>
      <c r="N27" s="2380"/>
      <c r="O27" s="2380"/>
      <c r="P27" s="2380"/>
      <c r="Q27" s="2380"/>
      <c r="R27" s="2380"/>
      <c r="S27" s="2380"/>
      <c r="T27" s="2404"/>
      <c r="U27" s="2404"/>
      <c r="V27" s="2404"/>
      <c r="W27" s="2404"/>
      <c r="X27" s="2404"/>
      <c r="Y27" s="2405"/>
      <c r="Z27" s="2405"/>
      <c r="AA27" s="2374" t="s">
        <v>664</v>
      </c>
      <c r="AB27" s="3785" t="s">
        <v>908</v>
      </c>
      <c r="AC27" s="3786"/>
      <c r="AD27" s="3786"/>
      <c r="AE27" s="3786"/>
      <c r="AF27" s="2852"/>
      <c r="AG27" s="2332"/>
      <c r="AH27" s="1040"/>
      <c r="AI27" s="22"/>
      <c r="AJ27" s="523"/>
      <c r="AK27" s="884"/>
      <c r="AL27" s="448"/>
      <c r="AM27" s="196"/>
      <c r="AN27" s="46"/>
      <c r="AO27" s="196"/>
      <c r="AP27" s="196"/>
      <c r="AQ27" s="196"/>
      <c r="AR27" s="196"/>
      <c r="AS27" s="196"/>
      <c r="AT27" s="196"/>
      <c r="AU27" s="196"/>
      <c r="AV27" s="196"/>
      <c r="AW27" s="196"/>
      <c r="AX27" s="196"/>
      <c r="AY27" s="196"/>
      <c r="AZ27" s="196"/>
      <c r="BA27" s="196"/>
      <c r="BB27" s="242"/>
      <c r="BI27"/>
      <c r="BJ27"/>
    </row>
    <row r="28" spans="1:62" ht="12.75" customHeight="1">
      <c r="A28" s="942"/>
      <c r="B28" s="437" t="s">
        <v>272</v>
      </c>
      <c r="C28" s="65"/>
      <c r="D28" s="2341" t="s">
        <v>85</v>
      </c>
      <c r="E28" s="2925" t="str">
        <f>IF(OR(M18&lt;&gt;"",DependentSPOUSE&lt;&gt;""),"",IF(File_Marr_Joint&lt;&gt;"","X",""))</f>
        <v/>
      </c>
      <c r="F28" s="2855" t="s">
        <v>48</v>
      </c>
      <c r="G28" s="2406"/>
      <c r="H28" s="2406"/>
      <c r="I28" s="2406"/>
      <c r="J28" s="2406"/>
      <c r="K28" s="2406"/>
      <c r="L28" s="2406"/>
      <c r="M28" s="2406"/>
      <c r="N28" s="2406"/>
      <c r="O28" s="2406"/>
      <c r="P28" s="2406"/>
      <c r="Q28" s="2406"/>
      <c r="R28" s="2406"/>
      <c r="S28" s="2406"/>
      <c r="T28" s="2348"/>
      <c r="U28" s="2332"/>
      <c r="V28" s="2342"/>
      <c r="W28" s="2342"/>
      <c r="X28" s="2348"/>
      <c r="Y28" s="2348"/>
      <c r="Z28" s="2348"/>
      <c r="AA28" s="2407" t="s">
        <v>664</v>
      </c>
      <c r="AB28" s="3786"/>
      <c r="AC28" s="3786"/>
      <c r="AD28" s="3786"/>
      <c r="AE28" s="3786"/>
      <c r="AF28" s="2852"/>
      <c r="AG28" s="3775"/>
      <c r="AH28" s="1039"/>
      <c r="AI28" s="14"/>
      <c r="AJ28" s="522"/>
      <c r="AK28" s="3294"/>
      <c r="AL28" s="448" t="str">
        <f>IF(File_Marr_Joint&lt;&gt;""," Check here if YOUR SPOUSE is claimed as a dependent on someone elses return.","")</f>
        <v/>
      </c>
      <c r="AM28" s="196"/>
      <c r="AN28" s="46"/>
      <c r="AO28" s="196"/>
      <c r="AP28" s="196"/>
      <c r="AQ28" s="196"/>
      <c r="AR28" s="196"/>
      <c r="AS28" s="196"/>
      <c r="AT28" s="196"/>
      <c r="AU28" s="196"/>
      <c r="AV28" s="196"/>
      <c r="AW28" s="196"/>
      <c r="AX28" s="196"/>
      <c r="AY28" s="196"/>
      <c r="AZ28" s="196"/>
      <c r="BA28" s="196"/>
      <c r="BB28" s="242"/>
      <c r="BI28"/>
      <c r="BJ28"/>
    </row>
    <row r="29" spans="1:62" ht="11.25" customHeight="1" thickBot="1">
      <c r="A29" s="942"/>
      <c r="B29" s="401"/>
      <c r="C29" s="65"/>
      <c r="D29" s="2341" t="s">
        <v>86</v>
      </c>
      <c r="E29" s="3060" t="s">
        <v>1681</v>
      </c>
      <c r="F29" s="2334"/>
      <c r="G29" s="2334"/>
      <c r="H29" s="2334"/>
      <c r="I29" s="2334"/>
      <c r="J29" s="2334"/>
      <c r="K29" s="2334"/>
      <c r="L29" s="2334"/>
      <c r="M29" s="2334"/>
      <c r="N29" s="2334"/>
      <c r="O29" s="3848" t="s">
        <v>301</v>
      </c>
      <c r="P29" s="3849"/>
      <c r="Q29" s="3850"/>
      <c r="R29" s="3851"/>
      <c r="S29" s="2408"/>
      <c r="T29" s="3061" t="s">
        <v>889</v>
      </c>
      <c r="U29" s="2409"/>
      <c r="V29" s="2410"/>
      <c r="W29" s="3848" t="s">
        <v>2375</v>
      </c>
      <c r="X29" s="3850"/>
      <c r="Y29" s="3850"/>
      <c r="Z29" s="3850"/>
      <c r="AA29" s="3850"/>
      <c r="AB29" s="2850" t="s">
        <v>1679</v>
      </c>
      <c r="AC29" s="2851"/>
      <c r="AD29" s="2851"/>
      <c r="AE29" s="2851"/>
      <c r="AF29" s="2851"/>
      <c r="AG29" s="3776"/>
      <c r="AH29" s="1041"/>
      <c r="AI29" s="69"/>
      <c r="AJ29" s="524"/>
      <c r="AK29" s="525"/>
      <c r="AL29" s="526"/>
      <c r="AM29" s="227"/>
      <c r="AN29" s="55"/>
      <c r="AO29" s="227"/>
      <c r="AP29" s="227"/>
      <c r="AQ29" s="227"/>
      <c r="AR29" s="227"/>
      <c r="AS29" s="227"/>
      <c r="AT29" s="227"/>
      <c r="AU29" s="227"/>
      <c r="AV29" s="227"/>
      <c r="AW29" s="227"/>
      <c r="AX29" s="227"/>
      <c r="AY29" s="227"/>
      <c r="AZ29" s="227"/>
      <c r="BA29" s="227"/>
      <c r="BB29" s="326"/>
      <c r="BI29"/>
      <c r="BJ29"/>
    </row>
    <row r="30" spans="1:62" ht="11.25" customHeight="1" thickBot="1">
      <c r="A30" s="942"/>
      <c r="B30" s="401"/>
      <c r="C30" s="65"/>
      <c r="D30" s="2341"/>
      <c r="E30" s="2402"/>
      <c r="F30" s="2334"/>
      <c r="G30" s="2334"/>
      <c r="H30" s="2334"/>
      <c r="I30" s="2334"/>
      <c r="J30" s="2334"/>
      <c r="K30" s="2334"/>
      <c r="L30" s="2334"/>
      <c r="M30" s="2334"/>
      <c r="N30" s="2334"/>
      <c r="O30" s="3748" t="s">
        <v>170</v>
      </c>
      <c r="P30" s="3749"/>
      <c r="Q30" s="3750"/>
      <c r="R30" s="3751"/>
      <c r="S30" s="2411"/>
      <c r="T30" s="2412" t="s">
        <v>890</v>
      </c>
      <c r="U30" s="2412"/>
      <c r="V30" s="2413"/>
      <c r="W30" s="3852" t="s">
        <v>833</v>
      </c>
      <c r="X30" s="3853"/>
      <c r="Y30" s="3853"/>
      <c r="Z30" s="3853"/>
      <c r="AA30" s="3853"/>
      <c r="AB30" s="2851" t="s">
        <v>1680</v>
      </c>
      <c r="AC30" s="2851"/>
      <c r="AD30" s="2851"/>
      <c r="AE30" s="2851"/>
      <c r="AF30" s="2851"/>
      <c r="AG30" s="2420"/>
      <c r="AH30" s="1039"/>
      <c r="AI30" s="14"/>
      <c r="AJ30" s="69"/>
      <c r="AK30" s="14"/>
      <c r="AL30" s="14"/>
      <c r="AM30" s="68"/>
      <c r="AN30" s="456"/>
      <c r="AO30" s="68"/>
      <c r="AP30" s="68"/>
      <c r="AQ30" s="68"/>
      <c r="AR30" s="68"/>
      <c r="AS30" s="68"/>
      <c r="AT30" s="68"/>
      <c r="AU30" s="68"/>
      <c r="AV30" s="68"/>
      <c r="AW30" s="68"/>
      <c r="AX30" s="68"/>
    </row>
    <row r="31" spans="1:62" ht="11.25" customHeight="1" thickBot="1">
      <c r="A31" s="942"/>
      <c r="B31" s="3742" t="s">
        <v>273</v>
      </c>
      <c r="C31" s="3743"/>
      <c r="D31" s="2341"/>
      <c r="E31" s="2414" t="s">
        <v>77</v>
      </c>
      <c r="F31" s="2334"/>
      <c r="G31" s="2334"/>
      <c r="H31" s="2334" t="s">
        <v>787</v>
      </c>
      <c r="I31" s="2334"/>
      <c r="J31" s="2334"/>
      <c r="K31" s="2334"/>
      <c r="L31" s="2334"/>
      <c r="M31" s="2334"/>
      <c r="N31" s="2334"/>
      <c r="O31" s="3752" t="s">
        <v>78</v>
      </c>
      <c r="P31" s="3753"/>
      <c r="Q31" s="3754"/>
      <c r="R31" s="3755"/>
      <c r="S31" s="2411"/>
      <c r="T31" s="2412" t="s">
        <v>891</v>
      </c>
      <c r="U31" s="2412"/>
      <c r="V31" s="2413"/>
      <c r="W31" s="2415"/>
      <c r="X31" s="2416"/>
      <c r="Y31" s="2416" t="s">
        <v>2224</v>
      </c>
      <c r="Z31" s="2334"/>
      <c r="AA31" s="2334"/>
      <c r="AB31" s="3783" t="s">
        <v>962</v>
      </c>
      <c r="AC31" s="3784"/>
      <c r="AD31" s="3784"/>
      <c r="AE31" s="3784"/>
      <c r="AF31" s="2853"/>
      <c r="AG31" s="2421"/>
      <c r="AH31" s="1039"/>
      <c r="AI31" s="14"/>
      <c r="AJ31" s="665" t="str">
        <f>IF(AND(OR(O32&lt;&gt;"",O33&lt;&gt;"",O34&lt;&gt;"",O35&lt;&gt;""),Qual_Child_Count=0), "IMPORTANT!","")</f>
        <v/>
      </c>
      <c r="AK31" s="1258"/>
      <c r="AL31" s="1259"/>
      <c r="AM31" s="1381"/>
      <c r="AN31" s="1381"/>
      <c r="AO31" s="1381"/>
      <c r="AP31" s="1381"/>
      <c r="AQ31" s="1381"/>
      <c r="AR31" s="1381"/>
      <c r="AS31" s="1381"/>
      <c r="AT31" s="1381"/>
      <c r="AU31" s="1381"/>
      <c r="AV31" s="1381"/>
      <c r="AW31" s="1381"/>
      <c r="AX31" s="1381"/>
      <c r="AY31" s="1381"/>
      <c r="AZ31" s="1381"/>
      <c r="BA31" s="1381"/>
    </row>
    <row r="32" spans="1:62" ht="13.5" customHeight="1" thickBot="1">
      <c r="A32" s="942"/>
      <c r="B32" s="3742" t="s">
        <v>537</v>
      </c>
      <c r="C32" s="3743"/>
      <c r="D32" s="2341"/>
      <c r="E32" s="3728"/>
      <c r="F32" s="3728"/>
      <c r="G32" s="3728"/>
      <c r="H32" s="3728"/>
      <c r="I32" s="3728"/>
      <c r="J32" s="3728"/>
      <c r="K32" s="3728"/>
      <c r="L32" s="3728"/>
      <c r="M32" s="3728"/>
      <c r="N32" s="3729"/>
      <c r="O32" s="3745"/>
      <c r="P32" s="3756"/>
      <c r="Q32" s="3757"/>
      <c r="R32" s="3747"/>
      <c r="S32" s="3745"/>
      <c r="T32" s="3746"/>
      <c r="U32" s="3746"/>
      <c r="V32" s="3747"/>
      <c r="W32" s="2308"/>
      <c r="X32" s="2309"/>
      <c r="Y32" s="2298"/>
      <c r="Z32" s="2310"/>
      <c r="AA32" s="2312">
        <f>IF(Y32&lt;&gt;"",1,0)</f>
        <v>0</v>
      </c>
      <c r="AB32" s="3784"/>
      <c r="AC32" s="3784"/>
      <c r="AD32" s="3784"/>
      <c r="AE32" s="3784"/>
      <c r="AF32" s="2853"/>
      <c r="AG32" s="2300"/>
      <c r="AH32" s="1039"/>
      <c r="AI32" s="14"/>
      <c r="AJ32" s="666" t="str">
        <f>IF($AJ$31&lt;&gt;"", "DO NOT overlook","")</f>
        <v/>
      </c>
      <c r="AK32" s="14"/>
      <c r="AL32" s="1260"/>
      <c r="AM32" s="1381"/>
      <c r="AN32" s="1381"/>
      <c r="AO32" s="1381"/>
      <c r="AP32" s="1381"/>
      <c r="AQ32" s="1381"/>
      <c r="AR32" s="1381"/>
      <c r="AS32" s="1381"/>
      <c r="AT32" s="1381"/>
      <c r="AU32" s="1381"/>
      <c r="AV32" s="1381"/>
      <c r="AW32" s="1381"/>
      <c r="AX32" s="1381"/>
      <c r="AY32" s="1381"/>
      <c r="AZ32" s="1381"/>
      <c r="BA32" s="1381"/>
    </row>
    <row r="33" spans="1:53" ht="13.5" thickBot="1">
      <c r="A33" s="942"/>
      <c r="B33" s="3742" t="s">
        <v>832</v>
      </c>
      <c r="C33" s="3743"/>
      <c r="D33" s="2341"/>
      <c r="E33" s="3728"/>
      <c r="F33" s="3728"/>
      <c r="G33" s="3728"/>
      <c r="H33" s="3728"/>
      <c r="I33" s="3728"/>
      <c r="J33" s="3728"/>
      <c r="K33" s="3728"/>
      <c r="L33" s="3728"/>
      <c r="M33" s="3728"/>
      <c r="N33" s="3729"/>
      <c r="O33" s="3745"/>
      <c r="P33" s="3756"/>
      <c r="Q33" s="3757"/>
      <c r="R33" s="3747"/>
      <c r="S33" s="3745"/>
      <c r="T33" s="3746"/>
      <c r="U33" s="3746"/>
      <c r="V33" s="3747"/>
      <c r="W33" s="2308"/>
      <c r="X33" s="2309"/>
      <c r="Y33" s="2298"/>
      <c r="Z33" s="2311"/>
      <c r="AA33" s="2312">
        <f>IF(Y33&lt;&gt;"",1,0)</f>
        <v>0</v>
      </c>
      <c r="AB33" s="3784"/>
      <c r="AC33" s="3784"/>
      <c r="AD33" s="3784"/>
      <c r="AE33" s="3784"/>
      <c r="AF33" s="2853"/>
      <c r="AG33" s="2422"/>
      <c r="AH33" s="1039"/>
      <c r="AI33" s="14"/>
      <c r="AJ33" s="666" t="str">
        <f>IF($AJ$31&lt;&gt;"", "the Child Tax Credit!","")</f>
        <v/>
      </c>
      <c r="AK33" s="14"/>
      <c r="AL33" s="1260"/>
      <c r="AM33" s="1381"/>
      <c r="AN33" s="1381"/>
      <c r="AO33" s="1381"/>
      <c r="AP33" s="1381"/>
      <c r="AQ33" s="1381"/>
      <c r="AR33" s="1381"/>
      <c r="AS33" s="1381"/>
      <c r="AT33" s="1381"/>
      <c r="AU33" s="1381"/>
      <c r="AV33" s="1381"/>
      <c r="AW33" s="1381"/>
      <c r="AX33" s="1381"/>
      <c r="AY33" s="1381"/>
      <c r="AZ33" s="1381"/>
      <c r="BA33" s="1381"/>
    </row>
    <row r="34" spans="1:53" ht="13.5" thickBot="1">
      <c r="A34" s="942"/>
      <c r="B34" s="3742" t="s">
        <v>171</v>
      </c>
      <c r="C34" s="3744"/>
      <c r="D34" s="2299"/>
      <c r="E34" s="3728"/>
      <c r="F34" s="3728"/>
      <c r="G34" s="3728"/>
      <c r="H34" s="3728"/>
      <c r="I34" s="3728"/>
      <c r="J34" s="3728"/>
      <c r="K34" s="3728"/>
      <c r="L34" s="3728"/>
      <c r="M34" s="3728"/>
      <c r="N34" s="3729"/>
      <c r="O34" s="3745"/>
      <c r="P34" s="3756"/>
      <c r="Q34" s="3757"/>
      <c r="R34" s="3747"/>
      <c r="S34" s="3745"/>
      <c r="T34" s="3746"/>
      <c r="U34" s="3746"/>
      <c r="V34" s="3747"/>
      <c r="W34" s="2308"/>
      <c r="X34" s="2309"/>
      <c r="Y34" s="2298"/>
      <c r="Z34" s="2311"/>
      <c r="AA34" s="2312">
        <f>IF(Y34&lt;&gt;"",1,0)</f>
        <v>0</v>
      </c>
      <c r="AB34" s="3979" t="s">
        <v>963</v>
      </c>
      <c r="AC34" s="3980"/>
      <c r="AD34" s="3980"/>
      <c r="AE34" s="3980"/>
      <c r="AF34" s="2853"/>
      <c r="AG34" s="3902"/>
      <c r="AH34" s="1039"/>
      <c r="AI34" s="1681"/>
      <c r="AJ34" s="667" t="str">
        <f>IF($AJ$31&lt;&gt;"", "See instructions!","")</f>
        <v/>
      </c>
      <c r="AK34" s="1261"/>
      <c r="AL34" s="1262"/>
      <c r="AM34" s="1381"/>
      <c r="AN34" s="1381"/>
      <c r="AO34" s="1381"/>
      <c r="AP34" s="1381"/>
      <c r="AQ34" s="1381"/>
      <c r="AR34" s="1381"/>
      <c r="AS34" s="1381"/>
      <c r="AT34" s="1381"/>
      <c r="AU34" s="1381"/>
      <c r="AV34" s="1381"/>
      <c r="AW34" s="1381"/>
      <c r="AX34" s="1381"/>
      <c r="AY34" s="1381"/>
      <c r="AZ34" s="1381"/>
      <c r="BA34" s="1381"/>
    </row>
    <row r="35" spans="1:53" ht="13.5" thickBot="1">
      <c r="A35" s="942"/>
      <c r="B35" s="401"/>
      <c r="C35" s="54"/>
      <c r="D35" s="2341"/>
      <c r="E35" s="3728"/>
      <c r="F35" s="3728"/>
      <c r="G35" s="3728"/>
      <c r="H35" s="3728"/>
      <c r="I35" s="3728"/>
      <c r="J35" s="3728"/>
      <c r="K35" s="3728"/>
      <c r="L35" s="3728"/>
      <c r="M35" s="3728"/>
      <c r="N35" s="3729"/>
      <c r="O35" s="3745"/>
      <c r="P35" s="3756"/>
      <c r="Q35" s="3757"/>
      <c r="R35" s="3747"/>
      <c r="S35" s="3745"/>
      <c r="T35" s="3746"/>
      <c r="U35" s="3746"/>
      <c r="V35" s="3747"/>
      <c r="W35" s="2308"/>
      <c r="X35" s="2309"/>
      <c r="Y35" s="2298"/>
      <c r="Z35" s="2311"/>
      <c r="AA35" s="2312">
        <f>IF(Y35&lt;&gt;"",1,0)</f>
        <v>0</v>
      </c>
      <c r="AB35" s="3980"/>
      <c r="AC35" s="3980"/>
      <c r="AD35" s="3980"/>
      <c r="AE35" s="3980"/>
      <c r="AF35" s="2854"/>
      <c r="AG35" s="3903"/>
      <c r="AH35" s="1039"/>
      <c r="AI35" s="3969" t="s">
        <v>198</v>
      </c>
      <c r="AJ35" s="3832"/>
      <c r="AK35" s="3970"/>
      <c r="AL35" s="217" t="s">
        <v>152</v>
      </c>
      <c r="AM35" s="68"/>
      <c r="AN35" s="456"/>
      <c r="AO35" s="10"/>
      <c r="AP35" s="68"/>
      <c r="AQ35" s="68"/>
      <c r="AR35" s="68"/>
      <c r="AS35" s="68"/>
      <c r="AT35" s="68"/>
      <c r="AU35" s="68"/>
      <c r="AV35" s="68"/>
      <c r="AW35" s="68"/>
      <c r="AX35" s="68"/>
    </row>
    <row r="36" spans="1:53" ht="3" customHeight="1" thickBot="1">
      <c r="A36" s="942"/>
      <c r="B36" s="401"/>
      <c r="C36" s="54"/>
      <c r="D36" s="2341"/>
      <c r="E36" s="2424"/>
      <c r="F36" s="2424"/>
      <c r="G36" s="2424"/>
      <c r="H36" s="2424"/>
      <c r="I36" s="2424"/>
      <c r="J36" s="2424"/>
      <c r="K36" s="2424"/>
      <c r="L36" s="2424"/>
      <c r="M36" s="2424"/>
      <c r="N36" s="2424"/>
      <c r="O36" s="2425"/>
      <c r="P36" s="2425"/>
      <c r="Q36" s="2425"/>
      <c r="R36" s="2425"/>
      <c r="S36" s="2425"/>
      <c r="T36" s="2425"/>
      <c r="U36" s="2425"/>
      <c r="V36" s="2425"/>
      <c r="W36" s="2426"/>
      <c r="X36" s="2426"/>
      <c r="Y36" s="2425"/>
      <c r="Z36" s="2426"/>
      <c r="AA36" s="2427"/>
      <c r="AB36" s="2417"/>
      <c r="AC36" s="2417"/>
      <c r="AD36" s="2417"/>
      <c r="AE36" s="2417"/>
      <c r="AF36" s="2417"/>
      <c r="AG36" s="2423"/>
      <c r="AH36" s="1039"/>
      <c r="AI36" s="1473"/>
      <c r="AJ36" s="14"/>
      <c r="AK36" s="1475"/>
      <c r="AL36" s="217"/>
      <c r="AM36" s="68"/>
      <c r="AN36" s="456"/>
      <c r="AO36" s="10"/>
      <c r="AP36" s="68"/>
      <c r="AQ36" s="68"/>
      <c r="AR36" s="68"/>
      <c r="AS36" s="68"/>
      <c r="AT36" s="68"/>
      <c r="AU36" s="68"/>
      <c r="AV36" s="68"/>
      <c r="AW36" s="68"/>
      <c r="AX36" s="68"/>
    </row>
    <row r="37" spans="1:53" ht="18.75" customHeight="1" thickTop="1" thickBot="1">
      <c r="A37" s="942"/>
      <c r="B37" s="45"/>
      <c r="C37" s="45"/>
      <c r="D37" s="2428" t="s">
        <v>154</v>
      </c>
      <c r="E37" s="2428"/>
      <c r="F37" s="2429" t="s">
        <v>79</v>
      </c>
      <c r="G37" s="2429"/>
      <c r="H37" s="2429"/>
      <c r="I37" s="2429"/>
      <c r="J37" s="2429"/>
      <c r="K37" s="2429"/>
      <c r="L37" s="2429"/>
      <c r="M37" s="2429"/>
      <c r="N37" s="2429"/>
      <c r="O37" s="2429"/>
      <c r="P37" s="2429"/>
      <c r="Q37" s="2429"/>
      <c r="R37" s="2429"/>
      <c r="S37" s="2429"/>
      <c r="T37" s="2429"/>
      <c r="U37" s="2429"/>
      <c r="V37" s="2429"/>
      <c r="W37" s="2429"/>
      <c r="X37" s="2430"/>
      <c r="Y37" s="2431" t="str">
        <f>IF(OR(Y32&lt;&gt;"",Y33&lt;&gt;"",Y34&lt;&gt;"",Y35&lt;&gt;"",AB38&lt;&gt;""),"","(Use ' X ' )")</f>
        <v/>
      </c>
      <c r="Z37" s="2431"/>
      <c r="AA37" s="2432">
        <f>SUM(AA32:AA35)+AJ37</f>
        <v>0</v>
      </c>
      <c r="AB37" s="3777" t="s">
        <v>210</v>
      </c>
      <c r="AC37" s="3778"/>
      <c r="AD37" s="3778"/>
      <c r="AE37" s="3778"/>
      <c r="AF37" s="2418"/>
      <c r="AG37" s="2840">
        <f>IF(OR(AG26&lt;&gt;0,AG28&lt;&gt;"",AG32&lt;&gt;"",AG34&lt;&gt;""),AG26+AG28+AG32+AG34,0)</f>
        <v>0</v>
      </c>
      <c r="AH37" s="1041"/>
      <c r="AI37" s="1474"/>
      <c r="AJ37" s="2095"/>
      <c r="AK37" s="1679"/>
      <c r="AL37" s="1680" t="s">
        <v>706</v>
      </c>
      <c r="AM37" s="68"/>
      <c r="AN37" s="906"/>
      <c r="AO37" s="68"/>
      <c r="AP37" s="68"/>
      <c r="AQ37" s="68"/>
      <c r="AR37" s="68"/>
      <c r="AS37" s="68"/>
      <c r="AT37" s="68"/>
      <c r="AU37" s="68"/>
      <c r="AV37" s="68"/>
      <c r="AW37" s="68"/>
      <c r="AX37" s="68"/>
    </row>
    <row r="38" spans="1:53" ht="14.25" customHeight="1">
      <c r="A38" s="942"/>
      <c r="B38" s="486" t="s">
        <v>61</v>
      </c>
      <c r="C38" s="486"/>
      <c r="D38" s="2331">
        <v>7</v>
      </c>
      <c r="E38" s="2332"/>
      <c r="F38" s="2333" t="s">
        <v>909</v>
      </c>
      <c r="G38" s="2334"/>
      <c r="H38" s="2334"/>
      <c r="I38" s="2334"/>
      <c r="J38" s="2334"/>
      <c r="K38" s="2334"/>
      <c r="L38" s="2334"/>
      <c r="M38" s="2334"/>
      <c r="N38" s="2334"/>
      <c r="O38" s="2334"/>
      <c r="P38" s="2334"/>
      <c r="Q38" s="2334"/>
      <c r="R38" s="2334"/>
      <c r="S38" s="2335" t="s">
        <v>880</v>
      </c>
      <c r="T38" s="3924"/>
      <c r="U38" s="3925"/>
      <c r="V38" s="3925"/>
      <c r="W38" s="3925"/>
      <c r="X38" s="3925"/>
      <c r="Y38" s="3895" t="str">
        <f>IF(OR('2441'!O101="",'2441'!O101=0),"","DCB")</f>
        <v/>
      </c>
      <c r="Z38" s="3896"/>
      <c r="AA38" s="2433">
        <f>D38</f>
        <v>7</v>
      </c>
      <c r="AB38" s="3779">
        <f>IF(AL38&lt;&gt;"",AL38,SUM(W2_Wages,'2441'!O101))</f>
        <v>0</v>
      </c>
      <c r="AC38" s="3780"/>
      <c r="AD38" s="3780"/>
      <c r="AE38" s="3780"/>
      <c r="AF38" s="3780"/>
      <c r="AG38" s="476"/>
      <c r="AH38" s="1039"/>
      <c r="AI38" s="3969" t="s">
        <v>199</v>
      </c>
      <c r="AJ38" s="3832"/>
      <c r="AK38" s="3970"/>
      <c r="AL38" s="550"/>
      <c r="AM38" s="68"/>
      <c r="AN38" s="5"/>
      <c r="AT38" s="68"/>
      <c r="AU38" s="68"/>
      <c r="AV38" s="68"/>
    </row>
    <row r="39" spans="1:53" ht="14.25" customHeight="1">
      <c r="A39" s="942"/>
      <c r="B39" s="401"/>
      <c r="C39" s="73"/>
      <c r="D39" s="2331">
        <f>D38+1</f>
        <v>8</v>
      </c>
      <c r="E39" s="2336" t="s">
        <v>62</v>
      </c>
      <c r="F39" s="2337" t="s">
        <v>540</v>
      </c>
      <c r="G39" s="2338"/>
      <c r="H39" s="2338"/>
      <c r="I39" s="2338"/>
      <c r="J39" s="2338"/>
      <c r="K39" s="2338"/>
      <c r="L39" s="2338"/>
      <c r="M39" s="2338"/>
      <c r="N39" s="2338"/>
      <c r="O39" s="2338"/>
      <c r="P39" s="2338"/>
      <c r="Q39" s="2338"/>
      <c r="R39" s="2338"/>
      <c r="S39" s="2338"/>
      <c r="T39" s="2332"/>
      <c r="U39" s="2332"/>
      <c r="V39" s="2332"/>
      <c r="W39" s="2332"/>
      <c r="X39" s="2332"/>
      <c r="Y39" s="2332"/>
      <c r="Z39" s="2332"/>
      <c r="AA39" s="2434" t="str">
        <f>D39&amp;"a"</f>
        <v>8a</v>
      </c>
      <c r="AB39" s="3781">
        <f>IF(AL39&lt;&gt;"",AL39,Interest_Inc)</f>
        <v>0</v>
      </c>
      <c r="AC39" s="3782"/>
      <c r="AD39" s="3782"/>
      <c r="AE39" s="3782"/>
      <c r="AF39" s="3782"/>
      <c r="AG39" s="474"/>
      <c r="AH39" s="1039"/>
      <c r="AI39" s="3966" t="s">
        <v>728</v>
      </c>
      <c r="AJ39" s="3967"/>
      <c r="AK39" s="3968"/>
      <c r="AL39" s="602"/>
      <c r="AM39" s="68"/>
      <c r="AN39" s="1466"/>
      <c r="AO39" s="68"/>
      <c r="AP39" s="68"/>
      <c r="AQ39" s="68"/>
      <c r="AR39" s="68"/>
      <c r="AS39" s="68"/>
      <c r="AT39" s="68"/>
      <c r="AU39" s="68"/>
      <c r="AV39" s="68"/>
      <c r="AW39" s="68"/>
      <c r="AX39" s="68"/>
    </row>
    <row r="40" spans="1:53" ht="14.25" customHeight="1">
      <c r="A40" s="942"/>
      <c r="B40" s="73" t="s">
        <v>32</v>
      </c>
      <c r="C40" s="73"/>
      <c r="D40" s="2331"/>
      <c r="E40" s="2336" t="s">
        <v>85</v>
      </c>
      <c r="F40" s="2337" t="s">
        <v>64</v>
      </c>
      <c r="G40" s="2338"/>
      <c r="H40" s="2338"/>
      <c r="I40" s="2338"/>
      <c r="J40" s="2338"/>
      <c r="K40" s="2338"/>
      <c r="L40" s="2338"/>
      <c r="M40" s="2338"/>
      <c r="N40" s="2338"/>
      <c r="O40" s="2338"/>
      <c r="P40" s="2338"/>
      <c r="Q40" s="2338"/>
      <c r="R40" s="2338"/>
      <c r="S40" s="2449" t="s">
        <v>1203</v>
      </c>
      <c r="T40" s="2434" t="str">
        <f>D39&amp;"b"</f>
        <v>8b</v>
      </c>
      <c r="U40" s="2435"/>
      <c r="V40" s="3928"/>
      <c r="W40" s="3928"/>
      <c r="X40" s="3928"/>
      <c r="Y40" s="3928"/>
      <c r="Z40" s="2436"/>
      <c r="AA40" s="2322"/>
      <c r="AB40" s="351"/>
      <c r="AC40" s="351"/>
      <c r="AD40" s="351"/>
      <c r="AE40" s="351"/>
      <c r="AF40" s="351"/>
      <c r="AG40" s="475"/>
      <c r="AH40" s="1039"/>
      <c r="AI40" s="14"/>
      <c r="AJ40" s="14"/>
      <c r="AK40" s="14"/>
      <c r="AL40" s="551"/>
      <c r="AM40" s="68"/>
      <c r="AN40" s="456"/>
      <c r="AO40" s="68"/>
      <c r="AP40" s="68"/>
      <c r="AQ40" s="68"/>
      <c r="AR40" s="68"/>
      <c r="AS40" s="68"/>
      <c r="AT40" s="68"/>
      <c r="AU40" s="68"/>
      <c r="AV40" s="68"/>
      <c r="AW40" s="68"/>
      <c r="AX40" s="68"/>
    </row>
    <row r="41" spans="1:53" ht="14.25" customHeight="1">
      <c r="A41" s="942"/>
      <c r="B41" s="73" t="s">
        <v>33</v>
      </c>
      <c r="C41" s="73"/>
      <c r="D41" s="2331">
        <f>D39+1</f>
        <v>9</v>
      </c>
      <c r="E41" s="2336" t="s">
        <v>62</v>
      </c>
      <c r="F41" s="2333" t="s">
        <v>718</v>
      </c>
      <c r="G41" s="2334"/>
      <c r="H41" s="2334"/>
      <c r="I41" s="2334"/>
      <c r="J41" s="2334"/>
      <c r="K41" s="2334"/>
      <c r="L41" s="2334"/>
      <c r="M41" s="2334"/>
      <c r="N41" s="2334"/>
      <c r="O41" s="2334"/>
      <c r="P41" s="2334"/>
      <c r="Q41" s="2334"/>
      <c r="R41" s="2334"/>
      <c r="S41" s="2334"/>
      <c r="T41" s="2332"/>
      <c r="U41" s="2332"/>
      <c r="V41" s="2332"/>
      <c r="W41" s="2332"/>
      <c r="X41" s="2332"/>
      <c r="Y41" s="2332"/>
      <c r="Z41" s="2332"/>
      <c r="AA41" s="2434" t="str">
        <f>D41&amp;"a"</f>
        <v>9a</v>
      </c>
      <c r="AB41" s="3779">
        <f>IF(AL41="",Dividend_Inc,AL41)</f>
        <v>0</v>
      </c>
      <c r="AC41" s="3780"/>
      <c r="AD41" s="3780"/>
      <c r="AE41" s="3780"/>
      <c r="AF41" s="3780"/>
      <c r="AG41" s="476"/>
      <c r="AH41" s="1042"/>
      <c r="AI41" s="565"/>
      <c r="AJ41" s="14"/>
      <c r="AK41" s="14"/>
      <c r="AL41" s="550"/>
      <c r="AM41" s="68"/>
      <c r="AN41" s="1466"/>
      <c r="AO41" s="68"/>
      <c r="AP41" s="68"/>
      <c r="AQ41" s="68"/>
      <c r="AR41" s="68"/>
      <c r="AS41" s="68"/>
      <c r="AT41" s="68"/>
      <c r="AU41" s="68"/>
      <c r="AV41" s="68"/>
      <c r="AW41" s="68"/>
      <c r="AX41" s="68"/>
    </row>
    <row r="42" spans="1:53" ht="14.25" customHeight="1">
      <c r="A42" s="942"/>
      <c r="B42" s="73" t="s">
        <v>34</v>
      </c>
      <c r="C42" s="73"/>
      <c r="D42" s="2331"/>
      <c r="E42" s="2336" t="s">
        <v>85</v>
      </c>
      <c r="F42" s="2333" t="s">
        <v>836</v>
      </c>
      <c r="G42" s="2338"/>
      <c r="H42" s="2338"/>
      <c r="I42" s="2338"/>
      <c r="J42" s="2338"/>
      <c r="K42" s="2338"/>
      <c r="L42" s="2338"/>
      <c r="M42" s="2338"/>
      <c r="N42" s="2338"/>
      <c r="O42" s="2338"/>
      <c r="P42" s="2338"/>
      <c r="Q42" s="2338"/>
      <c r="R42" s="2338"/>
      <c r="S42" s="2449" t="s">
        <v>541</v>
      </c>
      <c r="T42" s="2434" t="str">
        <f>D41&amp;"b"</f>
        <v>9b</v>
      </c>
      <c r="U42" s="2435"/>
      <c r="V42" s="3928"/>
      <c r="W42" s="3928"/>
      <c r="X42" s="3928"/>
      <c r="Y42" s="3928"/>
      <c r="Z42" s="2436"/>
      <c r="AA42" s="2322"/>
      <c r="AB42" s="351"/>
      <c r="AC42" s="351"/>
      <c r="AD42" s="351"/>
      <c r="AE42" s="351"/>
      <c r="AF42" s="351"/>
      <c r="AG42" s="475"/>
      <c r="AH42" s="1039"/>
      <c r="AI42" s="14"/>
      <c r="AJ42" s="14"/>
      <c r="AK42" s="14"/>
      <c r="AL42" s="551"/>
      <c r="AM42" s="68"/>
      <c r="AN42" s="456"/>
      <c r="AO42" s="68"/>
      <c r="AP42" s="68"/>
      <c r="AQ42" s="68"/>
      <c r="AR42" s="68"/>
      <c r="AS42" s="68"/>
      <c r="AT42" s="68"/>
      <c r="AU42" s="68"/>
      <c r="AV42" s="68"/>
      <c r="AW42" s="68"/>
      <c r="AX42" s="68"/>
    </row>
    <row r="43" spans="1:53" ht="14.25" customHeight="1">
      <c r="A43" s="942"/>
      <c r="B43" s="73" t="s">
        <v>35</v>
      </c>
      <c r="C43" s="73"/>
      <c r="D43" s="2331">
        <f>D41+1</f>
        <v>10</v>
      </c>
      <c r="E43" s="2332"/>
      <c r="F43" s="2333" t="s">
        <v>837</v>
      </c>
      <c r="G43" s="2334"/>
      <c r="H43" s="2334"/>
      <c r="I43" s="2334"/>
      <c r="J43" s="2334"/>
      <c r="K43" s="2334"/>
      <c r="L43" s="2334"/>
      <c r="M43" s="2334"/>
      <c r="N43" s="2334"/>
      <c r="O43" s="2334"/>
      <c r="P43" s="2334"/>
      <c r="Q43" s="2334"/>
      <c r="R43" s="2334"/>
      <c r="S43" s="2334"/>
      <c r="T43" s="2332"/>
      <c r="U43" s="2332"/>
      <c r="V43" s="2332"/>
      <c r="W43" s="2332"/>
      <c r="X43" s="2332"/>
      <c r="Y43" s="2332"/>
      <c r="Z43" s="2332"/>
      <c r="AA43" s="2448">
        <f>D43</f>
        <v>10</v>
      </c>
      <c r="AB43" s="3779" t="str">
        <f>IF(AL43&lt;&gt;"",AL43,State_Local_Tax_Refund)</f>
        <v/>
      </c>
      <c r="AC43" s="3780"/>
      <c r="AD43" s="3780"/>
      <c r="AE43" s="3780"/>
      <c r="AF43" s="3780"/>
      <c r="AG43" s="476"/>
      <c r="AH43" s="1042"/>
      <c r="AI43" s="620" t="str">
        <f>IF(AND($AL$46="",$X$46),"Enter","")</f>
        <v/>
      </c>
      <c r="AJ43" s="14"/>
      <c r="AK43" s="14"/>
      <c r="AL43" s="550"/>
      <c r="AM43" s="68"/>
      <c r="AN43" s="1466"/>
      <c r="AO43" s="68"/>
      <c r="AP43" s="68"/>
      <c r="AQ43" s="68"/>
      <c r="AR43" s="68"/>
      <c r="AS43" s="68"/>
      <c r="AT43" s="68"/>
      <c r="AU43" s="68"/>
      <c r="AV43" s="68"/>
      <c r="AW43" s="68"/>
      <c r="AX43" s="68"/>
    </row>
    <row r="44" spans="1:53" ht="14.25" customHeight="1">
      <c r="A44" s="942"/>
      <c r="B44" s="73" t="s">
        <v>36</v>
      </c>
      <c r="C44" s="73"/>
      <c r="D44" s="2341">
        <f>D43+1</f>
        <v>11</v>
      </c>
      <c r="E44" s="2342"/>
      <c r="F44" s="2343" t="s">
        <v>807</v>
      </c>
      <c r="G44" s="2334"/>
      <c r="H44" s="2334"/>
      <c r="I44" s="2334"/>
      <c r="J44" s="2334"/>
      <c r="K44" s="2334"/>
      <c r="L44" s="2334"/>
      <c r="M44" s="2334"/>
      <c r="N44" s="2334"/>
      <c r="O44" s="2334"/>
      <c r="P44" s="2334"/>
      <c r="Q44" s="2334"/>
      <c r="R44" s="2334"/>
      <c r="S44" s="2334"/>
      <c r="T44" s="2332"/>
      <c r="U44" s="2332"/>
      <c r="V44" s="2332"/>
      <c r="W44" s="2332"/>
      <c r="X44" s="2332"/>
      <c r="Y44" s="2332"/>
      <c r="Z44" s="2332"/>
      <c r="AA44" s="2448">
        <f>D44</f>
        <v>11</v>
      </c>
      <c r="AB44" s="3931"/>
      <c r="AC44" s="3932"/>
      <c r="AD44" s="3932"/>
      <c r="AE44" s="3932"/>
      <c r="AF44" s="3932"/>
      <c r="AG44" s="476"/>
      <c r="AH44" s="1042"/>
      <c r="AI44" s="620" t="str">
        <f>IF(AND($AL$46="",$X$46),"capital","")</f>
        <v/>
      </c>
      <c r="AJ44" s="14"/>
      <c r="AK44" s="14"/>
      <c r="AL44" s="551"/>
      <c r="AM44" s="68"/>
      <c r="AN44" s="456"/>
      <c r="AO44" s="68"/>
      <c r="AP44" s="68"/>
      <c r="AQ44" s="68"/>
      <c r="AR44" s="68"/>
      <c r="AS44" s="68"/>
      <c r="AT44" s="68"/>
      <c r="AU44" s="68"/>
      <c r="AV44" s="68"/>
      <c r="AW44" s="68"/>
      <c r="AX44" s="68"/>
    </row>
    <row r="45" spans="1:53" ht="14.25" customHeight="1" thickBot="1">
      <c r="A45" s="942"/>
      <c r="B45" s="73" t="s">
        <v>37</v>
      </c>
      <c r="C45" s="73"/>
      <c r="D45" s="2341">
        <f t="shared" ref="D45:D57" si="0">D44+1</f>
        <v>12</v>
      </c>
      <c r="E45" s="2342"/>
      <c r="F45" s="2343" t="s">
        <v>364</v>
      </c>
      <c r="G45" s="2334"/>
      <c r="H45" s="2334"/>
      <c r="I45" s="2334"/>
      <c r="J45" s="2334"/>
      <c r="K45" s="2334"/>
      <c r="L45" s="2334"/>
      <c r="M45" s="2334"/>
      <c r="N45" s="2334"/>
      <c r="O45" s="2334"/>
      <c r="P45" s="2334"/>
      <c r="Q45" s="2334"/>
      <c r="R45" s="2334"/>
      <c r="S45" s="2334"/>
      <c r="T45" s="2332"/>
      <c r="U45" s="2332"/>
      <c r="V45" s="2332"/>
      <c r="W45" s="2332"/>
      <c r="X45" s="2332"/>
      <c r="Y45" s="2332"/>
      <c r="Z45" s="2332"/>
      <c r="AA45" s="2448">
        <f>D45</f>
        <v>12</v>
      </c>
      <c r="AB45" s="3781">
        <f>IF(AL45&lt;&gt;"",AL45,Business_Profit)</f>
        <v>0</v>
      </c>
      <c r="AC45" s="3782"/>
      <c r="AD45" s="3782"/>
      <c r="AE45" s="3782"/>
      <c r="AF45" s="3782"/>
      <c r="AG45" s="476"/>
      <c r="AH45" s="1042"/>
      <c r="AI45" s="620" t="str">
        <f>IF(AND($AL$46="",$X$46),"gain","")</f>
        <v/>
      </c>
      <c r="AJ45" s="14"/>
      <c r="AK45" s="14"/>
      <c r="AL45" s="550"/>
      <c r="AM45" s="68"/>
      <c r="AN45" s="1466"/>
      <c r="AO45" s="68"/>
      <c r="AP45" s="68"/>
      <c r="AQ45" s="68"/>
      <c r="AR45" s="68"/>
      <c r="AS45" s="68"/>
      <c r="AT45" s="68"/>
      <c r="AU45" s="68"/>
      <c r="AV45" s="68"/>
      <c r="AW45" s="68"/>
      <c r="AX45" s="68"/>
    </row>
    <row r="46" spans="1:53" ht="14.25" customHeight="1" thickBot="1">
      <c r="A46" s="942"/>
      <c r="B46" s="401"/>
      <c r="C46" s="47"/>
      <c r="D46" s="2341">
        <f t="shared" si="0"/>
        <v>13</v>
      </c>
      <c r="E46" s="2344"/>
      <c r="F46" s="3032" t="s">
        <v>887</v>
      </c>
      <c r="G46" s="2334"/>
      <c r="H46" s="2334"/>
      <c r="I46" s="2334"/>
      <c r="J46" s="2334"/>
      <c r="K46" s="2334"/>
      <c r="L46" s="2334"/>
      <c r="M46" s="2334"/>
      <c r="N46" s="2334"/>
      <c r="O46" s="2334"/>
      <c r="P46" s="2334"/>
      <c r="Q46" s="2334"/>
      <c r="R46" s="2334"/>
      <c r="S46" s="2334"/>
      <c r="T46" s="2332"/>
      <c r="U46" s="2332"/>
      <c r="V46" s="2437"/>
      <c r="W46" s="2437"/>
      <c r="X46" s="3361" t="b">
        <f>IF(AND(SchD_NotReqd&lt;&gt;"",AL46=""),TRUE,FALSE)</f>
        <v>0</v>
      </c>
      <c r="Y46" s="2299"/>
      <c r="Z46" s="2332"/>
      <c r="AA46" s="2448">
        <f>D46</f>
        <v>13</v>
      </c>
      <c r="AB46" s="3781">
        <f>IF(OR(SchD_NotReqd&lt;&gt;"",AL46&lt;&gt;""),AL46,IF('Sch. D'!A60,'Sch. D'!N58,IF('Sch. D'!A64,0,'Sch. D'!N87)))</f>
        <v>0</v>
      </c>
      <c r="AC46" s="3782"/>
      <c r="AD46" s="3782"/>
      <c r="AE46" s="3782"/>
      <c r="AF46" s="3782"/>
      <c r="AG46" s="476"/>
      <c r="AH46" s="1042"/>
      <c r="AI46" s="620" t="str">
        <f>IF(AND($AL$46="",$X$46),"here","")</f>
        <v/>
      </c>
      <c r="AJ46" s="14"/>
      <c r="AK46" s="566" t="str">
        <f>IF(AND($AL$46="",$X$46),"®","")</f>
        <v/>
      </c>
      <c r="AL46" s="550"/>
      <c r="AM46" s="68"/>
      <c r="AN46" s="1466"/>
      <c r="AO46" s="68"/>
      <c r="AP46" s="68"/>
      <c r="AQ46" s="68"/>
      <c r="AR46" s="68"/>
      <c r="AS46" s="68"/>
      <c r="AT46" s="68"/>
      <c r="AU46" s="68"/>
      <c r="AV46" s="68"/>
      <c r="AW46" s="68"/>
      <c r="AX46" s="68"/>
    </row>
    <row r="47" spans="1:53" ht="14.25" customHeight="1">
      <c r="A47" s="942"/>
      <c r="B47" s="381" t="s">
        <v>667</v>
      </c>
      <c r="C47" s="47"/>
      <c r="D47" s="2341">
        <f t="shared" si="0"/>
        <v>14</v>
      </c>
      <c r="E47" s="2342"/>
      <c r="F47" s="2343" t="s">
        <v>321</v>
      </c>
      <c r="G47" s="2334"/>
      <c r="H47" s="2334"/>
      <c r="I47" s="2334"/>
      <c r="J47" s="2334"/>
      <c r="K47" s="2334"/>
      <c r="L47" s="2334"/>
      <c r="M47" s="2334"/>
      <c r="N47" s="2334"/>
      <c r="O47" s="2334"/>
      <c r="P47" s="2334"/>
      <c r="Q47" s="2334"/>
      <c r="R47" s="2334"/>
      <c r="S47" s="2334"/>
      <c r="T47" s="2438"/>
      <c r="U47" s="2438"/>
      <c r="V47" s="2332"/>
      <c r="W47" s="2332"/>
      <c r="X47" s="2332"/>
      <c r="Y47" s="2332"/>
      <c r="Z47" s="2332"/>
      <c r="AA47" s="2448">
        <f>D47</f>
        <v>14</v>
      </c>
      <c r="AB47" s="3931"/>
      <c r="AC47" s="3932"/>
      <c r="AD47" s="3932"/>
      <c r="AE47" s="3932"/>
      <c r="AF47" s="3932"/>
      <c r="AG47" s="476"/>
      <c r="AH47" s="1039"/>
      <c r="AI47" s="3981" t="str">
        <f>IF($AH$49,"Line 16a is blank","")</f>
        <v/>
      </c>
      <c r="AJ47" s="3982"/>
      <c r="AK47" s="3982"/>
      <c r="AL47" s="552" t="str">
        <f>"Line "&amp;N48&amp;" &amp; "&amp;N49</f>
        <v>Line 15a &amp; 16a</v>
      </c>
      <c r="AM47" s="436" t="str">
        <f>"Line "&amp;AA48&amp;"&amp; "&amp;AA49</f>
        <v>Line 15b&amp; 16b</v>
      </c>
      <c r="AN47" s="1467"/>
      <c r="AO47" s="68"/>
      <c r="AP47" s="68"/>
      <c r="AQ47" s="68"/>
      <c r="AR47" s="68"/>
      <c r="AS47" s="68"/>
      <c r="AT47" s="68"/>
      <c r="AU47" s="68"/>
      <c r="AV47" s="68"/>
      <c r="AW47" s="68"/>
      <c r="AX47" s="68"/>
    </row>
    <row r="48" spans="1:53" ht="14.25" customHeight="1">
      <c r="A48" s="942"/>
      <c r="B48" s="47" t="s">
        <v>788</v>
      </c>
      <c r="C48" s="47"/>
      <c r="D48" s="2341">
        <f t="shared" si="0"/>
        <v>15</v>
      </c>
      <c r="E48" s="2336" t="s">
        <v>62</v>
      </c>
      <c r="F48" s="2333" t="s">
        <v>494</v>
      </c>
      <c r="G48" s="2334"/>
      <c r="H48" s="2334"/>
      <c r="I48" s="2334"/>
      <c r="J48" s="2334"/>
      <c r="K48" s="3734"/>
      <c r="L48" s="3735"/>
      <c r="M48" s="3736"/>
      <c r="N48" s="2439" t="str">
        <f>D48&amp;"a"</f>
        <v>15a</v>
      </c>
      <c r="O48" s="3730">
        <f>IF(AL48&lt;&gt;"",AL48,IF('1099-R'!D44=0,0,ROUND('1099-R'!D44,0)))</f>
        <v>0</v>
      </c>
      <c r="P48" s="3731"/>
      <c r="Q48" s="3732"/>
      <c r="R48" s="3733"/>
      <c r="S48" s="2443"/>
      <c r="T48" s="2444" t="s">
        <v>1095</v>
      </c>
      <c r="U48" s="2445" t="s">
        <v>888</v>
      </c>
      <c r="V48" s="2334"/>
      <c r="W48" s="2334"/>
      <c r="X48" s="2334"/>
      <c r="Y48" s="2403"/>
      <c r="Z48" s="2446"/>
      <c r="AA48" s="2434" t="str">
        <f>D48&amp;"b"</f>
        <v>15b</v>
      </c>
      <c r="AB48" s="3781">
        <f>IF(AM48&lt;&gt;"",AM48,ROUND(IRA_Taxable,0))</f>
        <v>0</v>
      </c>
      <c r="AC48" s="3933"/>
      <c r="AD48" s="3933"/>
      <c r="AE48" s="3933"/>
      <c r="AF48" s="3933"/>
      <c r="AG48" s="477"/>
      <c r="AH48" s="1040"/>
      <c r="AI48" s="3981" t="str">
        <f>IF($AH$49,"per instructions.","")</f>
        <v/>
      </c>
      <c r="AJ48" s="3982"/>
      <c r="AK48" s="3982"/>
      <c r="AL48" s="2239"/>
      <c r="AM48" s="3359"/>
      <c r="AN48" s="456"/>
      <c r="AO48" s="68"/>
      <c r="AP48" s="68"/>
      <c r="AQ48" s="68"/>
      <c r="AR48" s="68"/>
      <c r="AS48" s="68"/>
      <c r="AT48" s="68"/>
      <c r="AU48" s="68"/>
      <c r="AV48" s="68"/>
      <c r="AW48" s="68"/>
      <c r="AX48" s="68"/>
    </row>
    <row r="49" spans="1:50" ht="14.25" customHeight="1">
      <c r="A49" s="942"/>
      <c r="B49" s="47" t="s">
        <v>935</v>
      </c>
      <c r="C49" s="47"/>
      <c r="D49" s="2341">
        <f t="shared" si="0"/>
        <v>16</v>
      </c>
      <c r="E49" s="2336" t="s">
        <v>62</v>
      </c>
      <c r="F49" s="2345" t="s">
        <v>709</v>
      </c>
      <c r="G49" s="2334"/>
      <c r="H49" s="2334"/>
      <c r="I49" s="2334"/>
      <c r="J49" s="2334"/>
      <c r="K49" s="3734"/>
      <c r="L49" s="3735"/>
      <c r="M49" s="3736"/>
      <c r="N49" s="2439" t="str">
        <f>D49&amp;"a"</f>
        <v>16a</v>
      </c>
      <c r="O49" s="3897">
        <f>IF(AL49&lt;&gt;"",AL49,IF('1099-R'!E44=0,0,IF(AH49,"",AI49)))</f>
        <v>0</v>
      </c>
      <c r="P49" s="3898"/>
      <c r="Q49" s="3899"/>
      <c r="R49" s="3900"/>
      <c r="S49" s="2447"/>
      <c r="T49" s="2444" t="s">
        <v>1095</v>
      </c>
      <c r="U49" s="2445" t="s">
        <v>888</v>
      </c>
      <c r="V49" s="2334"/>
      <c r="W49" s="2334"/>
      <c r="X49" s="2334"/>
      <c r="Y49" s="2403"/>
      <c r="Z49" s="2446"/>
      <c r="AA49" s="2434" t="str">
        <f>D49&amp;"b"</f>
        <v>16b</v>
      </c>
      <c r="AB49" s="3781">
        <f>IF(AM49&lt;&gt;"",AM49,ROUND(MIN('1099-R'!E45,Pension_taxable),0))</f>
        <v>0</v>
      </c>
      <c r="AC49" s="3885"/>
      <c r="AD49" s="3885"/>
      <c r="AE49" s="3885"/>
      <c r="AF49" s="3885"/>
      <c r="AG49" s="478"/>
      <c r="AH49" s="3642" t="b">
        <f>IF(AND('1099-R'!E44&lt;&gt;0,'1099-R'!E44='1099-R'!E45),TRUE,FALSE)</f>
        <v>0</v>
      </c>
      <c r="AI49" s="3974">
        <f>IF(AL49&lt;&gt;"",AL49,IF('1099-R'!E44=0,0,IF('1099-R'!E44=0,0,ROUND('1099-R'!E44,0))))</f>
        <v>0</v>
      </c>
      <c r="AJ49" s="3975"/>
      <c r="AK49" s="3976"/>
      <c r="AL49" s="2239"/>
      <c r="AM49" s="2239"/>
      <c r="AN49" s="1466"/>
      <c r="AO49" s="68"/>
      <c r="AP49" s="68"/>
      <c r="AQ49" s="68"/>
      <c r="AR49" s="68"/>
      <c r="AS49" s="68"/>
      <c r="AT49" s="68"/>
      <c r="AU49" s="68"/>
      <c r="AV49" s="68"/>
      <c r="AW49" s="68"/>
      <c r="AX49" s="68"/>
    </row>
    <row r="50" spans="1:50" ht="14.25" customHeight="1">
      <c r="A50" s="942"/>
      <c r="B50" s="401"/>
      <c r="C50" s="47"/>
      <c r="D50" s="2341">
        <f t="shared" si="0"/>
        <v>17</v>
      </c>
      <c r="E50" s="2332"/>
      <c r="F50" s="2333" t="s">
        <v>1078</v>
      </c>
      <c r="G50" s="2334"/>
      <c r="H50" s="2334"/>
      <c r="I50" s="2334"/>
      <c r="J50" s="2334"/>
      <c r="K50" s="2334"/>
      <c r="L50" s="2334"/>
      <c r="M50" s="2334"/>
      <c r="N50" s="2334"/>
      <c r="O50" s="2440"/>
      <c r="P50" s="2440"/>
      <c r="Q50" s="2440"/>
      <c r="R50" s="2440"/>
      <c r="S50" s="2331"/>
      <c r="T50" s="2440"/>
      <c r="U50" s="2440"/>
      <c r="V50" s="2440"/>
      <c r="W50" s="2440"/>
      <c r="X50" s="2440"/>
      <c r="Y50" s="2440"/>
      <c r="Z50" s="2440"/>
      <c r="AA50" s="2433">
        <f>D50</f>
        <v>17</v>
      </c>
      <c r="AB50" s="3907">
        <f>IF(AL50&lt;&gt;"",AL50,IF(SchE2_Completed,SUM(SchE1_Line26,SchE2_Line32,SchE2_Line37,SchE2_Line39,SchE2_Line40),SchE1_Line26))</f>
        <v>0</v>
      </c>
      <c r="AC50" s="3908"/>
      <c r="AD50" s="3908"/>
      <c r="AE50" s="3908"/>
      <c r="AF50" s="3908"/>
      <c r="AG50" s="473"/>
      <c r="AH50" s="1039"/>
      <c r="AI50" s="14"/>
      <c r="AJ50" s="14"/>
      <c r="AK50" s="14"/>
      <c r="AL50" s="2239"/>
      <c r="AM50" s="3125"/>
      <c r="AN50" s="3125"/>
      <c r="AO50" s="68"/>
      <c r="AP50" s="68"/>
      <c r="AQ50" s="68"/>
      <c r="AR50" s="68"/>
      <c r="AS50" s="68"/>
      <c r="AT50" s="68"/>
      <c r="AU50" s="68"/>
      <c r="AV50" s="68"/>
      <c r="AW50" s="68"/>
      <c r="AX50" s="68"/>
    </row>
    <row r="51" spans="1:50" ht="14.25" customHeight="1">
      <c r="A51" s="942"/>
      <c r="B51" s="47"/>
      <c r="C51" s="47"/>
      <c r="D51" s="2341">
        <f t="shared" si="0"/>
        <v>18</v>
      </c>
      <c r="E51" s="2332"/>
      <c r="F51" s="2333" t="s">
        <v>766</v>
      </c>
      <c r="G51" s="2334"/>
      <c r="H51" s="2334"/>
      <c r="I51" s="2334"/>
      <c r="J51" s="2334"/>
      <c r="K51" s="2334"/>
      <c r="L51" s="2334"/>
      <c r="M51" s="2334"/>
      <c r="N51" s="2334"/>
      <c r="O51" s="2440"/>
      <c r="P51" s="2440"/>
      <c r="Q51" s="2440"/>
      <c r="R51" s="2440"/>
      <c r="S51" s="2331"/>
      <c r="T51" s="2440"/>
      <c r="U51" s="2440"/>
      <c r="V51" s="2440"/>
      <c r="W51" s="2440"/>
      <c r="X51" s="2440"/>
      <c r="Y51" s="2440"/>
      <c r="Z51" s="2440"/>
      <c r="AA51" s="2433">
        <f>D51</f>
        <v>18</v>
      </c>
      <c r="AB51" s="3907">
        <f>IF(AL51&lt;&gt;"",AL51,FarmProfitNet)</f>
        <v>0</v>
      </c>
      <c r="AC51" s="3908"/>
      <c r="AD51" s="3908"/>
      <c r="AE51" s="3908"/>
      <c r="AF51" s="3908"/>
      <c r="AG51" s="473"/>
      <c r="AH51" s="1039"/>
      <c r="AI51" s="14"/>
      <c r="AJ51" s="14"/>
      <c r="AK51" s="14"/>
      <c r="AL51" s="2239"/>
      <c r="AM51" s="68"/>
      <c r="AN51" s="456"/>
      <c r="AO51" s="68"/>
      <c r="AP51" s="68"/>
      <c r="AQ51" s="68"/>
      <c r="AR51" s="68"/>
      <c r="AS51" s="68"/>
      <c r="AT51" s="68"/>
      <c r="AU51" s="68"/>
      <c r="AV51" s="68"/>
      <c r="AW51" s="68"/>
      <c r="AX51" s="68"/>
    </row>
    <row r="52" spans="1:50" ht="14.25" customHeight="1">
      <c r="A52" s="942"/>
      <c r="B52" s="47"/>
      <c r="C52" s="47"/>
      <c r="D52" s="2341">
        <f t="shared" si="0"/>
        <v>19</v>
      </c>
      <c r="E52" s="2332"/>
      <c r="F52" s="2333" t="s">
        <v>850</v>
      </c>
      <c r="G52" s="2334"/>
      <c r="H52" s="2334"/>
      <c r="I52" s="2334"/>
      <c r="J52" s="2334"/>
      <c r="K52" s="2334"/>
      <c r="L52" s="2334"/>
      <c r="M52" s="2334"/>
      <c r="N52" s="2334"/>
      <c r="O52" s="2346"/>
      <c r="P52" s="2346"/>
      <c r="Q52" s="2346"/>
      <c r="R52" s="2346"/>
      <c r="S52" s="2441"/>
      <c r="T52" s="2440"/>
      <c r="U52" s="2442"/>
      <c r="V52" s="2440"/>
      <c r="W52" s="2440"/>
      <c r="X52" s="2440"/>
      <c r="Y52" s="2440"/>
      <c r="Z52" s="2440"/>
      <c r="AA52" s="2433">
        <f>D52</f>
        <v>19</v>
      </c>
      <c r="AB52" s="3931"/>
      <c r="AC52" s="3932"/>
      <c r="AD52" s="3932"/>
      <c r="AE52" s="3932"/>
      <c r="AF52" s="3812"/>
      <c r="AG52" s="473"/>
      <c r="AH52" s="1039"/>
      <c r="AI52" s="14"/>
      <c r="AJ52" s="14"/>
      <c r="AK52" s="14"/>
      <c r="AL52" s="552" t="str">
        <f>"Line "&amp;N53</f>
        <v>Line 20a</v>
      </c>
      <c r="AM52" s="436" t="str">
        <f>"Line "&amp;AA53</f>
        <v>Line 20b</v>
      </c>
      <c r="AN52" s="1467"/>
      <c r="AO52" s="68"/>
      <c r="AP52" s="68"/>
      <c r="AQ52" s="68"/>
      <c r="AR52" s="68"/>
      <c r="AS52" s="68"/>
      <c r="AW52" s="68"/>
      <c r="AX52" s="68"/>
    </row>
    <row r="53" spans="1:50" ht="14.25" customHeight="1">
      <c r="A53" s="942"/>
      <c r="B53" s="47"/>
      <c r="C53" s="47"/>
      <c r="D53" s="2341">
        <f t="shared" si="0"/>
        <v>20</v>
      </c>
      <c r="E53" s="2336" t="s">
        <v>62</v>
      </c>
      <c r="F53" s="2333" t="s">
        <v>557</v>
      </c>
      <c r="G53" s="2334"/>
      <c r="H53" s="2334"/>
      <c r="I53" s="2334"/>
      <c r="J53" s="2334"/>
      <c r="K53" s="2346" t="str">
        <f>IF(AND(File_Marr_Sep&lt;&gt;"",LivedApart="X"),"D","")</f>
        <v/>
      </c>
      <c r="L53" s="2346"/>
      <c r="M53" s="2346"/>
      <c r="N53" s="2439" t="str">
        <f>D53&amp;"a"</f>
        <v>20a</v>
      </c>
      <c r="O53" s="3730">
        <f>IF(AL53&lt;&gt;"",AL53,ROUND('Line 20'!G15,0))</f>
        <v>0</v>
      </c>
      <c r="P53" s="3731"/>
      <c r="Q53" s="3732"/>
      <c r="R53" s="3733"/>
      <c r="S53" s="2331"/>
      <c r="T53" s="2403" t="s">
        <v>1095</v>
      </c>
      <c r="U53" s="2445" t="s">
        <v>888</v>
      </c>
      <c r="V53" s="2334"/>
      <c r="W53" s="2334"/>
      <c r="X53" s="2334"/>
      <c r="Y53" s="2449"/>
      <c r="Z53" s="2399"/>
      <c r="AA53" s="2434" t="str">
        <f>D53&amp;"b"</f>
        <v>20b</v>
      </c>
      <c r="AB53" s="3977">
        <f>IF(AM53&lt;&gt;"",AM53,IF(ISERROR(ROUND(Tax_SS_Benefits,0)),"See 'Line 20'.",ROUND(Tax_SS_Benefits,0)))</f>
        <v>0</v>
      </c>
      <c r="AC53" s="3978"/>
      <c r="AD53" s="3978"/>
      <c r="AE53" s="3978"/>
      <c r="AF53" s="3978"/>
      <c r="AG53" s="477"/>
      <c r="AH53" s="1040"/>
      <c r="AI53" s="22"/>
      <c r="AJ53" s="22"/>
      <c r="AK53" s="22"/>
      <c r="AL53" s="550"/>
      <c r="AM53" s="600"/>
      <c r="AN53" s="1466"/>
      <c r="AO53" s="68"/>
      <c r="AP53" s="68"/>
      <c r="AQ53" s="68"/>
      <c r="AR53" s="68"/>
      <c r="AS53" s="68"/>
      <c r="AT53" s="68"/>
      <c r="AU53" s="68"/>
      <c r="AV53" s="68"/>
      <c r="AW53" s="68"/>
      <c r="AX53" s="68"/>
    </row>
    <row r="54" spans="1:50" ht="14.25" customHeight="1">
      <c r="A54" s="942"/>
      <c r="B54" s="47"/>
      <c r="C54" s="73"/>
      <c r="D54" s="2341">
        <f t="shared" si="0"/>
        <v>21</v>
      </c>
      <c r="E54" s="2336"/>
      <c r="F54" s="2333" t="s">
        <v>851</v>
      </c>
      <c r="G54" s="2334"/>
      <c r="H54" s="2334"/>
      <c r="I54" s="2334"/>
      <c r="J54" s="2334"/>
      <c r="K54" s="2334"/>
      <c r="L54" s="2334"/>
      <c r="M54" s="2334"/>
      <c r="N54" s="2334"/>
      <c r="O54" s="3926"/>
      <c r="P54" s="3926"/>
      <c r="Q54" s="3927"/>
      <c r="R54" s="3927"/>
      <c r="S54" s="3927"/>
      <c r="T54" s="3927"/>
      <c r="U54" s="3927"/>
      <c r="V54" s="3927"/>
      <c r="W54" s="3927"/>
      <c r="X54" s="3927"/>
      <c r="Y54" s="3927"/>
      <c r="Z54" s="2450"/>
      <c r="AA54" s="2433">
        <f>D54</f>
        <v>21</v>
      </c>
      <c r="AB54" s="3931"/>
      <c r="AC54" s="3932"/>
      <c r="AD54" s="3932"/>
      <c r="AE54" s="3932"/>
      <c r="AF54" s="3932"/>
      <c r="AG54" s="473"/>
      <c r="AH54" s="1039"/>
      <c r="AI54" s="14"/>
      <c r="AJ54" s="14"/>
      <c r="AK54" s="14"/>
      <c r="AL54" s="551"/>
      <c r="AM54" s="68"/>
      <c r="AN54" s="456"/>
      <c r="AO54" s="68"/>
      <c r="AP54" s="68"/>
      <c r="AQ54" s="68"/>
      <c r="AR54" s="68"/>
      <c r="AS54" s="68"/>
      <c r="AT54" s="68"/>
      <c r="AU54" s="68"/>
      <c r="AV54" s="68"/>
      <c r="AW54" s="68"/>
      <c r="AX54" s="68"/>
    </row>
    <row r="55" spans="1:50" ht="14.25" customHeight="1">
      <c r="A55" s="942"/>
      <c r="B55" s="66"/>
      <c r="C55" s="66"/>
      <c r="D55" s="2347">
        <f t="shared" si="0"/>
        <v>22</v>
      </c>
      <c r="E55" s="2348"/>
      <c r="F55" s="2349" t="s">
        <v>910</v>
      </c>
      <c r="G55" s="2350"/>
      <c r="H55" s="2350"/>
      <c r="I55" s="2350"/>
      <c r="J55" s="2350"/>
      <c r="K55" s="2350"/>
      <c r="L55" s="2350"/>
      <c r="M55" s="2350"/>
      <c r="N55" s="2350"/>
      <c r="O55" s="2350"/>
      <c r="P55" s="2350"/>
      <c r="Q55" s="2350"/>
      <c r="R55" s="2350"/>
      <c r="S55" s="2406"/>
      <c r="T55" s="3901" t="s">
        <v>562</v>
      </c>
      <c r="U55" s="3754"/>
      <c r="V55" s="3754"/>
      <c r="W55" s="3754"/>
      <c r="X55" s="3754"/>
      <c r="Y55" s="3754"/>
      <c r="Z55" s="2451"/>
      <c r="AA55" s="2433">
        <f>D55</f>
        <v>22</v>
      </c>
      <c r="AB55" s="3781">
        <f>IF(AL55&lt;&gt;"",AL55,ROUND(SUM(Wages,AB39,AB41,AB43,AB44,AB45,AB46,AB47,AB48,AB49,AB50,AB51,AB52,AB53,AB54),0))</f>
        <v>0</v>
      </c>
      <c r="AC55" s="3782"/>
      <c r="AD55" s="3782"/>
      <c r="AE55" s="3782"/>
      <c r="AF55" s="3782"/>
      <c r="AG55" s="476"/>
      <c r="AH55" s="1039"/>
      <c r="AI55" s="14"/>
      <c r="AJ55" s="14"/>
      <c r="AK55" s="14"/>
      <c r="AL55" s="550"/>
      <c r="AM55" s="567"/>
      <c r="AN55" s="1466"/>
      <c r="AO55" s="68"/>
      <c r="AP55" s="68"/>
      <c r="AQ55" s="68"/>
      <c r="AR55" s="68"/>
      <c r="AS55" s="68"/>
      <c r="AT55" s="68"/>
      <c r="AU55" s="68"/>
      <c r="AV55" s="68"/>
      <c r="AW55" s="68"/>
      <c r="AX55" s="68"/>
    </row>
    <row r="56" spans="1:50" ht="14.25" customHeight="1">
      <c r="A56" s="942"/>
      <c r="B56" s="401"/>
      <c r="C56" s="487"/>
      <c r="D56" s="2341">
        <f t="shared" si="0"/>
        <v>23</v>
      </c>
      <c r="E56" s="2332"/>
      <c r="F56" s="2452" t="s">
        <v>1556</v>
      </c>
      <c r="G56" s="2334"/>
      <c r="H56" s="2334"/>
      <c r="I56" s="2334"/>
      <c r="J56" s="2334"/>
      <c r="K56" s="2334"/>
      <c r="L56" s="2334"/>
      <c r="M56" s="2334"/>
      <c r="N56" s="2334"/>
      <c r="O56" s="2334"/>
      <c r="P56" s="2334"/>
      <c r="Q56" s="2334"/>
      <c r="R56" s="2334"/>
      <c r="S56" s="2453"/>
      <c r="T56" s="2454">
        <f t="shared" ref="T56:T63" si="1">D56</f>
        <v>23</v>
      </c>
      <c r="U56" s="2575"/>
      <c r="V56" s="3737"/>
      <c r="W56" s="3737"/>
      <c r="X56" s="3737"/>
      <c r="Y56" s="3737"/>
      <c r="Z56" s="2576"/>
      <c r="AA56" s="693"/>
      <c r="AB56" s="691"/>
      <c r="AC56" s="691"/>
      <c r="AD56" s="691"/>
      <c r="AE56" s="691"/>
      <c r="AF56" s="691"/>
      <c r="AG56" s="692"/>
      <c r="AH56" s="1039"/>
      <c r="AI56" s="14"/>
      <c r="AJ56" s="14"/>
      <c r="AK56" s="14"/>
      <c r="AL56" s="551"/>
      <c r="AM56" s="68"/>
      <c r="AN56" s="1466"/>
      <c r="AO56" s="68"/>
      <c r="AP56" s="68"/>
      <c r="AQ56" s="68"/>
      <c r="AR56" s="68"/>
      <c r="AS56" s="68"/>
      <c r="AT56" s="68"/>
      <c r="AU56" s="68"/>
      <c r="AV56" s="68"/>
      <c r="AW56" s="68"/>
      <c r="AX56" s="68"/>
    </row>
    <row r="57" spans="1:50" ht="25.5" customHeight="1">
      <c r="A57" s="942"/>
      <c r="B57" s="488" t="s">
        <v>174</v>
      </c>
      <c r="C57" s="488"/>
      <c r="D57" s="2455">
        <f t="shared" si="0"/>
        <v>24</v>
      </c>
      <c r="E57" s="2336"/>
      <c r="F57" s="3916" t="s">
        <v>220</v>
      </c>
      <c r="G57" s="3917"/>
      <c r="H57" s="3917"/>
      <c r="I57" s="3917"/>
      <c r="J57" s="3917"/>
      <c r="K57" s="3917"/>
      <c r="L57" s="3917"/>
      <c r="M57" s="3917"/>
      <c r="N57" s="3917"/>
      <c r="O57" s="3917"/>
      <c r="P57" s="3917"/>
      <c r="Q57" s="3917"/>
      <c r="R57" s="3917"/>
      <c r="S57" s="3918"/>
      <c r="T57" s="2454">
        <f t="shared" si="1"/>
        <v>24</v>
      </c>
      <c r="U57" s="1254"/>
      <c r="V57" s="3737"/>
      <c r="W57" s="3737"/>
      <c r="X57" s="3737"/>
      <c r="Y57" s="3737"/>
      <c r="Z57" s="1255"/>
      <c r="AA57" s="694"/>
      <c r="AB57" s="62"/>
      <c r="AC57" s="62"/>
      <c r="AD57" s="62"/>
      <c r="AE57" s="62"/>
      <c r="AF57" s="62"/>
      <c r="AG57" s="475"/>
      <c r="AH57" s="1039"/>
      <c r="AI57" s="14"/>
      <c r="AJ57" s="14"/>
      <c r="AK57" s="14"/>
      <c r="AL57" s="551"/>
      <c r="AM57" s="68"/>
      <c r="AN57" s="456"/>
      <c r="AO57" s="68"/>
      <c r="AP57" s="68"/>
      <c r="AQ57" s="68"/>
      <c r="AR57" s="68"/>
      <c r="AS57" s="68"/>
      <c r="AT57" s="68"/>
      <c r="AU57" s="68"/>
      <c r="AV57" s="68"/>
      <c r="AW57" s="68"/>
      <c r="AX57" s="68"/>
    </row>
    <row r="58" spans="1:50" ht="14.25" customHeight="1">
      <c r="A58" s="942"/>
      <c r="B58" s="488" t="s">
        <v>1068</v>
      </c>
      <c r="C58" s="79"/>
      <c r="D58" s="2331">
        <v>25</v>
      </c>
      <c r="E58" s="2336"/>
      <c r="F58" s="2333" t="s">
        <v>244</v>
      </c>
      <c r="G58" s="2338"/>
      <c r="H58" s="2338"/>
      <c r="I58" s="2338"/>
      <c r="J58" s="2338"/>
      <c r="K58" s="2338"/>
      <c r="L58" s="2338"/>
      <c r="M58" s="2338"/>
      <c r="N58" s="2338"/>
      <c r="O58" s="2338"/>
      <c r="P58" s="2338"/>
      <c r="Q58" s="2338"/>
      <c r="R58" s="2338"/>
      <c r="S58" s="2338"/>
      <c r="T58" s="2454">
        <f t="shared" si="1"/>
        <v>25</v>
      </c>
      <c r="U58" s="1254"/>
      <c r="V58" s="3737"/>
      <c r="W58" s="3737"/>
      <c r="X58" s="3737"/>
      <c r="Y58" s="3737"/>
      <c r="Z58" s="1255"/>
      <c r="AA58" s="1607"/>
      <c r="AB58" s="3946"/>
      <c r="AC58" s="3947"/>
      <c r="AD58" s="3947"/>
      <c r="AE58" s="3947"/>
      <c r="AF58" s="3947"/>
      <c r="AG58" s="475"/>
      <c r="AH58" s="1039"/>
      <c r="AI58" s="14"/>
      <c r="AJ58" s="14"/>
      <c r="AK58" s="14"/>
      <c r="AL58" s="551"/>
      <c r="AM58" s="1263"/>
      <c r="AN58" s="456"/>
      <c r="AO58" s="68"/>
      <c r="AP58" s="68"/>
      <c r="AQ58" s="68"/>
      <c r="AR58" s="68"/>
      <c r="AS58" s="68"/>
      <c r="AT58" s="68"/>
      <c r="AU58" s="68"/>
      <c r="AV58" s="68"/>
      <c r="AW58" s="68"/>
      <c r="AX58" s="68"/>
    </row>
    <row r="59" spans="1:50" ht="14.25" customHeight="1">
      <c r="A59" s="942"/>
      <c r="B59" s="488" t="s">
        <v>61</v>
      </c>
      <c r="C59" s="79"/>
      <c r="D59" s="2331">
        <v>26</v>
      </c>
      <c r="E59" s="2336"/>
      <c r="F59" s="2333" t="s">
        <v>60</v>
      </c>
      <c r="G59" s="2338"/>
      <c r="H59" s="2338"/>
      <c r="I59" s="2338"/>
      <c r="J59" s="2338"/>
      <c r="K59" s="2338"/>
      <c r="L59" s="2338"/>
      <c r="M59" s="2338"/>
      <c r="N59" s="2338"/>
      <c r="O59" s="2338"/>
      <c r="P59" s="4049" t="str">
        <f>".   .   .   .   .   .   ."</f>
        <v>.   .   .   .   .   .   .</v>
      </c>
      <c r="Q59" s="4050"/>
      <c r="R59" s="4050"/>
      <c r="S59" s="4051"/>
      <c r="T59" s="2454">
        <f t="shared" si="1"/>
        <v>26</v>
      </c>
      <c r="U59" s="1254"/>
      <c r="V59" s="3737"/>
      <c r="W59" s="3737"/>
      <c r="X59" s="3737"/>
      <c r="Y59" s="3737"/>
      <c r="Z59" s="1255"/>
      <c r="AA59" s="1607"/>
      <c r="AB59" s="3946"/>
      <c r="AC59" s="3947"/>
      <c r="AD59" s="3947"/>
      <c r="AE59" s="3947"/>
      <c r="AF59" s="3947"/>
      <c r="AG59" s="475"/>
      <c r="AH59" s="1039"/>
      <c r="AI59" s="14"/>
      <c r="AJ59" s="14"/>
      <c r="AK59" s="14"/>
      <c r="AL59" s="551"/>
      <c r="AM59" s="68"/>
      <c r="AN59" s="456"/>
      <c r="AO59" s="68">
        <v>1</v>
      </c>
      <c r="AP59" s="68" t="s">
        <v>2785</v>
      </c>
      <c r="AQ59" s="68"/>
      <c r="AR59" s="68"/>
      <c r="AS59" s="68"/>
      <c r="AT59" s="68"/>
      <c r="AU59" s="68"/>
      <c r="AV59" s="68"/>
      <c r="AW59" s="68"/>
      <c r="AX59" s="68"/>
    </row>
    <row r="60" spans="1:50" ht="14.25" customHeight="1">
      <c r="A60" s="942"/>
      <c r="B60" s="401"/>
      <c r="C60" s="79"/>
      <c r="D60" s="2331">
        <v>27</v>
      </c>
      <c r="E60" s="2336"/>
      <c r="F60" s="2333" t="s">
        <v>1483</v>
      </c>
      <c r="G60" s="2338"/>
      <c r="H60" s="2338"/>
      <c r="I60" s="2338"/>
      <c r="J60" s="2338"/>
      <c r="K60" s="2338"/>
      <c r="L60" s="2338"/>
      <c r="M60" s="2338"/>
      <c r="N60" s="2338"/>
      <c r="O60" s="2338"/>
      <c r="P60" s="2338"/>
      <c r="Q60" s="2338"/>
      <c r="R60" s="2338"/>
      <c r="S60" s="2338"/>
      <c r="T60" s="2454">
        <f t="shared" si="1"/>
        <v>27</v>
      </c>
      <c r="U60" s="1254"/>
      <c r="V60" s="3782">
        <f>IF(AL60&lt;&gt;"",AL60,IF('Sch. SE'!C43&lt;&gt;"",'Sch. SE'!Q69,IF('Sch. SE'!P43&lt;&gt;"",'Sch. SE'!Q113,0)))</f>
        <v>0</v>
      </c>
      <c r="W60" s="3782"/>
      <c r="X60" s="3782"/>
      <c r="Y60" s="3782"/>
      <c r="Z60" s="1255"/>
      <c r="AA60" s="1607"/>
      <c r="AB60" s="62"/>
      <c r="AC60" s="62"/>
      <c r="AD60" s="62"/>
      <c r="AE60" s="62"/>
      <c r="AF60" s="62"/>
      <c r="AG60" s="475"/>
      <c r="AH60" s="1039"/>
      <c r="AI60" s="14"/>
      <c r="AJ60" s="14"/>
      <c r="AK60" s="14"/>
      <c r="AL60" s="550"/>
      <c r="AM60" s="68"/>
      <c r="AN60" s="456"/>
      <c r="AO60" s="68">
        <v>2</v>
      </c>
      <c r="AP60" s="68" t="s">
        <v>2786</v>
      </c>
      <c r="AQ60" s="68"/>
      <c r="AR60" s="68"/>
      <c r="AS60" s="68"/>
      <c r="AT60" s="68"/>
      <c r="AU60" s="68"/>
      <c r="AV60" s="68"/>
      <c r="AW60" s="68"/>
      <c r="AX60" s="68"/>
    </row>
    <row r="61" spans="1:50" ht="14.25" customHeight="1">
      <c r="A61" s="942"/>
      <c r="B61" s="401"/>
      <c r="C61" s="489"/>
      <c r="D61" s="2331">
        <v>28</v>
      </c>
      <c r="E61" s="2336"/>
      <c r="F61" s="2333" t="s">
        <v>57</v>
      </c>
      <c r="G61" s="2338"/>
      <c r="H61" s="2338"/>
      <c r="I61" s="2338"/>
      <c r="J61" s="2338"/>
      <c r="K61" s="2338"/>
      <c r="L61" s="2338"/>
      <c r="M61" s="2338"/>
      <c r="N61" s="2338"/>
      <c r="O61" s="2338"/>
      <c r="P61" s="2338"/>
      <c r="Q61" s="2338"/>
      <c r="R61" s="2338"/>
      <c r="S61" s="2338"/>
      <c r="T61" s="2454">
        <f>D61</f>
        <v>28</v>
      </c>
      <c r="U61" s="1254"/>
      <c r="V61" s="3737"/>
      <c r="W61" s="3737"/>
      <c r="X61" s="3737"/>
      <c r="Y61" s="3737"/>
      <c r="Z61" s="1255"/>
      <c r="AA61" s="1607"/>
      <c r="AB61" s="62"/>
      <c r="AC61" s="62"/>
      <c r="AD61" s="62"/>
      <c r="AE61" s="62"/>
      <c r="AF61" s="62"/>
      <c r="AG61" s="475"/>
      <c r="AH61" s="1039"/>
      <c r="AI61" s="14"/>
      <c r="AJ61" s="14"/>
      <c r="AK61" s="14"/>
      <c r="AL61" s="551"/>
      <c r="AM61" s="68"/>
      <c r="AN61" s="456"/>
      <c r="AO61" s="68">
        <v>3</v>
      </c>
      <c r="AP61" s="68" t="s">
        <v>2787</v>
      </c>
      <c r="AQ61" s="68"/>
      <c r="AR61" s="68"/>
      <c r="AS61" s="68"/>
      <c r="AW61" s="68"/>
      <c r="AX61" s="68"/>
    </row>
    <row r="62" spans="1:50" ht="14.25" customHeight="1">
      <c r="A62" s="942"/>
      <c r="B62" s="401"/>
      <c r="C62" s="489"/>
      <c r="D62" s="2331">
        <v>29</v>
      </c>
      <c r="E62" s="2336"/>
      <c r="F62" s="2333" t="s">
        <v>852</v>
      </c>
      <c r="G62" s="2338"/>
      <c r="H62" s="2338"/>
      <c r="I62" s="2338"/>
      <c r="J62" s="2338"/>
      <c r="K62" s="2338"/>
      <c r="L62" s="2338"/>
      <c r="M62" s="2338"/>
      <c r="N62" s="2338"/>
      <c r="O62" s="2338"/>
      <c r="P62" s="2338"/>
      <c r="Q62" s="2338"/>
      <c r="R62" s="2338"/>
      <c r="S62" s="2449" t="s">
        <v>853</v>
      </c>
      <c r="T62" s="2454">
        <f t="shared" si="1"/>
        <v>29</v>
      </c>
      <c r="U62" s="1254"/>
      <c r="V62" s="4046"/>
      <c r="W62" s="4046"/>
      <c r="X62" s="4046"/>
      <c r="Y62" s="4046"/>
      <c r="Z62" s="1255"/>
      <c r="AA62" s="1607"/>
      <c r="AB62" s="62"/>
      <c r="AC62" s="62"/>
      <c r="AD62" s="62"/>
      <c r="AE62" s="62"/>
      <c r="AF62" s="62"/>
      <c r="AG62" s="475"/>
      <c r="AH62" s="1039"/>
      <c r="AI62" s="14"/>
      <c r="AJ62" s="14"/>
      <c r="AK62" s="14"/>
      <c r="AL62" s="551"/>
      <c r="AM62" s="68"/>
      <c r="AN62" s="456"/>
      <c r="AO62" s="68">
        <v>4</v>
      </c>
      <c r="AP62" s="68" t="s">
        <v>2788</v>
      </c>
      <c r="AQ62" s="68"/>
      <c r="AR62" s="68"/>
      <c r="AS62" s="68"/>
      <c r="AW62" s="68"/>
      <c r="AX62" s="68"/>
    </row>
    <row r="63" spans="1:50" ht="14.25" customHeight="1">
      <c r="A63" s="942"/>
      <c r="B63" s="401"/>
      <c r="C63" s="489"/>
      <c r="D63" s="2331">
        <v>30</v>
      </c>
      <c r="E63" s="2336"/>
      <c r="F63" s="2333" t="s">
        <v>612</v>
      </c>
      <c r="G63" s="2338"/>
      <c r="H63" s="2338"/>
      <c r="I63" s="2338"/>
      <c r="J63" s="2338"/>
      <c r="K63" s="2338"/>
      <c r="L63" s="2338"/>
      <c r="M63" s="2338"/>
      <c r="N63" s="2338"/>
      <c r="O63" s="2338"/>
      <c r="P63" s="2338"/>
      <c r="Q63" s="2338"/>
      <c r="R63" s="2338"/>
      <c r="S63" s="2338"/>
      <c r="T63" s="2454">
        <f t="shared" si="1"/>
        <v>30</v>
      </c>
      <c r="U63" s="1254"/>
      <c r="V63" s="3737"/>
      <c r="W63" s="3737"/>
      <c r="X63" s="3737"/>
      <c r="Y63" s="3737"/>
      <c r="Z63" s="1255"/>
      <c r="AA63" s="1607"/>
      <c r="AB63" s="62"/>
      <c r="AC63" s="62"/>
      <c r="AD63" s="62"/>
      <c r="AE63" s="62"/>
      <c r="AF63" s="62"/>
      <c r="AG63" s="475"/>
      <c r="AH63" s="1039"/>
      <c r="AI63" s="14"/>
      <c r="AJ63" s="14"/>
      <c r="AK63" s="14"/>
      <c r="AL63" s="551"/>
      <c r="AM63" s="68"/>
      <c r="AN63" s="456"/>
      <c r="AO63" s="68">
        <v>5</v>
      </c>
      <c r="AP63" s="68" t="s">
        <v>2436</v>
      </c>
      <c r="AQ63" s="68"/>
      <c r="AR63" s="68"/>
      <c r="AS63" s="68"/>
      <c r="AW63" s="68"/>
      <c r="AX63" s="68"/>
    </row>
    <row r="64" spans="1:50" ht="14.25" customHeight="1">
      <c r="A64" s="942"/>
      <c r="B64" s="401"/>
      <c r="C64" s="489"/>
      <c r="D64" s="2331">
        <v>31</v>
      </c>
      <c r="E64" s="2441" t="s">
        <v>62</v>
      </c>
      <c r="F64" s="2333" t="s">
        <v>579</v>
      </c>
      <c r="G64" s="2338"/>
      <c r="H64" s="2375"/>
      <c r="I64" s="2338"/>
      <c r="J64" s="2338"/>
      <c r="K64" s="2338"/>
      <c r="L64" s="2338"/>
      <c r="M64" s="2338"/>
      <c r="N64" s="2449" t="s">
        <v>221</v>
      </c>
      <c r="O64" s="3890"/>
      <c r="P64" s="3890"/>
      <c r="Q64" s="3890"/>
      <c r="R64" s="3890"/>
      <c r="S64" s="3891"/>
      <c r="T64" s="2454" t="str">
        <f>D64&amp;"a"</f>
        <v>31a</v>
      </c>
      <c r="U64" s="1254"/>
      <c r="V64" s="3737"/>
      <c r="W64" s="3737"/>
      <c r="X64" s="3737"/>
      <c r="Y64" s="3737"/>
      <c r="Z64" s="1255"/>
      <c r="AA64" s="1607"/>
      <c r="AB64" s="3813" t="str">
        <f>IF(AND(AE72&lt;&gt;"",File_Marr_Joint&lt;&gt;""),"Enter birthdates",IF(AE72&lt;&gt;"","Enter your birthdate",""))</f>
        <v/>
      </c>
      <c r="AC64" s="3814"/>
      <c r="AD64" s="3814"/>
      <c r="AE64" s="3814"/>
      <c r="AF64" s="3814"/>
      <c r="AG64" s="475"/>
      <c r="AH64" s="1039"/>
      <c r="AI64" s="14"/>
      <c r="AJ64" s="14"/>
      <c r="AK64" s="14"/>
      <c r="AL64" s="551"/>
      <c r="AM64" s="68"/>
      <c r="AN64" s="456"/>
      <c r="AO64" s="68">
        <v>6</v>
      </c>
      <c r="AP64" s="1306" t="s">
        <v>2789</v>
      </c>
      <c r="AQ64" s="68"/>
      <c r="AR64" s="68"/>
      <c r="AS64" s="68"/>
      <c r="AW64" s="68"/>
      <c r="AX64" s="68"/>
    </row>
    <row r="65" spans="1:63" ht="14.25" customHeight="1">
      <c r="A65" s="942"/>
      <c r="B65" s="488"/>
      <c r="C65" s="488"/>
      <c r="D65" s="2331">
        <v>32</v>
      </c>
      <c r="E65" s="2336"/>
      <c r="F65" s="2333" t="s">
        <v>854</v>
      </c>
      <c r="G65" s="2338"/>
      <c r="H65" s="2338"/>
      <c r="I65" s="2338"/>
      <c r="J65" s="2338"/>
      <c r="K65" s="2338"/>
      <c r="L65" s="2338"/>
      <c r="M65" s="2338"/>
      <c r="N65" s="2442"/>
      <c r="O65" s="2338"/>
      <c r="P65" s="2338"/>
      <c r="Q65" s="2338"/>
      <c r="R65" s="2338"/>
      <c r="S65" s="2403" t="str">
        <f>IF(AND(Lived_apart&lt;&gt;"",File_Marr_Sep&lt;&gt;""),".   .   .   .   .   .   .   .   .   .   .   .   .   .   .   .   .   D  ",".   .   .   .   .   .   .   .   .   .   .   .   .   .   .   .   .   . ")</f>
        <v xml:space="preserve">.   .   .   .   .   .   .   .   .   .   .   .   .   .   .   .   .   . </v>
      </c>
      <c r="T65" s="2454">
        <f>D65</f>
        <v>32</v>
      </c>
      <c r="U65" s="1254"/>
      <c r="V65" s="3782">
        <f>IF(AL65&lt;&gt;"",AL65,IRA_Deduction)</f>
        <v>0</v>
      </c>
      <c r="W65" s="3782"/>
      <c r="X65" s="3782"/>
      <c r="Y65" s="3782"/>
      <c r="Z65" s="1255"/>
      <c r="AA65" s="694"/>
      <c r="AB65" s="3813" t="str">
        <f>IF(AND(AE72&lt;&gt;"",File_Marr_Joint&lt;&gt;""),"in rows 73 &amp; 75,",IF(AE72&lt;&gt;"","in row 73,",""))</f>
        <v/>
      </c>
      <c r="AC65" s="3814"/>
      <c r="AD65" s="3814"/>
      <c r="AE65" s="3814"/>
      <c r="AF65" s="3814"/>
      <c r="AG65" s="475"/>
      <c r="AH65" s="1039"/>
      <c r="AI65" s="14"/>
      <c r="AJ65" s="14"/>
      <c r="AK65" s="14"/>
      <c r="AL65" s="550"/>
      <c r="AM65" s="68"/>
      <c r="AN65" s="456"/>
      <c r="AO65" s="68">
        <v>7</v>
      </c>
      <c r="AP65" s="1306" t="s">
        <v>2790</v>
      </c>
      <c r="AQ65" s="68"/>
      <c r="AR65" s="68"/>
      <c r="AS65" s="68"/>
      <c r="AW65" s="68"/>
      <c r="AX65" s="68"/>
    </row>
    <row r="66" spans="1:63" ht="14.25" customHeight="1">
      <c r="A66" s="942"/>
      <c r="B66" s="488"/>
      <c r="C66" s="488"/>
      <c r="D66" s="2331">
        <v>33</v>
      </c>
      <c r="E66" s="2336"/>
      <c r="F66" s="2333" t="s">
        <v>1998</v>
      </c>
      <c r="G66" s="2338"/>
      <c r="H66" s="2338"/>
      <c r="I66" s="2338"/>
      <c r="J66" s="2338"/>
      <c r="K66" s="2338"/>
      <c r="L66" s="3892" t="str">
        <f>IF(V66&gt;2500,"Line 33 cannot be &gt; "&amp;TEXT(AI66,"$0,000")&amp;". ",".   .   .   .   .   .   .   .   .   .   .   .   . ")</f>
        <v xml:space="preserve">.   .   .   .   .   .   .   .   .   .   .   .   . </v>
      </c>
      <c r="M66" s="3889"/>
      <c r="N66" s="3889"/>
      <c r="O66" s="3889"/>
      <c r="P66" s="3889"/>
      <c r="Q66" s="3889"/>
      <c r="R66" s="3889"/>
      <c r="S66" s="3893"/>
      <c r="T66" s="2454">
        <f>D66</f>
        <v>33</v>
      </c>
      <c r="U66" s="1254"/>
      <c r="V66" s="3737"/>
      <c r="W66" s="3737"/>
      <c r="X66" s="3737"/>
      <c r="Y66" s="3737"/>
      <c r="Z66" s="1255"/>
      <c r="AA66" s="694"/>
      <c r="AB66" s="3813" t="str">
        <f>IF(AE72&lt;&gt;"","columns AL-AN","")</f>
        <v/>
      </c>
      <c r="AC66" s="3814"/>
      <c r="AD66" s="3814"/>
      <c r="AE66" s="3814"/>
      <c r="AF66" s="3814"/>
      <c r="AG66" s="475"/>
      <c r="AH66" s="1039"/>
      <c r="AI66" s="14">
        <v>2500</v>
      </c>
      <c r="AJ66" s="14"/>
      <c r="AK66" s="14"/>
      <c r="AL66" s="551"/>
      <c r="AM66" s="68"/>
      <c r="AN66" s="456"/>
      <c r="AO66" s="68">
        <v>8</v>
      </c>
      <c r="AP66" s="1306" t="s">
        <v>2791</v>
      </c>
      <c r="AQ66" s="68"/>
      <c r="AR66" s="68"/>
      <c r="AS66" s="68"/>
      <c r="AW66" s="68"/>
      <c r="AX66" s="68"/>
    </row>
    <row r="67" spans="1:63" ht="14.25" customHeight="1">
      <c r="A67" s="942"/>
      <c r="B67" s="488"/>
      <c r="C67" s="488"/>
      <c r="D67" s="2331">
        <v>34</v>
      </c>
      <c r="E67" s="2336"/>
      <c r="F67" s="2333" t="s">
        <v>1557</v>
      </c>
      <c r="G67" s="2338"/>
      <c r="H67" s="2338"/>
      <c r="I67" s="2338"/>
      <c r="J67" s="2338"/>
      <c r="K67" s="2338"/>
      <c r="L67" s="2338"/>
      <c r="M67" s="2338"/>
      <c r="N67" s="2338"/>
      <c r="O67" s="2338"/>
      <c r="P67" s="2338"/>
      <c r="Q67" s="2338"/>
      <c r="R67" s="2338"/>
      <c r="S67" s="2449" t="s">
        <v>1558</v>
      </c>
      <c r="T67" s="2454">
        <f>D67</f>
        <v>34</v>
      </c>
      <c r="U67" s="2575"/>
      <c r="V67" s="3894"/>
      <c r="W67" s="3894"/>
      <c r="X67" s="3894"/>
      <c r="Y67" s="3894"/>
      <c r="Z67" s="2576"/>
      <c r="AA67" s="694"/>
      <c r="AB67" s="3796" t="str">
        <f>IF(AND(V69&lt;&gt;"",ISERROR(V69+1)),"Entry on Line 36","")</f>
        <v/>
      </c>
      <c r="AC67" s="3797"/>
      <c r="AD67" s="3797"/>
      <c r="AE67" s="3797"/>
      <c r="AF67" s="3797"/>
      <c r="AG67" s="475"/>
      <c r="AH67" s="1039"/>
      <c r="AI67" s="14"/>
      <c r="AJ67" s="14"/>
      <c r="AK67" s="14"/>
      <c r="AL67" s="551"/>
      <c r="AM67" s="2819"/>
      <c r="AN67" s="3355"/>
      <c r="AO67" s="68">
        <v>9</v>
      </c>
      <c r="AP67" s="1306" t="s">
        <v>2792</v>
      </c>
      <c r="AQ67" s="68"/>
      <c r="AR67" s="68"/>
      <c r="AS67" s="68"/>
      <c r="AW67" s="68"/>
      <c r="AX67" s="68"/>
    </row>
    <row r="68" spans="1:63" ht="14.25" customHeight="1">
      <c r="A68" s="942"/>
      <c r="B68" s="488"/>
      <c r="C68" s="488"/>
      <c r="D68" s="2331">
        <v>35</v>
      </c>
      <c r="E68" s="2336"/>
      <c r="F68" s="2333" t="s">
        <v>308</v>
      </c>
      <c r="G68" s="2338"/>
      <c r="H68" s="2338"/>
      <c r="I68" s="2338"/>
      <c r="J68" s="2338"/>
      <c r="K68" s="2338"/>
      <c r="L68" s="2338"/>
      <c r="M68" s="2338"/>
      <c r="N68" s="2338"/>
      <c r="O68" s="2338"/>
      <c r="P68" s="2338"/>
      <c r="Q68" s="2338"/>
      <c r="R68" s="2338"/>
      <c r="S68" s="2453"/>
      <c r="T68" s="2454">
        <f>D68</f>
        <v>35</v>
      </c>
      <c r="U68" s="1254"/>
      <c r="V68" s="3737"/>
      <c r="W68" s="3737"/>
      <c r="X68" s="3737"/>
      <c r="Y68" s="3737"/>
      <c r="Z68" s="1255"/>
      <c r="AA68" s="694"/>
      <c r="AB68" s="3796" t="str">
        <f>IF(AND(V69&lt;&gt;"",ISERROR(V69+1)),"must be a number.","")</f>
        <v/>
      </c>
      <c r="AC68" s="3797"/>
      <c r="AD68" s="3797"/>
      <c r="AE68" s="3797"/>
      <c r="AF68" s="3797"/>
      <c r="AG68" s="475"/>
      <c r="AH68" s="1039"/>
      <c r="AI68" s="14"/>
      <c r="AJ68" s="14"/>
      <c r="AK68" s="14"/>
      <c r="AL68" s="551"/>
      <c r="AM68" s="2819" t="b">
        <f>IF(OR($AM$71,AND(YourAge&gt;110,AND($AL$73&lt;&gt;"",$AM$73&lt;&gt;"",$AN$73&lt;&gt;""))),TRUE,FALSE)</f>
        <v>0</v>
      </c>
      <c r="AN68" s="3355" t="b">
        <f>IF(OR(AND(SpouseAge&lt;&gt;"",SpouseAge&gt;110,$AL$75&lt;&gt;"",$AM$75&lt;&gt;"",$AN$75&lt;&gt;""),$AN$71),TRUE,FALSE)</f>
        <v>0</v>
      </c>
      <c r="AO68" s="68">
        <v>10</v>
      </c>
      <c r="AP68" s="353" t="s">
        <v>2793</v>
      </c>
      <c r="AQ68" s="68"/>
      <c r="AR68" s="68"/>
      <c r="AS68" s="68"/>
      <c r="AW68" s="68"/>
      <c r="AX68" s="68"/>
    </row>
    <row r="69" spans="1:63" ht="14.25" customHeight="1">
      <c r="A69" s="942"/>
      <c r="B69" s="401"/>
      <c r="C69" s="489"/>
      <c r="D69" s="2331">
        <v>36</v>
      </c>
      <c r="E69" s="2336"/>
      <c r="F69" s="2333" t="str">
        <f>"Add lines  "&amp;T56&amp;"  through "&amp;T68</f>
        <v>Add lines  23  through 35</v>
      </c>
      <c r="G69" s="2338"/>
      <c r="H69" s="2338"/>
      <c r="I69" s="2338"/>
      <c r="J69" s="2338"/>
      <c r="K69" s="2338"/>
      <c r="L69" s="2338"/>
      <c r="M69" s="2338"/>
      <c r="N69" s="2338"/>
      <c r="O69" s="2456"/>
      <c r="P69" s="2456"/>
      <c r="Q69" s="2456"/>
      <c r="R69" s="2449" t="s">
        <v>1058</v>
      </c>
      <c r="S69" s="3919"/>
      <c r="T69" s="3920"/>
      <c r="U69" s="2459"/>
      <c r="V69" s="3819"/>
      <c r="W69" s="3819"/>
      <c r="X69" s="3820"/>
      <c r="Y69" s="3820"/>
      <c r="Z69" s="3821"/>
      <c r="AA69" s="2433">
        <f>D69</f>
        <v>36</v>
      </c>
      <c r="AB69" s="3779">
        <f>IF(AL69&lt;&gt;"",ROUND(AL69,0),ROUND(SUM((V56:V68),V69),0))</f>
        <v>0</v>
      </c>
      <c r="AC69" s="3780"/>
      <c r="AD69" s="3780"/>
      <c r="AE69" s="3780"/>
      <c r="AF69" s="3780"/>
      <c r="AG69" s="479"/>
      <c r="AH69" s="1039"/>
      <c r="AI69" s="14"/>
      <c r="AJ69" s="14"/>
      <c r="AK69" s="14"/>
      <c r="AL69" s="550"/>
      <c r="AM69" s="3127" t="str">
        <f>IF(AM68,"Your birthdate","")</f>
        <v/>
      </c>
      <c r="AN69" s="3127" t="str">
        <f>IF(AN68,"Spouse's birthdate","")</f>
        <v/>
      </c>
      <c r="AO69" s="68">
        <v>11</v>
      </c>
      <c r="AP69" s="353" t="s">
        <v>2794</v>
      </c>
      <c r="AQ69" s="68"/>
      <c r="AR69" s="68"/>
      <c r="AS69" s="68"/>
      <c r="AW69" s="68"/>
      <c r="AX69" s="68"/>
    </row>
    <row r="70" spans="1:63" ht="14.25" customHeight="1">
      <c r="A70" s="942"/>
      <c r="B70" s="401"/>
      <c r="C70" s="490"/>
      <c r="D70" s="2347">
        <v>37</v>
      </c>
      <c r="E70" s="2457"/>
      <c r="F70" s="2349" t="str">
        <f>"Subtract line "&amp;AA69&amp;" from line "&amp;AA55&amp;"."</f>
        <v>Subtract line 36 from line 22.</v>
      </c>
      <c r="G70" s="2350"/>
      <c r="H70" s="2350"/>
      <c r="I70" s="2350"/>
      <c r="J70" s="2350"/>
      <c r="K70" s="2350"/>
      <c r="L70" s="2350"/>
      <c r="M70" s="2350"/>
      <c r="N70" s="2350"/>
      <c r="O70" s="2349" t="s">
        <v>169</v>
      </c>
      <c r="P70" s="2349"/>
      <c r="Q70" s="2349"/>
      <c r="R70" s="2349"/>
      <c r="S70" s="2350"/>
      <c r="T70" s="2458"/>
      <c r="U70" s="2458"/>
      <c r="V70" s="2458"/>
      <c r="W70" s="2458"/>
      <c r="X70" s="2458"/>
      <c r="Y70" s="2407" t="s">
        <v>892</v>
      </c>
      <c r="Z70" s="2460"/>
      <c r="AA70" s="2433">
        <f>D70</f>
        <v>37</v>
      </c>
      <c r="AB70" s="3781">
        <f>IF(AL70&lt;&gt;"",AL70,(AB55-AB69))</f>
        <v>0</v>
      </c>
      <c r="AC70" s="3782"/>
      <c r="AD70" s="3782"/>
      <c r="AE70" s="3782"/>
      <c r="AF70" s="3782"/>
      <c r="AG70" s="476"/>
      <c r="AH70" s="1043"/>
      <c r="AI70" s="81"/>
      <c r="AJ70" s="81"/>
      <c r="AK70" s="81"/>
      <c r="AL70" s="550"/>
      <c r="AM70" s="3127" t="str">
        <f>IF(AM68,"may be invalid.","")</f>
        <v/>
      </c>
      <c r="AN70" s="3127" t="str">
        <f>IF(AN68,"may be invalid.","")</f>
        <v/>
      </c>
      <c r="AO70" s="379">
        <v>12</v>
      </c>
      <c r="AP70" s="1471" t="s">
        <v>2795</v>
      </c>
      <c r="AQ70" s="68"/>
      <c r="AR70" s="379"/>
      <c r="AS70" s="379"/>
      <c r="AW70" s="379"/>
      <c r="AX70" s="379"/>
    </row>
    <row r="71" spans="1:63" ht="13.5" customHeight="1" thickBot="1">
      <c r="A71" s="942"/>
      <c r="B71" s="3062" t="s">
        <v>855</v>
      </c>
      <c r="C71" s="2461"/>
      <c r="D71" s="2462"/>
      <c r="E71" s="2463"/>
      <c r="F71" s="2464"/>
      <c r="G71" s="2464"/>
      <c r="H71" s="2464"/>
      <c r="I71" s="2464"/>
      <c r="J71" s="2464"/>
      <c r="K71" s="2464"/>
      <c r="L71" s="2464"/>
      <c r="M71" s="2464"/>
      <c r="N71" s="2464"/>
      <c r="O71" s="2464"/>
      <c r="P71" s="2464"/>
      <c r="Q71" s="2464"/>
      <c r="R71" s="2464"/>
      <c r="S71" s="2464"/>
      <c r="T71" s="2464"/>
      <c r="U71" s="2464"/>
      <c r="V71" s="2465"/>
      <c r="W71" s="2465"/>
      <c r="X71" s="2466" t="s">
        <v>707</v>
      </c>
      <c r="Y71" s="2464"/>
      <c r="Z71" s="2464"/>
      <c r="AA71" s="2467"/>
      <c r="AB71" s="2468"/>
      <c r="AC71" s="2468"/>
      <c r="AD71" s="2468"/>
      <c r="AE71" s="3063" t="s">
        <v>1871</v>
      </c>
      <c r="AF71" s="2468"/>
      <c r="AG71" s="2469" t="str">
        <f>"("&amp;TaxYear&amp;")"</f>
        <v>(2014)</v>
      </c>
      <c r="AH71" s="1044"/>
      <c r="AI71" s="378"/>
      <c r="AJ71" s="378"/>
      <c r="AK71" s="378"/>
      <c r="AL71" s="553"/>
      <c r="AM71" s="3128" t="b">
        <f>IF(AL73="",FALSE,IF(ISERROR(DATEVALUE(AO72)),TRUE,FALSE))</f>
        <v>0</v>
      </c>
      <c r="AN71" s="3128" t="b">
        <f>IF(AND(File_Marr_Joint&lt;&gt;"",AL75&lt;&gt;"",ISERROR(DATEVALUE(AO74))),TRUE,FALSE)</f>
        <v>0</v>
      </c>
      <c r="AO71" s="3700" t="e">
        <f>LOOKUP(AM73,AO59:AO70,AP59:AP70)</f>
        <v>#N/A</v>
      </c>
      <c r="AP71" s="353"/>
      <c r="AQ71" s="68"/>
      <c r="AR71" s="68"/>
      <c r="AS71" s="68"/>
      <c r="AW71" s="68"/>
      <c r="AX71" s="68"/>
    </row>
    <row r="72" spans="1:63" ht="19.5" customHeight="1" thickBot="1">
      <c r="A72" s="942"/>
      <c r="B72" s="2470" t="str">
        <f>"Form 1040  ("&amp;TaxYear&amp;")"</f>
        <v>Form 1040  (2014)</v>
      </c>
      <c r="C72" s="2470"/>
      <c r="D72" s="2471"/>
      <c r="E72" s="2472"/>
      <c r="F72" s="2473"/>
      <c r="G72" s="2473"/>
      <c r="H72" s="2473"/>
      <c r="I72" s="2473"/>
      <c r="J72" s="2473"/>
      <c r="K72" s="2473"/>
      <c r="L72" s="2473"/>
      <c r="M72" s="2473"/>
      <c r="N72" s="2473"/>
      <c r="O72" s="2474"/>
      <c r="P72" s="2474"/>
      <c r="Q72" s="2474"/>
      <c r="R72" s="2474"/>
      <c r="S72" s="2473"/>
      <c r="T72" s="2473"/>
      <c r="U72" s="2473"/>
      <c r="V72" s="2473"/>
      <c r="W72" s="2473"/>
      <c r="X72" s="2473"/>
      <c r="Y72" s="2473"/>
      <c r="Z72" s="2473"/>
      <c r="AA72" s="2475"/>
      <c r="AB72" s="2476"/>
      <c r="AC72" s="2476"/>
      <c r="AD72" s="2476"/>
      <c r="AE72" s="3640" t="str">
        <f>IF($AI$22=0,"",IF(AND(File_Marr_Joint&lt;&gt;"",OR(YourAge="",SpouseAge="")),"Enter your birthdate and your spouse's birthdate in rows 73 &amp; 75, columns AL-AN.",IF(YourAge="","Enter your birthdate in row 73, columns AL-AN.","")))</f>
        <v/>
      </c>
      <c r="AF72" s="2476"/>
      <c r="AG72" s="2477" t="s">
        <v>685</v>
      </c>
      <c r="AH72" s="1039"/>
      <c r="AI72" s="14"/>
      <c r="AJ72" s="378"/>
      <c r="AK72" s="1469" t="str">
        <f>IF(AND(YourAge="",SpouseAge=""),"","Age")</f>
        <v/>
      </c>
      <c r="AL72" s="869" t="s">
        <v>409</v>
      </c>
      <c r="AM72" s="869" t="s">
        <v>407</v>
      </c>
      <c r="AN72" s="869" t="s">
        <v>405</v>
      </c>
      <c r="AO72" s="3701" t="e">
        <f>AN73&amp;"-"&amp;AO71&amp;"-"&amp;AL73</f>
        <v>#N/A</v>
      </c>
      <c r="AP72" s="68"/>
      <c r="AQ72" s="68"/>
      <c r="AR72" s="3255"/>
      <c r="AS72" s="3256"/>
      <c r="AT72" s="3257" t="s">
        <v>1619</v>
      </c>
      <c r="AU72" s="3258"/>
      <c r="AV72" s="3259"/>
      <c r="AW72" s="10"/>
      <c r="AX72" s="10"/>
    </row>
    <row r="73" spans="1:63" ht="14.25" customHeight="1" thickTop="1" thickBot="1">
      <c r="A73" s="942"/>
      <c r="B73" s="3886" t="s">
        <v>1096</v>
      </c>
      <c r="C73" s="3887"/>
      <c r="D73" s="2331">
        <f>D70+1</f>
        <v>38</v>
      </c>
      <c r="E73" s="2332"/>
      <c r="F73" s="2333" t="str">
        <f>"Amount from line "&amp;AA70&amp;" (adjusted gross income)"</f>
        <v>Amount from line 37 (adjusted gross income)</v>
      </c>
      <c r="G73" s="2478"/>
      <c r="H73" s="2334"/>
      <c r="I73" s="2334"/>
      <c r="J73" s="2334"/>
      <c r="K73" s="2334"/>
      <c r="L73" s="2334"/>
      <c r="M73" s="2334"/>
      <c r="N73" s="2334"/>
      <c r="O73" s="2440"/>
      <c r="P73" s="2440"/>
      <c r="Q73" s="2440"/>
      <c r="R73" s="2440"/>
      <c r="S73" s="2479">
        <f>IF(you_over_64&lt;&gt;"",1,0)</f>
        <v>0</v>
      </c>
      <c r="T73" s="2479">
        <f>IF(you_blind&lt;&gt;"",1,0)</f>
        <v>0</v>
      </c>
      <c r="U73" s="2479"/>
      <c r="V73" s="2479">
        <f>IF(sp_over_64&lt;&gt;"",1,0)</f>
        <v>0</v>
      </c>
      <c r="W73" s="2479"/>
      <c r="X73" s="2480"/>
      <c r="Y73" s="2479">
        <f>IF(sp_blind&lt;&gt;"",1,0)</f>
        <v>0</v>
      </c>
      <c r="Z73" s="2479"/>
      <c r="AA73" s="2433">
        <f>D73</f>
        <v>38</v>
      </c>
      <c r="AB73" s="3781">
        <f>Adj_Gross_Inc</f>
        <v>0</v>
      </c>
      <c r="AC73" s="3782"/>
      <c r="AD73" s="3782"/>
      <c r="AE73" s="3782"/>
      <c r="AF73" s="3782"/>
      <c r="AG73" s="479"/>
      <c r="AH73" s="1039"/>
      <c r="AI73" s="14"/>
      <c r="AJ73" s="14">
        <v>65</v>
      </c>
      <c r="AK73" s="1678" t="str">
        <f>IF(OR(AL73="",AM73="",AN73=""),"",IF(AND(AM73=1,AN73=1),TaxYear-AL73+1,TaxYear-AL73))</f>
        <v/>
      </c>
      <c r="AL73" s="1468"/>
      <c r="AM73" s="1468"/>
      <c r="AN73" s="1468"/>
      <c r="AO73" s="3702" t="e">
        <f>IF(AM68,"",DATEVALUE(AO72))</f>
        <v>#N/A</v>
      </c>
      <c r="AP73" s="316"/>
      <c r="AQ73" s="68"/>
      <c r="AR73" s="3260"/>
      <c r="AS73" s="3261"/>
      <c r="AT73" s="3262" t="str">
        <f>"Born Before January 2, "&amp;TaxYear-64&amp;", or Were Blind"</f>
        <v>Born Before January 2, 1950, or Were Blind</v>
      </c>
      <c r="AU73" s="3263"/>
      <c r="AV73" s="3264"/>
      <c r="AW73" s="10"/>
      <c r="AX73" s="10"/>
      <c r="AY73" s="1482"/>
      <c r="AZ73" s="1562"/>
      <c r="BA73" s="1478"/>
      <c r="BB73" s="1478"/>
      <c r="BC73" s="1478"/>
      <c r="BD73" s="1478"/>
      <c r="BE73" s="1478"/>
      <c r="BF73" s="1478"/>
      <c r="BG73" s="1483"/>
      <c r="BH73" s="1483"/>
      <c r="BI73" s="1478"/>
      <c r="BJ73" s="139"/>
    </row>
    <row r="74" spans="1:63" ht="13.5" customHeight="1" thickBot="1">
      <c r="A74" s="942"/>
      <c r="B74" s="3888" t="s">
        <v>1097</v>
      </c>
      <c r="C74" s="3889"/>
      <c r="D74" s="2331">
        <f>D73+1</f>
        <v>39</v>
      </c>
      <c r="E74" s="2481" t="s">
        <v>62</v>
      </c>
      <c r="F74" s="2380" t="s">
        <v>504</v>
      </c>
      <c r="G74" s="2482"/>
      <c r="H74" s="2301" t="str">
        <f>IF(YourAge="","",IF(YourAge&gt;=$AJ$73,"X",""))</f>
        <v/>
      </c>
      <c r="I74" s="2503" t="str">
        <f>" You were born before"</f>
        <v xml:space="preserve"> You were born before</v>
      </c>
      <c r="J74" s="2504"/>
      <c r="K74" s="2504"/>
      <c r="L74" s="2504"/>
      <c r="M74" s="2504"/>
      <c r="N74" s="2505" t="str">
        <f>"January 2, "&amp;TaxYear-64&amp;","</f>
        <v>January 2, 1950,</v>
      </c>
      <c r="O74" s="2504"/>
      <c r="P74" s="2504"/>
      <c r="Q74" s="2504"/>
      <c r="R74" s="2504"/>
      <c r="S74" s="3134"/>
      <c r="T74" s="2456" t="s">
        <v>1090</v>
      </c>
      <c r="U74" s="2456"/>
      <c r="V74" s="2506"/>
      <c r="W74" s="2506"/>
      <c r="X74" s="2507"/>
      <c r="Y74" s="3815" t="str">
        <f>IF(OR(AND(OR(File_Single&lt;&gt;"",File_Head&lt;&gt;"",File_Qual_Widow&lt;&gt;""),OR(sp_over_64&lt;&gt;"",sp_blind&lt;&gt;"")),AI22=0),"",S73+T73+V73+Y73)</f>
        <v/>
      </c>
      <c r="Z74" s="3816"/>
      <c r="AA74" s="2314"/>
      <c r="AB74" s="3794" t="str">
        <f>IF(AND(OR(File_Single&lt;&gt;"",File_Head&lt;&gt;"",File_Qual_Widow&lt;&gt;""),OR(sp_over_64&lt;&gt;"",sp_blind&lt;&gt;"")),"Spouse credit",IF(NumFileStatusBoxes=0,"You MUST indicate",""))</f>
        <v>You MUST indicate</v>
      </c>
      <c r="AC74" s="3795"/>
      <c r="AD74" s="3795"/>
      <c r="AE74" s="3795"/>
      <c r="AF74" s="3795"/>
      <c r="AG74" s="475"/>
      <c r="AH74" s="1039"/>
      <c r="AI74" s="14"/>
      <c r="AJ74" s="14"/>
      <c r="AK74" s="1425" t="e">
        <f>(EndOfTaxYear-AO73)/365.25</f>
        <v>#N/A</v>
      </c>
      <c r="AL74" s="869" t="s">
        <v>410</v>
      </c>
      <c r="AM74" s="869" t="s">
        <v>408</v>
      </c>
      <c r="AN74" s="869" t="s">
        <v>406</v>
      </c>
      <c r="AO74" s="3701" t="e">
        <f>AN75&amp;"-"&amp;AO76&amp;"-"&amp;AL75</f>
        <v>#N/A</v>
      </c>
      <c r="AP74" s="317"/>
      <c r="AQ74" s="68"/>
      <c r="AR74" s="3265" t="b">
        <f>IF(File_Single&lt;&gt;"",LOOKUP(Over_65_or_Blind,AR75:AR79,AS75:AS79),IF(OR(File_Marr_Joint&lt;&gt;"",File_Qual_Widow&lt;&gt;""),LOOKUP(Over_65_or_Blind,AR75:AR79,AT75:AT79),IF(File_Marr_Sep&lt;&gt;"",LOOKUP(Over_65_or_Blind,AR75:AR79,AU75:AU79),IF(File_Head&lt;&gt;"",LOOKUP(Over_65_or_Blind,AR75:AR79,AV75:AV79)))))</f>
        <v>0</v>
      </c>
      <c r="AS74" s="3266" t="s">
        <v>127</v>
      </c>
      <c r="AT74" s="3267" t="s">
        <v>945</v>
      </c>
      <c r="AU74" s="3266" t="s">
        <v>784</v>
      </c>
      <c r="AV74" s="3268" t="s">
        <v>785</v>
      </c>
      <c r="AW74" s="10"/>
      <c r="AX74" s="10"/>
      <c r="AY74" s="1617" t="s">
        <v>1110</v>
      </c>
      <c r="AZ74" s="437"/>
      <c r="BA74" s="355"/>
      <c r="BB74" s="355"/>
      <c r="BC74" s="355"/>
      <c r="BD74" s="355"/>
      <c r="BE74" s="355"/>
      <c r="BF74" s="355"/>
      <c r="BG74" s="1740" t="s">
        <v>397</v>
      </c>
      <c r="BH74" s="1484"/>
      <c r="BI74" s="355"/>
      <c r="BJ74" s="140"/>
      <c r="BK74" s="1307"/>
    </row>
    <row r="75" spans="1:63" ht="12.75" customHeight="1" thickBot="1">
      <c r="A75" s="942"/>
      <c r="B75" s="1705" t="s">
        <v>467</v>
      </c>
      <c r="C75" s="1706"/>
      <c r="D75" s="2483"/>
      <c r="E75" s="2484"/>
      <c r="F75" s="2343" t="s">
        <v>503</v>
      </c>
      <c r="G75" s="2482"/>
      <c r="H75" s="2301" t="str">
        <f>IF(SpouseAge="","",IF(SpouseAge&gt;=$AJ$73,"X",""))</f>
        <v/>
      </c>
      <c r="I75" s="2503" t="str">
        <f>"  Spouse was born before"</f>
        <v xml:space="preserve">  Spouse was born before</v>
      </c>
      <c r="J75" s="2504"/>
      <c r="K75" s="2504"/>
      <c r="L75" s="2504"/>
      <c r="M75" s="2504"/>
      <c r="N75" s="2504"/>
      <c r="O75" s="2505" t="str">
        <f>"January 2, "&amp;TaxYear-64&amp;","</f>
        <v>January 2, 1950,</v>
      </c>
      <c r="P75" s="2504"/>
      <c r="Q75" s="2504"/>
      <c r="R75" s="2504"/>
      <c r="S75" s="3134"/>
      <c r="T75" s="2456" t="s">
        <v>1089</v>
      </c>
      <c r="U75" s="2456"/>
      <c r="V75" s="2508"/>
      <c r="W75" s="2508"/>
      <c r="X75" s="2509" t="s">
        <v>98</v>
      </c>
      <c r="Y75" s="3817"/>
      <c r="Z75" s="3818"/>
      <c r="AA75" s="2315"/>
      <c r="AB75" s="3813" t="str">
        <f>IF(AND(OR(File_Single&lt;&gt;"",File_Head&lt;&gt;"",File_Qual_Widow&lt;&gt;""),OR(sp_over_64&lt;&gt;"",sp_blind&lt;&gt;"")),"NOT allowed for",IF(NumFileStatusBoxes=0,"your filing status",""))</f>
        <v>your filing status</v>
      </c>
      <c r="AC75" s="3814"/>
      <c r="AD75" s="3814"/>
      <c r="AE75" s="3814"/>
      <c r="AF75" s="3814"/>
      <c r="AG75" s="475"/>
      <c r="AH75" s="1039"/>
      <c r="AI75" s="14"/>
      <c r="AJ75" s="14"/>
      <c r="AK75" s="1678" t="str">
        <f>IF(OR(AL75="",AM75="",AN75=""),"",IF(AND(AM75=1,AN75=1),TaxYear-AL75+1,TaxYear-AL75))</f>
        <v/>
      </c>
      <c r="AL75" s="1468"/>
      <c r="AM75" s="1468"/>
      <c r="AN75" s="1468"/>
      <c r="AO75" s="3702" t="e">
        <f>IF(AN68,"",DATEVALUE(AO74))</f>
        <v>#N/A</v>
      </c>
      <c r="AP75" s="11"/>
      <c r="AQ75" s="11"/>
      <c r="AR75" s="3260">
        <v>0</v>
      </c>
      <c r="AS75" s="3269">
        <f>SD_Single</f>
        <v>6200</v>
      </c>
      <c r="AT75" s="3270">
        <f>SD_MFJW</f>
        <v>12400</v>
      </c>
      <c r="AU75" s="3269">
        <f>SD_Single</f>
        <v>6200</v>
      </c>
      <c r="AV75" s="3271">
        <f>SD_Head</f>
        <v>9100</v>
      </c>
      <c r="AW75" s="10"/>
      <c r="AX75" s="10"/>
      <c r="AY75" s="1565"/>
      <c r="AZ75" s="355"/>
      <c r="BA75" s="59"/>
      <c r="BB75" s="355"/>
      <c r="BC75" s="355"/>
      <c r="BD75" s="607"/>
      <c r="BE75" s="46"/>
      <c r="BF75" s="46"/>
      <c r="BG75" s="77" t="str">
        <f>IF(BH75,"Yes","No")</f>
        <v>No</v>
      </c>
      <c r="BH75" s="2918" t="b">
        <f>IF(OR(DependentYOU&lt;&gt;"",DependentSPOUSE&lt;&gt;""),TRUE,FALSE)</f>
        <v>0</v>
      </c>
      <c r="BI75" s="22"/>
      <c r="BJ75" s="140"/>
    </row>
    <row r="76" spans="1:63" ht="13.5" customHeight="1" thickBot="1">
      <c r="A76" s="942"/>
      <c r="B76" s="1707" t="s">
        <v>1098</v>
      </c>
      <c r="C76" s="1708"/>
      <c r="D76" s="2483"/>
      <c r="E76" s="2485" t="s">
        <v>85</v>
      </c>
      <c r="F76" s="2343" t="s">
        <v>856</v>
      </c>
      <c r="G76" s="2380"/>
      <c r="H76" s="2380"/>
      <c r="I76" s="2499"/>
      <c r="J76" s="2499"/>
      <c r="K76" s="2499"/>
      <c r="L76" s="2499"/>
      <c r="M76" s="2499"/>
      <c r="N76" s="2402"/>
      <c r="O76" s="2380"/>
      <c r="P76" s="2380"/>
      <c r="Q76" s="2380"/>
      <c r="R76" s="2380"/>
      <c r="S76" s="2380"/>
      <c r="T76" s="2402"/>
      <c r="U76" s="2402"/>
      <c r="V76" s="2380"/>
      <c r="W76" s="2380"/>
      <c r="X76" s="2510"/>
      <c r="Y76" s="2513" t="str">
        <f>D74&amp;"b"</f>
        <v>39b</v>
      </c>
      <c r="Z76" s="2302"/>
      <c r="AA76" s="2316"/>
      <c r="AB76" s="3813" t="str">
        <f>IF(AND(OR(File_Single&lt;&gt;"",File_Head&lt;&gt;"",File_Qual_Widow&lt;&gt;""),OR(sp_over_64&lt;&gt;"",sp_blind&lt;&gt;"")),"this filing status.",IF(NumFileStatusBoxes=0,"in lines 1-5.",""))</f>
        <v>in lines 1-5.</v>
      </c>
      <c r="AC76" s="3814"/>
      <c r="AD76" s="3814"/>
      <c r="AE76" s="3814"/>
      <c r="AF76" s="3814"/>
      <c r="AG76" s="475"/>
      <c r="AH76" s="1039"/>
      <c r="AI76" s="14"/>
      <c r="AJ76" s="14"/>
      <c r="AK76" s="2920" t="e">
        <f>(EndOfTaxYear-AO75)/365.25</f>
        <v>#N/A</v>
      </c>
      <c r="AL76" s="869" t="s">
        <v>404</v>
      </c>
      <c r="AM76" s="869" t="s">
        <v>403</v>
      </c>
      <c r="AN76" s="869" t="s">
        <v>411</v>
      </c>
      <c r="AO76" s="2828" t="e">
        <f>LOOKUP(AM75,AO59:AO70,AP59:AP70)</f>
        <v>#N/A</v>
      </c>
      <c r="AP76" s="11" t="b">
        <f>IF(AND(ItemizeAnyway="",Standard&gt;=Tot_Item_Deduct),TRUE,FALSE)</f>
        <v>1</v>
      </c>
      <c r="AQ76" s="11" t="b">
        <f>IF(OR(ItemizeAnyway&lt;&gt;"",AND(Tot_Item_Deduct&gt;Standard)),TRUE,FALSE)</f>
        <v>0</v>
      </c>
      <c r="AR76" s="3260">
        <v>1</v>
      </c>
      <c r="AS76" s="3261">
        <v>7750</v>
      </c>
      <c r="AT76" s="3263">
        <v>13600</v>
      </c>
      <c r="AU76" s="2804">
        <v>7400</v>
      </c>
      <c r="AV76" s="3272">
        <v>10650</v>
      </c>
      <c r="AW76" s="11"/>
      <c r="AX76" s="11"/>
      <c r="AY76" s="1732"/>
      <c r="AZ76" s="1739" t="s">
        <v>1111</v>
      </c>
      <c r="BA76" s="1733"/>
      <c r="BB76" s="1734"/>
      <c r="BC76" s="1734"/>
      <c r="BD76" s="1735"/>
      <c r="BE76" s="1649"/>
      <c r="BF76" s="1649"/>
      <c r="BG76" s="1736"/>
      <c r="BH76" s="1736"/>
      <c r="BI76" s="1737"/>
      <c r="BJ76" s="1738"/>
    </row>
    <row r="77" spans="1:63" ht="13.5" customHeight="1">
      <c r="A77" s="942"/>
      <c r="B77" s="1725" t="s">
        <v>1118</v>
      </c>
      <c r="C77" s="4003" t="s">
        <v>2225</v>
      </c>
      <c r="D77" s="2486">
        <f>D74+1</f>
        <v>40</v>
      </c>
      <c r="E77" s="2481"/>
      <c r="F77" s="2487" t="s">
        <v>1559</v>
      </c>
      <c r="G77" s="2488"/>
      <c r="H77" s="2488"/>
      <c r="I77" s="2488"/>
      <c r="J77" s="2488"/>
      <c r="K77" s="2488"/>
      <c r="L77" s="2488"/>
      <c r="M77" s="2488"/>
      <c r="N77" s="2488"/>
      <c r="O77" s="2488"/>
      <c r="P77" s="2488"/>
      <c r="Q77" s="2488"/>
      <c r="R77" s="2488"/>
      <c r="S77" s="2380"/>
      <c r="T77" s="2511"/>
      <c r="U77" s="2511"/>
      <c r="V77" s="2511"/>
      <c r="W77" s="2511"/>
      <c r="X77" s="2512"/>
      <c r="Y77" s="2508"/>
      <c r="Z77" s="2508" t="s">
        <v>911</v>
      </c>
      <c r="AA77" s="2434" t="str">
        <f>D77&amp;E77</f>
        <v>40</v>
      </c>
      <c r="AB77" s="3790" t="str">
        <f>IF(AL77&lt;&gt;"",AL77,  IF(AI22=0,"Filing status?",  IF(ItemizedDeduct,Tot_Item_Deduct,Standard )))</f>
        <v>Filing status?</v>
      </c>
      <c r="AC77" s="3791"/>
      <c r="AD77" s="3791"/>
      <c r="AE77" s="3791"/>
      <c r="AF77" s="3791"/>
      <c r="AG77" s="479"/>
      <c r="AH77" s="1039"/>
      <c r="AI77" s="14"/>
      <c r="AJ77" s="14"/>
      <c r="AK77" s="14"/>
      <c r="AL77" s="550"/>
      <c r="AM77" s="3962" t="s">
        <v>1056</v>
      </c>
      <c r="AN77" s="3963"/>
      <c r="AO77" s="90"/>
      <c r="AP77" s="90" t="s">
        <v>467</v>
      </c>
      <c r="AQ77" s="90" t="s">
        <v>783</v>
      </c>
      <c r="AR77" s="3260">
        <v>2</v>
      </c>
      <c r="AS77" s="3261">
        <v>9300</v>
      </c>
      <c r="AT77" s="3263">
        <v>14800</v>
      </c>
      <c r="AU77" s="2804">
        <v>8600</v>
      </c>
      <c r="AV77" s="3272">
        <v>12200</v>
      </c>
      <c r="AW77" s="11"/>
      <c r="AX77" s="11"/>
      <c r="AY77" s="1567"/>
      <c r="AZ77" s="355"/>
      <c r="BA77" s="59"/>
      <c r="BB77" s="355"/>
      <c r="BC77" s="1479"/>
      <c r="BD77" s="1481"/>
      <c r="BE77" s="1741">
        <f>SUM(Wages,AB45,AB51,-V60)</f>
        <v>0</v>
      </c>
      <c r="BF77" s="1742"/>
      <c r="BG77" s="1742"/>
      <c r="BH77" s="1742"/>
      <c r="BI77" s="1743">
        <v>1200</v>
      </c>
      <c r="BJ77" s="140"/>
    </row>
    <row r="78" spans="1:63" ht="13.5" customHeight="1">
      <c r="A78" s="942"/>
      <c r="B78" s="1725"/>
      <c r="C78" s="4004"/>
      <c r="D78" s="2489">
        <f>D77+1</f>
        <v>41</v>
      </c>
      <c r="E78" s="2342"/>
      <c r="F78" s="2343" t="str">
        <f>"Subtract line "&amp;AA77&amp;" from line "&amp;AA73</f>
        <v>Subtract line 40 from line 38</v>
      </c>
      <c r="G78" s="2380"/>
      <c r="H78" s="2380"/>
      <c r="I78" s="2380"/>
      <c r="J78" s="2380"/>
      <c r="K78" s="2380"/>
      <c r="L78" s="2380"/>
      <c r="M78" s="2380"/>
      <c r="N78" s="2380"/>
      <c r="O78" s="2492"/>
      <c r="P78" s="2492"/>
      <c r="Q78" s="2492"/>
      <c r="R78" s="2492"/>
      <c r="S78" s="2380"/>
      <c r="T78" s="2380"/>
      <c r="U78" s="2380"/>
      <c r="V78" s="2380"/>
      <c r="W78" s="2380"/>
      <c r="X78" s="2380"/>
      <c r="Y78" s="2380"/>
      <c r="Z78" s="2508" t="s">
        <v>914</v>
      </c>
      <c r="AA78" s="2526">
        <f t="shared" ref="AA78:AA84" si="2">D78</f>
        <v>41</v>
      </c>
      <c r="AB78" s="3809" t="str">
        <f>IF(AL78&lt;&gt;"",AL78,IF(AB77="Error","",IF(AI22=0,"",ROUND(AB73-AB77,0))))</f>
        <v/>
      </c>
      <c r="AC78" s="3810"/>
      <c r="AD78" s="3810"/>
      <c r="AE78" s="3810"/>
      <c r="AF78" s="3810"/>
      <c r="AG78" s="479"/>
      <c r="AH78" s="1039"/>
      <c r="AI78" s="14"/>
      <c r="AJ78" s="14"/>
      <c r="AK78" s="715">
        <v>152525</v>
      </c>
      <c r="AL78" s="550"/>
      <c r="AM78" s="3962" t="s">
        <v>1055</v>
      </c>
      <c r="AN78" s="3963"/>
      <c r="AO78" s="11" t="str">
        <f>Std_Ded_Wrks_For_Dep</f>
        <v/>
      </c>
      <c r="AP78" s="11" t="b">
        <f>IF(OR(Dual_Status_Alien&lt;&gt;"",ISERROR(Over_65_or_Blind)),0, IF(BH75,Std_Ded_Wrks, IF(Over_65_or_Blind&gt;0,AR74,AP79)))</f>
        <v>0</v>
      </c>
      <c r="AQ78" s="11">
        <f>Tot_Item_Deduct</f>
        <v>0</v>
      </c>
      <c r="AR78" s="3260">
        <v>3</v>
      </c>
      <c r="AS78" s="3261"/>
      <c r="AT78" s="3263">
        <v>16000</v>
      </c>
      <c r="AU78" s="3263">
        <v>9800</v>
      </c>
      <c r="AV78" s="3264"/>
      <c r="AW78" s="11"/>
      <c r="AX78" s="11"/>
      <c r="AY78" s="1566" t="s">
        <v>506</v>
      </c>
      <c r="AZ78" s="1563"/>
      <c r="BA78" s="355" t="s">
        <v>29</v>
      </c>
      <c r="BB78" s="355"/>
      <c r="BC78" s="355" t="str">
        <f>"more than "&amp;TEXT(BG78,"$0")&amp;"?"</f>
        <v>more than $650?</v>
      </c>
      <c r="BD78" s="1481"/>
      <c r="BE78" s="1742">
        <v>1000</v>
      </c>
      <c r="BF78" s="1742"/>
      <c r="BG78" s="1743">
        <v>650</v>
      </c>
      <c r="BH78" s="1743"/>
      <c r="BI78" s="1743">
        <v>1500</v>
      </c>
      <c r="BJ78" s="140"/>
    </row>
    <row r="79" spans="1:63" ht="13.5" customHeight="1">
      <c r="A79" s="942"/>
      <c r="B79" s="52"/>
      <c r="C79" s="4004"/>
      <c r="D79" s="2490">
        <v>42</v>
      </c>
      <c r="E79" s="2342"/>
      <c r="F79" s="2491" t="s">
        <v>512</v>
      </c>
      <c r="G79" s="2380"/>
      <c r="H79" s="2380" t="str">
        <f>"If line 38 is "&amp;TEXT(AK78,"$0,000")&amp;" or less, multiply "&amp;TEXT(AK79,"$0,000")&amp;" by number on line 6d. Otherwise, see instructions."</f>
        <v>If line 38 is $152,525 or less, multiply $3,950 by number on line 6d. Otherwise, see instructions.</v>
      </c>
      <c r="I79" s="2343"/>
      <c r="J79" s="2380"/>
      <c r="K79" s="2380"/>
      <c r="L79" s="2380"/>
      <c r="M79" s="2380"/>
      <c r="N79" s="2380"/>
      <c r="O79" s="2380"/>
      <c r="P79" s="2380"/>
      <c r="Q79" s="2380"/>
      <c r="R79" s="2380"/>
      <c r="S79" s="2380"/>
      <c r="T79" s="2380"/>
      <c r="U79" s="2492"/>
      <c r="V79" s="2380"/>
      <c r="W79" s="2380"/>
      <c r="X79" s="2380"/>
      <c r="Y79" s="2488"/>
      <c r="Z79" s="2508"/>
      <c r="AA79" s="2526">
        <f>D79</f>
        <v>42</v>
      </c>
      <c r="AB79" s="3809">
        <f>IF(AL79&lt;&gt;"",AL79,IF(Adj_Gross_Inc&lt;=AK78,Tot_Exemptions*AK79,Ded_4_Exmptn_Wrks))</f>
        <v>0</v>
      </c>
      <c r="AC79" s="3810"/>
      <c r="AD79" s="3810"/>
      <c r="AE79" s="3810"/>
      <c r="AF79" s="3810"/>
      <c r="AG79" s="479"/>
      <c r="AH79" s="1045"/>
      <c r="AI79" s="84"/>
      <c r="AJ79" s="84"/>
      <c r="AK79" s="2919">
        <v>3950</v>
      </c>
      <c r="AL79" s="550"/>
      <c r="AM79" s="3964" t="str">
        <f>IF(AL77&lt;&gt;"","Manual Override",  IF(AI22=0,"Filing status?",  IF(ItemizedDeduct,"Schedule A","Standard")))</f>
        <v>Filing status?</v>
      </c>
      <c r="AN79" s="3965"/>
      <c r="AO79" s="10"/>
      <c r="AP79" s="11">
        <f>IF(File_Single&lt;&gt;"",SD_Single,IF(OR(File_Marr_Joint&lt;&gt;"",File_Qual_Widow&lt;&gt;""),SD_MFJW,IF(File_Head&lt;&gt;"",SD_Head,IF(File_Marr_Sep&lt;&gt;"",SD_Single,0))))</f>
        <v>0</v>
      </c>
      <c r="AQ79" s="11"/>
      <c r="AR79" s="3260">
        <v>4</v>
      </c>
      <c r="AS79" s="3273"/>
      <c r="AT79" s="3263">
        <v>17200</v>
      </c>
      <c r="AU79" s="3263">
        <v>11000</v>
      </c>
      <c r="AV79" s="3264"/>
      <c r="AW79" s="11"/>
      <c r="AX79" s="11"/>
      <c r="AY79" s="1566"/>
      <c r="AZ79" s="1564" t="str">
        <f>IF(NOT(BH75),"",IF(EarnedIncome&gt;BG78,"X",""))</f>
        <v/>
      </c>
      <c r="BA79" s="59" t="s">
        <v>27</v>
      </c>
      <c r="BB79" s="46" t="str">
        <f>TEXT(BE79,"$0")&amp;" to your earned income. Enter the total"</f>
        <v>$350 to your earned income. Enter the total</v>
      </c>
      <c r="BC79" s="46"/>
      <c r="BD79" s="46"/>
      <c r="BE79" s="1742">
        <v>350</v>
      </c>
      <c r="BF79" s="1742"/>
      <c r="BG79" s="1743"/>
      <c r="BH79" s="1743"/>
      <c r="BI79" s="1743"/>
      <c r="BJ79" s="140"/>
    </row>
    <row r="80" spans="1:63" ht="13.5" customHeight="1" thickBot="1">
      <c r="A80" s="942"/>
      <c r="B80" s="52"/>
      <c r="C80" s="4004"/>
      <c r="D80" s="2490">
        <f>D79+1</f>
        <v>43</v>
      </c>
      <c r="E80" s="2342"/>
      <c r="F80" s="2487" t="s">
        <v>747</v>
      </c>
      <c r="G80" s="2380"/>
      <c r="H80" s="2380"/>
      <c r="I80" s="2343" t="str">
        <f>" Subtract line "&amp;AA79&amp;" from line "&amp;AA78&amp;". If line "&amp;AA79&amp;" is more than line "&amp;AA78&amp;", enter -0-"</f>
        <v xml:space="preserve"> Subtract line 42 from line 41. If line 42 is more than line 41, enter -0-</v>
      </c>
      <c r="J80" s="2343"/>
      <c r="K80" s="2343"/>
      <c r="L80" s="2343"/>
      <c r="M80" s="2343"/>
      <c r="N80" s="2380"/>
      <c r="O80" s="2380"/>
      <c r="P80" s="2380"/>
      <c r="Q80" s="2380"/>
      <c r="R80" s="2380"/>
      <c r="S80" s="2380"/>
      <c r="T80" s="2380"/>
      <c r="U80" s="2380"/>
      <c r="V80" s="2380"/>
      <c r="W80" s="2380"/>
      <c r="X80" s="2380"/>
      <c r="Y80" s="2380"/>
      <c r="Z80" s="2508" t="s">
        <v>912</v>
      </c>
      <c r="AA80" s="2433">
        <f t="shared" si="2"/>
        <v>43</v>
      </c>
      <c r="AB80" s="3907" t="str">
        <f>IF(AL80&lt;&gt;"",AL80,IF(AI22=0,"",IF((AB78-AB79)&gt;0,ROUND(AB78-AB79,0),0)))</f>
        <v/>
      </c>
      <c r="AC80" s="3908"/>
      <c r="AD80" s="3908"/>
      <c r="AE80" s="3908"/>
      <c r="AF80" s="3908"/>
      <c r="AG80" s="479"/>
      <c r="AH80" s="1045"/>
      <c r="AI80" s="84"/>
      <c r="AJ80" s="84"/>
      <c r="AK80" s="84"/>
      <c r="AL80" s="550"/>
      <c r="AM80" s="11"/>
      <c r="AN80" s="1466"/>
      <c r="AO80" s="10"/>
      <c r="AP80" s="11"/>
      <c r="AQ80" s="11"/>
      <c r="AR80" s="3274"/>
      <c r="AS80" s="3275"/>
      <c r="AT80" s="3276"/>
      <c r="AU80" s="3276"/>
      <c r="AV80" s="3277"/>
      <c r="AW80" s="11"/>
      <c r="AX80" s="11"/>
      <c r="AY80" s="1566"/>
      <c r="AZ80" s="1564" t="str">
        <f>IF(NOT(BH75),"",IF(EarnedIncome&gt;BG78,"","X"))</f>
        <v/>
      </c>
      <c r="BA80" s="59" t="s">
        <v>28</v>
      </c>
      <c r="BB80" s="46" t="str">
        <f>TEXT(BE78,"$0,000")</f>
        <v>$1,000</v>
      </c>
      <c r="BC80" s="46"/>
      <c r="BD80" s="46"/>
      <c r="BE80" s="1723"/>
      <c r="BF80" s="75"/>
      <c r="BG80" s="75"/>
      <c r="BH80" s="1728" t="str">
        <f>" .   .   .   .   .   .   .   .   .   .   .   .   .   .   1."</f>
        <v xml:space="preserve"> .   .   .   .   .   .   .   .   .   .   .   .   .   .   1.</v>
      </c>
      <c r="BI80" s="1243" t="str">
        <f>IF(NOT(BH75),"",IF(AZ79="X",SUM(BE79,EarnedIncome),BE78))</f>
        <v/>
      </c>
      <c r="BJ80" s="140"/>
    </row>
    <row r="81" spans="1:62" ht="13.5" customHeight="1">
      <c r="A81" s="942"/>
      <c r="B81" s="1709"/>
      <c r="C81" s="4004"/>
      <c r="D81" s="2490">
        <f>D80+1</f>
        <v>44</v>
      </c>
      <c r="E81" s="2332"/>
      <c r="F81" s="2337" t="s">
        <v>1101</v>
      </c>
      <c r="G81" s="2334"/>
      <c r="H81" s="2334"/>
      <c r="I81" s="2334"/>
      <c r="J81" s="2334"/>
      <c r="K81" s="2334"/>
      <c r="L81" s="2334"/>
      <c r="M81" s="2334"/>
      <c r="N81" s="2296"/>
      <c r="O81" s="2488" t="s">
        <v>1102</v>
      </c>
      <c r="P81" s="2515"/>
      <c r="Q81" s="2515"/>
      <c r="R81" s="2515"/>
      <c r="S81" s="2296"/>
      <c r="T81" s="2351" t="s">
        <v>1088</v>
      </c>
      <c r="U81" s="2445"/>
      <c r="V81" s="2445"/>
      <c r="W81" s="2296"/>
      <c r="X81" s="3909"/>
      <c r="Y81" s="3910"/>
      <c r="Z81" s="3911"/>
      <c r="AA81" s="2433">
        <f t="shared" si="2"/>
        <v>44</v>
      </c>
      <c r="AB81" s="3960" t="str">
        <f>IF(AL81&lt;&gt;"",AL81,IF('Sch. D WS'!S31="Yes",'Sch. D WS'!P102,IF(CGTW,CGTW_Tax,IF(Taxable_Inc&lt;100000,AO88,AO89))))</f>
        <v>Filing status?</v>
      </c>
      <c r="AC81" s="3961"/>
      <c r="AD81" s="3961"/>
      <c r="AE81" s="3961"/>
      <c r="AF81" s="3961"/>
      <c r="AG81" s="477"/>
      <c r="AH81" s="1045"/>
      <c r="AI81" s="84"/>
      <c r="AJ81" s="84"/>
      <c r="AK81" s="84"/>
      <c r="AL81" s="550"/>
      <c r="AM81" s="1606" t="s">
        <v>946</v>
      </c>
      <c r="AN81" s="3726" t="str">
        <f>IF(AL81&lt;&gt;"","Manual override",IF(SchDTW_Used,"Sch. D Tax Worksheet",IF(CGTW,"QD &amp; CG Tax WS (Sheet 'Line 44')",IF(OR(Taxable_Inc=0,Taxable_Inc=""),"",IF(Taxable_Inc&lt;100000,"Tax Table","Tax Formula")))))</f>
        <v/>
      </c>
      <c r="AO81" s="790">
        <v>125100</v>
      </c>
      <c r="AP81" s="11"/>
      <c r="AQ81" s="11"/>
      <c r="AR81" s="11"/>
      <c r="AS81" s="11"/>
      <c r="AW81" s="11"/>
      <c r="AX81" s="11"/>
      <c r="AY81" s="1566"/>
      <c r="AZ81" s="1563"/>
      <c r="BA81" s="355"/>
      <c r="BB81" s="355"/>
      <c r="BC81" s="355"/>
      <c r="BD81" s="1481"/>
      <c r="BE81" s="433"/>
      <c r="BF81" s="433"/>
      <c r="BG81" s="22"/>
      <c r="BH81" s="46"/>
      <c r="BI81" s="22"/>
      <c r="BJ81" s="140"/>
    </row>
    <row r="82" spans="1:62" ht="13.5" customHeight="1" thickBot="1">
      <c r="A82" s="942"/>
      <c r="B82" s="1710"/>
      <c r="C82" s="4004"/>
      <c r="D82" s="2490">
        <f t="shared" ref="D82:D92" si="3">D81+1</f>
        <v>45</v>
      </c>
      <c r="E82" s="2332"/>
      <c r="F82" s="2337" t="s">
        <v>1560</v>
      </c>
      <c r="G82" s="2334"/>
      <c r="H82" s="2334"/>
      <c r="I82" s="2334"/>
      <c r="J82" s="2334"/>
      <c r="K82" s="2334"/>
      <c r="L82" s="2334"/>
      <c r="M82" s="2334"/>
      <c r="N82" s="2334"/>
      <c r="O82" s="2440"/>
      <c r="P82" s="2440"/>
      <c r="Q82" s="2440"/>
      <c r="R82" s="2440"/>
      <c r="S82" s="2508"/>
      <c r="T82" s="2514"/>
      <c r="U82" s="2514"/>
      <c r="V82" s="2449"/>
      <c r="W82" s="2449"/>
      <c r="X82" s="2514"/>
      <c r="Y82" s="2512"/>
      <c r="Z82" s="2508" t="s">
        <v>913</v>
      </c>
      <c r="AA82" s="2433">
        <f t="shared" si="2"/>
        <v>45</v>
      </c>
      <c r="AB82" s="3907" t="str">
        <f>IF(AL82&lt;&gt;"",AL82,AMT)</f>
        <v/>
      </c>
      <c r="AC82" s="3908"/>
      <c r="AD82" s="3908"/>
      <c r="AE82" s="3908"/>
      <c r="AF82" s="3908"/>
      <c r="AG82" s="476"/>
      <c r="AH82" s="1039"/>
      <c r="AI82" s="4044" t="str">
        <f>IF(F6251_Needed,"Check for AMT.","")</f>
        <v/>
      </c>
      <c r="AJ82" s="4037"/>
      <c r="AK82" s="4045"/>
      <c r="AL82" s="550"/>
      <c r="AM82" s="12"/>
      <c r="AN82" s="3727"/>
      <c r="AO82" s="791">
        <v>3650</v>
      </c>
      <c r="AP82" s="11"/>
      <c r="AQ82" s="11"/>
      <c r="AR82" s="90"/>
      <c r="AS82" s="11"/>
      <c r="AW82" s="11"/>
      <c r="AX82" s="11"/>
      <c r="AY82" s="1566" t="s">
        <v>0</v>
      </c>
      <c r="AZ82" s="1563"/>
      <c r="BA82" s="46" t="s">
        <v>324</v>
      </c>
      <c r="BB82" s="46"/>
      <c r="BC82" s="46"/>
      <c r="BD82" s="46"/>
      <c r="BE82" s="22"/>
      <c r="BF82" s="1722"/>
      <c r="BG82" s="22"/>
      <c r="BH82" s="1728"/>
      <c r="BI82" s="1391"/>
      <c r="BJ82" s="140"/>
    </row>
    <row r="83" spans="1:62" ht="13.5" customHeight="1" thickBot="1">
      <c r="A83" s="942"/>
      <c r="B83" s="1710"/>
      <c r="C83" s="4004"/>
      <c r="D83" s="2490">
        <f t="shared" si="3"/>
        <v>46</v>
      </c>
      <c r="E83" s="2332"/>
      <c r="F83" s="2333" t="s">
        <v>2226</v>
      </c>
      <c r="G83" s="2334"/>
      <c r="H83" s="2334"/>
      <c r="I83" s="2334"/>
      <c r="J83" s="2334"/>
      <c r="K83" s="2334"/>
      <c r="L83" s="2334"/>
      <c r="M83" s="2334"/>
      <c r="N83" s="2334"/>
      <c r="O83" s="2440"/>
      <c r="P83" s="2440"/>
      <c r="Q83" s="2440"/>
      <c r="R83" s="2440"/>
      <c r="S83" s="2508"/>
      <c r="T83" s="3244"/>
      <c r="U83" s="3244"/>
      <c r="V83" s="2449"/>
      <c r="W83" s="2449"/>
      <c r="X83" s="3244"/>
      <c r="Y83" s="2512"/>
      <c r="Z83" s="2508" t="s">
        <v>2227</v>
      </c>
      <c r="AA83" s="2433">
        <f t="shared" ref="AA83" si="4">D83</f>
        <v>46</v>
      </c>
      <c r="AB83" s="3907" t="str">
        <f>IF(AL83&lt;&gt;"",AL83,'8962'!AE77)</f>
        <v/>
      </c>
      <c r="AC83" s="3908"/>
      <c r="AD83" s="3908"/>
      <c r="AE83" s="3908"/>
      <c r="AF83" s="3908"/>
      <c r="AG83" s="476"/>
      <c r="AH83" s="1039"/>
      <c r="AI83" s="14"/>
      <c r="AJ83" s="14"/>
      <c r="AK83" s="14"/>
      <c r="AL83" s="550"/>
      <c r="AM83" s="12"/>
      <c r="AN83" s="1466"/>
      <c r="AO83" s="349" t="str">
        <f>"Taxable_Inc"</f>
        <v>Taxable_Inc</v>
      </c>
      <c r="AP83" s="11"/>
      <c r="AQ83" s="11"/>
      <c r="AR83" s="11"/>
      <c r="AS83" s="11"/>
      <c r="AT83" s="11"/>
      <c r="AU83" s="11"/>
      <c r="AV83" s="11"/>
      <c r="AW83" s="11"/>
      <c r="AX83" s="11"/>
      <c r="AY83" s="1565"/>
      <c r="AZ83" s="46"/>
      <c r="BA83" s="1480" t="str">
        <f>"•  Single or married filing separately -- "&amp;TEXT(SD_Single,"$0,000")</f>
        <v>•  Single or married filing separately -- $6,200</v>
      </c>
      <c r="BB83" s="46"/>
      <c r="BC83" s="46"/>
      <c r="BD83" s="1510"/>
      <c r="BE83" s="1510"/>
      <c r="BF83" s="1510"/>
      <c r="BG83" s="22"/>
      <c r="BH83" s="1391"/>
      <c r="BI83" s="46"/>
      <c r="BJ83" s="140"/>
    </row>
    <row r="84" spans="1:62" ht="13.5" customHeight="1">
      <c r="A84" s="942"/>
      <c r="B84" s="1725" t="s">
        <v>1118</v>
      </c>
      <c r="C84" s="1704" t="s">
        <v>135</v>
      </c>
      <c r="D84" s="2490">
        <f>D83+1</f>
        <v>47</v>
      </c>
      <c r="E84" s="2332"/>
      <c r="F84" s="2333" t="str">
        <f>"Add lines "&amp;D81&amp;", "&amp;D82&amp;", and "&amp;D83</f>
        <v>Add lines 44, 45, and 46</v>
      </c>
      <c r="G84" s="2334"/>
      <c r="H84" s="2334"/>
      <c r="I84" s="2334"/>
      <c r="J84" s="2334"/>
      <c r="K84" s="2334"/>
      <c r="L84" s="2334"/>
      <c r="M84" s="2334"/>
      <c r="N84" s="2338"/>
      <c r="O84" s="2440"/>
      <c r="P84" s="2440"/>
      <c r="Q84" s="2440"/>
      <c r="R84" s="2440"/>
      <c r="S84" s="2508"/>
      <c r="T84" s="2514"/>
      <c r="U84" s="2514"/>
      <c r="V84" s="2449"/>
      <c r="W84" s="2449"/>
      <c r="X84" s="2514"/>
      <c r="Y84" s="2340"/>
      <c r="Z84" s="2508" t="s">
        <v>2228</v>
      </c>
      <c r="AA84" s="2433">
        <f t="shared" si="2"/>
        <v>47</v>
      </c>
      <c r="AB84" s="3907">
        <f>IF(AL84&lt;&gt;"",AL84,ROUND(SUM(Tax,AltMinTax,AB83),0))</f>
        <v>0</v>
      </c>
      <c r="AC84" s="3908"/>
      <c r="AD84" s="3908"/>
      <c r="AE84" s="3908"/>
      <c r="AF84" s="3908"/>
      <c r="AG84" s="476"/>
      <c r="AH84" s="1039"/>
      <c r="AI84" s="14"/>
      <c r="AJ84" s="14"/>
      <c r="AK84" s="14"/>
      <c r="AL84" s="550"/>
      <c r="AM84" s="12"/>
      <c r="AN84" s="456"/>
      <c r="AO84" s="841" t="str">
        <f>Taxable_Inc</f>
        <v/>
      </c>
      <c r="AP84" s="842"/>
      <c r="AQ84" s="842"/>
      <c r="AR84" s="842"/>
      <c r="AS84" s="842"/>
      <c r="AT84" s="842"/>
      <c r="AU84" s="842"/>
      <c r="AV84" s="842"/>
      <c r="AW84" s="843"/>
      <c r="AX84" s="696"/>
      <c r="AY84" s="1565"/>
      <c r="AZ84" s="46"/>
      <c r="BA84" s="46" t="str">
        <f>"•  Married filing jointly or qualifying widow(er) -- "&amp;TEXT(SD_MFJW,"$0,000")</f>
        <v>•  Married filing jointly or qualifying widow(er) -- $12,400</v>
      </c>
      <c r="BB84" s="46"/>
      <c r="BC84" s="46"/>
      <c r="BD84" s="46"/>
      <c r="BE84" s="46"/>
      <c r="BF84" s="46"/>
      <c r="BG84" s="1391"/>
      <c r="BH84" s="1728" t="str">
        <f>" .   .   .   .   .   .   .   .   .   .   .   .   .   .   2."</f>
        <v xml:space="preserve"> .   .   .   .   .   .   .   .   .   .   .   .   .   .   2.</v>
      </c>
      <c r="BI84" s="1390" t="str">
        <f>IF(NOT(BH75),"",IF(OR(File_Single&lt;&gt;"",File_Marr_Sep&lt;&gt;""),SD_Single,IF(OR(File_Marr_Joint&lt;&gt;"",File_Qual_Widow&lt;&gt;""),SD_MFJW,IF(File_Head&lt;&gt;"",SD_Head,""))))</f>
        <v/>
      </c>
      <c r="BJ84" s="140"/>
    </row>
    <row r="85" spans="1:62" ht="13.5" customHeight="1">
      <c r="A85" s="942"/>
      <c r="B85" s="949"/>
      <c r="C85" s="4019" t="s">
        <v>1099</v>
      </c>
      <c r="D85" s="2490">
        <f>D84+1</f>
        <v>48</v>
      </c>
      <c r="E85" s="2342"/>
      <c r="F85" s="2343" t="s">
        <v>966</v>
      </c>
      <c r="G85" s="2380"/>
      <c r="H85" s="2380"/>
      <c r="I85" s="2380"/>
      <c r="J85" s="2380"/>
      <c r="K85" s="2380"/>
      <c r="L85" s="2380"/>
      <c r="M85" s="2380"/>
      <c r="N85" s="2380"/>
      <c r="O85" s="2380"/>
      <c r="P85" s="2380"/>
      <c r="Q85" s="2380"/>
      <c r="R85" s="2380"/>
      <c r="S85" s="2449" t="s">
        <v>234</v>
      </c>
      <c r="T85" s="2516">
        <f t="shared" ref="T85:T91" si="5">D85</f>
        <v>48</v>
      </c>
      <c r="U85" s="2517"/>
      <c r="V85" s="3811"/>
      <c r="W85" s="3811"/>
      <c r="X85" s="3812"/>
      <c r="Y85" s="3812"/>
      <c r="Z85" s="2518"/>
      <c r="AA85" s="2316"/>
      <c r="AB85" s="62"/>
      <c r="AC85" s="62"/>
      <c r="AD85" s="62"/>
      <c r="AE85" s="62"/>
      <c r="AF85" s="62"/>
      <c r="AG85" s="475"/>
      <c r="AH85" s="1045"/>
      <c r="AI85" s="84"/>
      <c r="AJ85" s="84"/>
      <c r="AK85" s="84"/>
      <c r="AL85" s="551"/>
      <c r="AM85" s="12"/>
      <c r="AN85" s="456"/>
      <c r="AO85" s="844" t="str">
        <f>IF(AO84&lt;&gt;"",ROUND(AO84,0),"")</f>
        <v/>
      </c>
      <c r="AP85" s="845" t="s">
        <v>127</v>
      </c>
      <c r="AQ85" s="1637" t="s">
        <v>945</v>
      </c>
      <c r="AR85" s="696" t="s">
        <v>784</v>
      </c>
      <c r="AS85" s="696" t="s">
        <v>785</v>
      </c>
      <c r="AT85" s="696" t="s">
        <v>127</v>
      </c>
      <c r="AU85" s="1637" t="s">
        <v>945</v>
      </c>
      <c r="AV85" s="696" t="s">
        <v>784</v>
      </c>
      <c r="AW85" s="699" t="s">
        <v>785</v>
      </c>
      <c r="AX85" s="696"/>
      <c r="AY85" s="1565"/>
      <c r="AZ85" s="46"/>
      <c r="BA85" s="46" t="str">
        <f>"•  Head of household -- "&amp;TEXT(SD_Head,"$0,000")</f>
        <v>•  Head of household -- $9,100</v>
      </c>
      <c r="BB85" s="46"/>
      <c r="BC85" s="46"/>
      <c r="BD85" s="46"/>
      <c r="BE85" s="46"/>
      <c r="BF85" s="46"/>
      <c r="BG85" s="1391"/>
      <c r="BH85" s="1391"/>
      <c r="BI85" s="46"/>
      <c r="BJ85" s="140"/>
    </row>
    <row r="86" spans="1:62" ht="13.5" customHeight="1">
      <c r="A86" s="942"/>
      <c r="B86" s="1711"/>
      <c r="C86" s="3990"/>
      <c r="D86" s="2490">
        <f t="shared" si="3"/>
        <v>49</v>
      </c>
      <c r="E86" s="2332"/>
      <c r="F86" s="2343" t="s">
        <v>139</v>
      </c>
      <c r="G86" s="2380"/>
      <c r="H86" s="2380"/>
      <c r="I86" s="2380"/>
      <c r="J86" s="2380"/>
      <c r="K86" s="2380"/>
      <c r="L86" s="2380"/>
      <c r="M86" s="2380"/>
      <c r="N86" s="2380"/>
      <c r="O86" s="2380"/>
      <c r="P86" s="2380"/>
      <c r="Q86" s="2380"/>
      <c r="R86" s="2380"/>
      <c r="S86" s="2449" t="s">
        <v>886</v>
      </c>
      <c r="T86" s="2519">
        <f t="shared" si="5"/>
        <v>49</v>
      </c>
      <c r="U86" s="2517"/>
      <c r="V86" s="3884" t="str">
        <f>IF(AL86&lt;&gt;"",AL86,'2441'!O59)</f>
        <v/>
      </c>
      <c r="W86" s="3884"/>
      <c r="X86" s="3885"/>
      <c r="Y86" s="3885"/>
      <c r="Z86" s="2518"/>
      <c r="AA86" s="2316"/>
      <c r="AB86" s="62"/>
      <c r="AC86" s="62"/>
      <c r="AD86" s="62"/>
      <c r="AE86" s="62"/>
      <c r="AF86" s="62"/>
      <c r="AG86" s="475"/>
      <c r="AH86" s="1045"/>
      <c r="AI86" s="84"/>
      <c r="AJ86" s="84"/>
      <c r="AK86" s="84"/>
      <c r="AL86" s="550"/>
      <c r="AM86" s="12"/>
      <c r="AN86" s="1466"/>
      <c r="AO86" s="844" t="str">
        <f>IF(AO84="","",IF(AO84&gt;=3000,INT(AO85/50),IF(AO84&gt;=25,INT(AO85/25),IF(AO84&gt;=5,INT((AO85+5)/10),0))))</f>
        <v/>
      </c>
      <c r="AP86" s="961" t="e">
        <f>LOOKUP(AO87,'Tax Table'!$A$2:$A$2063,'Tax Table'!$C$2:$C$2063)</f>
        <v>#N/A</v>
      </c>
      <c r="AQ86" s="961" t="e">
        <f>LOOKUP(AO87,'Tax Table'!$A$2:$A$2063,'Tax Table'!$D$2:$D$2063)</f>
        <v>#N/A</v>
      </c>
      <c r="AR86" s="961" t="e">
        <f>LOOKUP(AO87,'Tax Table'!$A$2:$A$2063,'Tax Table'!$E$2:$E$2063)</f>
        <v>#N/A</v>
      </c>
      <c r="AS86" s="961" t="e">
        <f>LOOKUP(AO87,'Tax Table'!$A$2:$A$2063,'Tax Table'!$F$2:$F$2063)</f>
        <v>#N/A</v>
      </c>
      <c r="AT86" s="961" t="str">
        <f>"---"</f>
        <v>---</v>
      </c>
      <c r="AU86" s="961" t="str">
        <f>"---"</f>
        <v>---</v>
      </c>
      <c r="AV86" s="961" t="str">
        <f>"---"</f>
        <v>---</v>
      </c>
      <c r="AW86" s="962" t="str">
        <f>"---"</f>
        <v>---</v>
      </c>
      <c r="AX86" s="696"/>
      <c r="AY86" s="1565"/>
      <c r="AZ86" s="46"/>
      <c r="BA86" s="46"/>
      <c r="BB86" s="46"/>
      <c r="BC86" s="46"/>
      <c r="BD86" s="46"/>
      <c r="BE86" s="46"/>
      <c r="BF86" s="46"/>
      <c r="BG86" s="1391"/>
      <c r="BH86" s="1391"/>
      <c r="BI86" s="46"/>
      <c r="BJ86" s="140"/>
    </row>
    <row r="87" spans="1:62" ht="13.5" customHeight="1">
      <c r="A87" s="942"/>
      <c r="B87" s="1710"/>
      <c r="C87" s="1713">
        <v>6200</v>
      </c>
      <c r="D87" s="2490">
        <f>D86+1</f>
        <v>50</v>
      </c>
      <c r="E87" s="2342"/>
      <c r="F87" s="2343" t="s">
        <v>1561</v>
      </c>
      <c r="G87" s="2380"/>
      <c r="H87" s="2380"/>
      <c r="I87" s="2380"/>
      <c r="J87" s="2380"/>
      <c r="K87" s="2380"/>
      <c r="L87" s="2380"/>
      <c r="M87" s="2380"/>
      <c r="N87" s="2380"/>
      <c r="O87" s="2380"/>
      <c r="P87" s="2380"/>
      <c r="Q87" s="2380"/>
      <c r="R87" s="2380"/>
      <c r="S87" s="2449" t="s">
        <v>883</v>
      </c>
      <c r="T87" s="2519">
        <f t="shared" si="5"/>
        <v>50</v>
      </c>
      <c r="U87" s="2520"/>
      <c r="V87" s="3811"/>
      <c r="W87" s="3811"/>
      <c r="X87" s="3812"/>
      <c r="Y87" s="3812"/>
      <c r="Z87" s="2518"/>
      <c r="AA87" s="2316"/>
      <c r="AB87" s="62"/>
      <c r="AC87" s="62"/>
      <c r="AD87" s="62"/>
      <c r="AE87" s="62"/>
      <c r="AF87" s="62"/>
      <c r="AG87" s="475"/>
      <c r="AH87" s="1039"/>
      <c r="AI87" s="14"/>
      <c r="AJ87" s="14"/>
      <c r="AK87" s="14"/>
      <c r="AL87" s="551"/>
      <c r="AM87" s="11"/>
      <c r="AN87" s="456"/>
      <c r="AO87" s="846" t="str">
        <f>IF(AO86="","",IF(AO85&gt;=3000,50*AO86,IF(AO85&gt;=25,25*AO86,IF(AO85&gt;=5,(10*AO86)-5,AO85))))</f>
        <v/>
      </c>
      <c r="AP87" s="961" t="e">
        <f>LOOKUP(AO87,'Tax Table'!$A$2:$A$2063,'Tax Table'!$C$2:$C$2063)</f>
        <v>#N/A</v>
      </c>
      <c r="AQ87" s="961" t="e">
        <f>LOOKUP(AO87,'Tax Table'!$A$2:$A$2063,'Tax Table'!$D$2:$D$2063)</f>
        <v>#N/A</v>
      </c>
      <c r="AR87" s="961" t="e">
        <f>LOOKUP(AO87,'Tax Table'!$A$2:$A$2063,'Tax Table'!$E$2:$E$2063)</f>
        <v>#N/A</v>
      </c>
      <c r="AS87" s="961" t="e">
        <f>LOOKUP(AO87,'Tax Table'!$A$2:$A$2063,'Tax Table'!$F$2:$F$2063)</f>
        <v>#N/A</v>
      </c>
      <c r="AT87" s="961" t="e">
        <f>IF(AO84&lt;SectA_a3,"---",IF(AO84&lt;=SectA_a4,ROUND((AO84*(SectA_b4/100)-SectA_d4),0),IF(AO84&lt;=SectA_a5,ROUND((AO84*(SectA_b5/100)-SectA_d5),0),IF(AO84&lt;=SectA_a6,ROUND((AO84*(SectA_b6/100)-SectA_d6),0),ROUND((AO84*(SectA_b7/100)-SectA_d7),0)))))</f>
        <v>#VALUE!</v>
      </c>
      <c r="AU87" s="961" t="e">
        <f>IF(AO84&lt;SectB_a2,"---",IF(AO84&lt;=SectB_a3,ROUND((AO84*(SectB_b3/100)-SectB_d3),0),IF(AO84&lt;=SectB_a4,ROUND((AO84*(SectB_b4/100)-SectB_d4),0),IF(AO84&lt;=SectB_a5,ROUND((AO84*(SectB_b5/100)-SectB_d5),0),IF(AO84&lt;=SectB_a6,ROUND((AO84*(SectB_b6/100)-SectB_d6),0),ROUND((AO84*(SectB_b7/100)-SectB_d7),0))))))</f>
        <v>#VALUE!</v>
      </c>
      <c r="AV87" s="961" t="e">
        <f>IF(AO84&lt;SectC_a2,"---",IF(AO84&lt;=SectC_a3,ROUND((AO84*(SectC_b3/100)-SectC_d3),0),IF(AO84&lt;=SectC_a4,ROUND((AO84*(SectC_b4/100)-SectC_d4),0),IF(AO84&lt;=SectC_a5,ROUND((AO84*(SectC_b5/100)-SectC_d5),0),ROUND((AO84*(SectC_b6/100)-SectC_d6),0)))))</f>
        <v>#VALUE!</v>
      </c>
      <c r="AW87" s="962" t="e">
        <f>IF(AO84&lt;SectD_a2,"---",IF(AO84&lt;=SectD_a3,ROUND((AO84*(SectD_b3/100)-SectD_d3),0),IF(AO84&lt;=SectD_a4,ROUND((AO84*(SectD_b4/100)-SectD_d4),0),IF(AO84&lt;=SectD_a5,ROUND((AO84*(SectD_b5/100)-SectD_d5),0),IF(AO84&lt;=SectD_a6,ROUND((AO84*(SectD_b6/100)-SectD_d6),0),ROUND((AO84*(SectD_b7/100)-SectD_d7),0))))))</f>
        <v>#VALUE!</v>
      </c>
      <c r="AX87" s="696"/>
      <c r="AY87" s="1566" t="s">
        <v>1</v>
      </c>
      <c r="AZ87" s="1563"/>
      <c r="BA87" s="59" t="s">
        <v>1112</v>
      </c>
      <c r="BB87" s="46"/>
      <c r="BC87" s="46"/>
      <c r="BD87" s="46"/>
      <c r="BE87" s="46"/>
      <c r="BF87" s="46"/>
      <c r="BG87" s="1391"/>
      <c r="BH87" s="1391"/>
      <c r="BI87" s="1485"/>
      <c r="BJ87" s="140"/>
    </row>
    <row r="88" spans="1:62" ht="13.5" customHeight="1">
      <c r="A88" s="942"/>
      <c r="B88" s="1711"/>
      <c r="C88" s="4020" t="s">
        <v>1100</v>
      </c>
      <c r="D88" s="2490">
        <f>D87+1</f>
        <v>51</v>
      </c>
      <c r="E88" s="2342"/>
      <c r="F88" s="2343" t="s">
        <v>965</v>
      </c>
      <c r="G88" s="2380"/>
      <c r="H88" s="2380"/>
      <c r="I88" s="2380"/>
      <c r="J88" s="2380"/>
      <c r="K88" s="2380"/>
      <c r="L88" s="2380"/>
      <c r="M88" s="2380"/>
      <c r="N88" s="2380"/>
      <c r="O88" s="2380"/>
      <c r="P88" s="2380"/>
      <c r="Q88" s="2380"/>
      <c r="R88" s="2380"/>
      <c r="S88" s="2449" t="s">
        <v>967</v>
      </c>
      <c r="T88" s="2516">
        <f t="shared" si="5"/>
        <v>51</v>
      </c>
      <c r="U88" s="2520"/>
      <c r="V88" s="3811"/>
      <c r="W88" s="3811"/>
      <c r="X88" s="3812"/>
      <c r="Y88" s="3812"/>
      <c r="Z88" s="2518"/>
      <c r="AA88" s="2316"/>
      <c r="AB88" s="1256" t="str">
        <f>IF(AL89&lt;&gt;"","",IF(AND(AL89="",Qual_Child_Count&gt;0,LEFT(Pub_972,6)=" Check"),"See sheet",""))</f>
        <v/>
      </c>
      <c r="AC88" s="62"/>
      <c r="AD88" s="62"/>
      <c r="AE88" s="62"/>
      <c r="AF88" s="62"/>
      <c r="AG88" s="475"/>
      <c r="AH88" s="1039"/>
      <c r="AI88" s="14"/>
      <c r="AJ88" s="14"/>
      <c r="AK88" s="14"/>
      <c r="AL88" s="551"/>
      <c r="AM88" s="11"/>
      <c r="AN88" s="456"/>
      <c r="AO88" s="698" t="str">
        <f>IF(File_Single&lt;&gt;"",AP87,IF(File_Marr_Joint&lt;&gt;"",AQ87,IF(File_Marr_Sep&lt;&gt;"", AR87,IF(File_Head&lt;&gt;"",AS87,IF(File_Qual_Widow&lt;&gt;"",AQ87,"Filing status?")))))</f>
        <v>Filing status?</v>
      </c>
      <c r="AP88" s="696" t="str">
        <f>"&lt;100k"</f>
        <v>&lt;100k</v>
      </c>
      <c r="AQ88" s="1308"/>
      <c r="AR88" s="1308"/>
      <c r="AS88" s="1308"/>
      <c r="AT88" s="1308"/>
      <c r="AU88" s="1308"/>
      <c r="AV88" s="696"/>
      <c r="AW88" s="699"/>
      <c r="AX88" s="696"/>
      <c r="AY88" s="1566"/>
      <c r="AZ88" s="1724" t="s">
        <v>1114</v>
      </c>
      <c r="BA88" s="183" t="s">
        <v>1119</v>
      </c>
      <c r="BB88" s="46"/>
      <c r="BC88" s="46"/>
      <c r="BD88" s="1726" t="s">
        <v>1120</v>
      </c>
      <c r="BE88" s="68" t="str">
        <f>"1, "&amp;TaxYear-64&amp;",  and not"</f>
        <v>1, 1950,  and not</v>
      </c>
      <c r="BF88" s="1727" t="s">
        <v>1124</v>
      </c>
      <c r="BG88" s="1727"/>
      <c r="BH88" s="1391"/>
      <c r="BI88" s="1485"/>
      <c r="BJ88" s="140"/>
    </row>
    <row r="89" spans="1:62" ht="13.5" customHeight="1" thickBot="1">
      <c r="A89" s="942"/>
      <c r="B89" s="949"/>
      <c r="C89" s="4021"/>
      <c r="D89" s="2490">
        <f>D88+1</f>
        <v>52</v>
      </c>
      <c r="E89" s="2342"/>
      <c r="F89" s="2343" t="s">
        <v>1562</v>
      </c>
      <c r="G89" s="2380"/>
      <c r="H89" s="2380"/>
      <c r="I89" s="2380"/>
      <c r="J89" s="2380"/>
      <c r="K89" s="2380"/>
      <c r="L89" s="2380"/>
      <c r="M89" s="2380"/>
      <c r="N89" s="2380"/>
      <c r="O89" s="2380"/>
      <c r="P89" s="2380"/>
      <c r="Q89" s="2380"/>
      <c r="R89" s="2380"/>
      <c r="S89" s="2449" t="s">
        <v>964</v>
      </c>
      <c r="T89" s="2519">
        <f t="shared" si="5"/>
        <v>52</v>
      </c>
      <c r="U89" s="2520"/>
      <c r="V89" s="3884">
        <f>IF(AL89&lt;&gt;"",AL89,IF(AND(Qual_Child_Count&gt;0,Pub_972&lt;&gt;"Complete."),"",Child_Tax_Credit))</f>
        <v>0</v>
      </c>
      <c r="W89" s="3884"/>
      <c r="X89" s="3885"/>
      <c r="Y89" s="3885"/>
      <c r="Z89" s="2518"/>
      <c r="AA89" s="2316"/>
      <c r="AB89" s="1256" t="str">
        <f>IF(AL89&lt;&gt;"","",IF(AND(AL89="",Qual_Child_Count&gt;0,LEFT(Pub_972,6)=" Check"),"'Line 52' to figure ",""))</f>
        <v/>
      </c>
      <c r="AC89" s="772"/>
      <c r="AD89" s="772"/>
      <c r="AE89" s="772"/>
      <c r="AF89" s="772"/>
      <c r="AG89" s="475"/>
      <c r="AH89" s="1039"/>
      <c r="AI89" s="14"/>
      <c r="AJ89" s="14"/>
      <c r="AK89" s="14"/>
      <c r="AL89" s="550"/>
      <c r="AN89" s="456"/>
      <c r="AO89" s="697" t="str">
        <f>IF(File_Single&lt;&gt;"",AT87,IF(OR(File_Marr_Joint&lt;&gt;"",File_Qual_Widow&lt;&gt;""),AU87,IF(File_Marr_Sep&lt;&gt;"", AV87,IF(File_Head&lt;&gt;"",AW87,"Filing status?"))))</f>
        <v>Filing status?</v>
      </c>
      <c r="AP89" s="847" t="str">
        <f>"&gt;=100k"</f>
        <v>&gt;=100k</v>
      </c>
      <c r="AQ89" s="847"/>
      <c r="AR89" s="847"/>
      <c r="AS89" s="847"/>
      <c r="AT89" s="847"/>
      <c r="AU89" s="847"/>
      <c r="AV89" s="847"/>
      <c r="AW89" s="848"/>
      <c r="AX89" s="696"/>
      <c r="AY89" s="1566"/>
      <c r="AZ89" s="1563"/>
      <c r="BA89" s="183" t="s">
        <v>1115</v>
      </c>
      <c r="BB89" s="46"/>
      <c r="BC89" s="46"/>
      <c r="BD89" s="46"/>
      <c r="BE89" s="46"/>
      <c r="BF89" s="46"/>
      <c r="BG89" s="1391"/>
      <c r="BH89" s="1728" t="s">
        <v>1121</v>
      </c>
      <c r="BI89" s="1243" t="str">
        <f>IF(NOT(BH75),"",MIN(BI80,BI84))</f>
        <v/>
      </c>
      <c r="BJ89" s="140"/>
    </row>
    <row r="90" spans="1:62" ht="13.5" customHeight="1">
      <c r="A90" s="942"/>
      <c r="B90" s="1711"/>
      <c r="C90" s="1713">
        <v>12400</v>
      </c>
      <c r="D90" s="2490">
        <f t="shared" si="3"/>
        <v>53</v>
      </c>
      <c r="E90" s="2342"/>
      <c r="F90" s="2343" t="s">
        <v>870</v>
      </c>
      <c r="G90" s="2343"/>
      <c r="H90" s="2343"/>
      <c r="I90" s="2343"/>
      <c r="J90" s="2343"/>
      <c r="K90" s="2343"/>
      <c r="L90" s="2343"/>
      <c r="M90" s="2343"/>
      <c r="N90" s="2343"/>
      <c r="O90" s="2343"/>
      <c r="P90" s="2343"/>
      <c r="Q90" s="2343"/>
      <c r="R90" s="2343"/>
      <c r="S90" s="2449" t="s">
        <v>1563</v>
      </c>
      <c r="T90" s="2519">
        <f t="shared" si="5"/>
        <v>53</v>
      </c>
      <c r="U90" s="2520"/>
      <c r="V90" s="3811"/>
      <c r="W90" s="3811"/>
      <c r="X90" s="3812"/>
      <c r="Y90" s="3812"/>
      <c r="Z90" s="2518"/>
      <c r="AA90" s="2316"/>
      <c r="AB90" s="1256" t="str">
        <f>IF(AL89&lt;&gt;"","",IF(AND(AL89="",Qual_Child_Count&gt;0,LEFT(Pub_972,6)=" Check"),"child tax credit.",""))</f>
        <v/>
      </c>
      <c r="AC90" s="62"/>
      <c r="AD90" s="62"/>
      <c r="AE90" s="62"/>
      <c r="AF90" s="62"/>
      <c r="AG90" s="475"/>
      <c r="AH90" s="1039"/>
      <c r="AI90" s="14"/>
      <c r="AJ90" s="14"/>
      <c r="AK90" s="14"/>
      <c r="AL90" s="551"/>
      <c r="AN90" s="456"/>
      <c r="AO90" s="11"/>
      <c r="AP90" s="11"/>
      <c r="AQ90" s="11"/>
      <c r="AR90" s="11"/>
      <c r="AS90" s="11"/>
      <c r="AT90" s="1466"/>
      <c r="AU90" s="1466"/>
      <c r="AV90" s="1466"/>
      <c r="AW90" s="11"/>
      <c r="AX90" s="11"/>
      <c r="AY90" s="1566"/>
      <c r="AZ90" s="1724" t="s">
        <v>1116</v>
      </c>
      <c r="BA90" s="183" t="str">
        <f>"If born before January 2, "&amp;TaxYear-64&amp;", or blind, multiply the number on Form 1040, line 39a, by "&amp;TEXT(BI77,"$0,000")</f>
        <v>If born before January 2, 1950, or blind, multiply the number on Form 1040, line 39a, by $1,200</v>
      </c>
      <c r="BB90" s="46"/>
      <c r="BC90" s="46"/>
      <c r="BD90" s="46"/>
      <c r="BE90" s="46"/>
      <c r="BF90" s="46"/>
      <c r="BG90" s="1391"/>
      <c r="BH90" s="1391"/>
      <c r="BI90" s="1485"/>
      <c r="BJ90" s="140"/>
    </row>
    <row r="91" spans="1:62" ht="13.5" customHeight="1">
      <c r="A91" s="942"/>
      <c r="B91" s="1710"/>
      <c r="C91" s="3989" t="s">
        <v>463</v>
      </c>
      <c r="D91" s="2490">
        <f t="shared" si="3"/>
        <v>54</v>
      </c>
      <c r="E91" s="2342"/>
      <c r="F91" s="2333" t="s">
        <v>2229</v>
      </c>
      <c r="G91" s="2343"/>
      <c r="H91" s="2500"/>
      <c r="I91" s="2500"/>
      <c r="J91" s="2500"/>
      <c r="K91" s="2303"/>
      <c r="L91" s="2521" t="s">
        <v>2337</v>
      </c>
      <c r="M91" s="2521"/>
      <c r="N91" s="2303"/>
      <c r="O91" s="4008" t="s">
        <v>968</v>
      </c>
      <c r="P91" s="4009"/>
      <c r="Q91" s="2303"/>
      <c r="R91" s="3958"/>
      <c r="S91" s="3959"/>
      <c r="T91" s="2519">
        <f t="shared" si="5"/>
        <v>54</v>
      </c>
      <c r="U91" s="2520"/>
      <c r="V91" s="3811"/>
      <c r="W91" s="3811"/>
      <c r="X91" s="3812"/>
      <c r="Y91" s="3812"/>
      <c r="Z91" s="2518"/>
      <c r="AA91" s="2316"/>
      <c r="AB91" s="1256"/>
      <c r="AC91" s="62"/>
      <c r="AD91" s="62"/>
      <c r="AE91" s="62"/>
      <c r="AF91" s="62"/>
      <c r="AG91" s="475"/>
      <c r="AH91" s="1039"/>
      <c r="AI91" s="14"/>
      <c r="AJ91" s="14"/>
      <c r="AK91" s="14"/>
      <c r="AL91" s="551"/>
      <c r="AN91" s="456"/>
      <c r="AO91" s="313"/>
      <c r="AP91" s="313" t="str">
        <f>IF(File_Single&lt;&gt;"","Single",IF(File_Marr_Joint&lt;&gt;"","MFJ",IF(File_Marr_Sep&lt;&gt;"", "MFS",IF(File_Head&lt;&gt;"","HOH",IF(File_Qual_Widow&lt;&gt;"","QWidow(er)","Filing status?")))))</f>
        <v>Filing status?</v>
      </c>
      <c r="AQ91" s="313"/>
      <c r="AR91" s="313"/>
      <c r="AS91" s="313"/>
      <c r="AT91" s="1631" t="s">
        <v>62</v>
      </c>
      <c r="AU91" s="1631" t="s">
        <v>85</v>
      </c>
      <c r="AV91" s="1631" t="s">
        <v>154</v>
      </c>
      <c r="AW91" s="313"/>
      <c r="AX91" s="313"/>
      <c r="AY91" s="1566"/>
      <c r="AZ91" s="1563"/>
      <c r="BA91" s="183" t="str">
        <f>"("&amp;TEXT(BI78,"$0,000")&amp;" if single or head of household)"</f>
        <v>($1,500 if single or head of household)</v>
      </c>
      <c r="BB91" s="46"/>
      <c r="BC91" s="46"/>
      <c r="BD91" s="46"/>
      <c r="BE91" s="46"/>
      <c r="BF91" s="46"/>
      <c r="BG91" s="1391"/>
      <c r="BH91" s="1728" t="s">
        <v>1122</v>
      </c>
      <c r="BI91" s="1243" t="str">
        <f>IF(OR(NOT(BH75),AND(you_over_64="",sp_over_64="",you_blind="",sp_blind="")),"",IF(OR(File_Single&lt;&gt;"",File_Head&lt;&gt;""),Over_65_or_Blind*BI78,Over_65_or_Blind*BI77))</f>
        <v/>
      </c>
      <c r="BJ91" s="140"/>
    </row>
    <row r="92" spans="1:62" ht="13.5" customHeight="1">
      <c r="A92" s="942"/>
      <c r="B92" s="949"/>
      <c r="C92" s="3990"/>
      <c r="D92" s="2490">
        <f t="shared" si="3"/>
        <v>55</v>
      </c>
      <c r="E92" s="2492"/>
      <c r="F92" s="2343" t="str">
        <f>"Add lines "&amp;T85&amp;" through "&amp;T91&amp;"."</f>
        <v>Add lines 48 through 54.</v>
      </c>
      <c r="G92" s="2334"/>
      <c r="H92" s="2334"/>
      <c r="I92" s="2334"/>
      <c r="J92" s="2334"/>
      <c r="K92" s="2334"/>
      <c r="L92" s="2334"/>
      <c r="M92" s="2334"/>
      <c r="N92" s="2343" t="s">
        <v>50</v>
      </c>
      <c r="O92" s="2440"/>
      <c r="P92" s="2440"/>
      <c r="Q92" s="2440"/>
      <c r="R92" s="2440"/>
      <c r="S92" s="2440"/>
      <c r="T92" s="2522"/>
      <c r="U92" s="2522"/>
      <c r="V92" s="2522"/>
      <c r="W92" s="2522"/>
      <c r="X92" s="2522"/>
      <c r="Y92" s="2523"/>
      <c r="Z92" s="2524"/>
      <c r="AA92" s="2433">
        <f>D92</f>
        <v>55</v>
      </c>
      <c r="AB92" s="3790">
        <f>IF(AL92&lt;&gt;"",AL92,ROUND(SUM(V85:V91),0))</f>
        <v>0</v>
      </c>
      <c r="AC92" s="3791"/>
      <c r="AD92" s="3791"/>
      <c r="AE92" s="3791"/>
      <c r="AF92" s="3791"/>
      <c r="AG92" s="477"/>
      <c r="AH92" s="1039"/>
      <c r="AI92" s="14"/>
      <c r="AJ92" s="14"/>
      <c r="AK92" s="14"/>
      <c r="AL92" s="550"/>
      <c r="AN92" s="456"/>
      <c r="AO92" s="456"/>
      <c r="AP92" s="456"/>
      <c r="AQ92" s="456"/>
      <c r="AR92" s="456"/>
      <c r="AT92" s="1618" t="s">
        <v>936</v>
      </c>
      <c r="AU92" s="68"/>
      <c r="AV92" s="68"/>
      <c r="AW92" s="313"/>
      <c r="AX92" s="313"/>
      <c r="AY92" s="1566"/>
      <c r="AZ92" s="1726" t="s">
        <v>1113</v>
      </c>
      <c r="BA92" s="183" t="s">
        <v>1117</v>
      </c>
      <c r="BB92" s="46"/>
      <c r="BC92" s="46"/>
      <c r="BD92" s="46"/>
      <c r="BE92" s="46"/>
      <c r="BF92" s="46"/>
      <c r="BG92" s="46"/>
      <c r="BH92" s="1728" t="s">
        <v>1123</v>
      </c>
      <c r="BI92" s="1390" t="str">
        <f>IF(NOT(BH75),"",SUM(BI89,BI91))</f>
        <v/>
      </c>
      <c r="BJ92" s="140"/>
    </row>
    <row r="93" spans="1:62" ht="13.5" customHeight="1">
      <c r="A93" s="942"/>
      <c r="B93" s="1712"/>
      <c r="C93" s="1714">
        <v>9100</v>
      </c>
      <c r="D93" s="2493">
        <f t="shared" ref="D93:D103" si="6">D92+1</f>
        <v>56</v>
      </c>
      <c r="E93" s="2348"/>
      <c r="F93" s="2349" t="str">
        <f>"Subtract line "&amp;AA92&amp;" from line "&amp;AA84&amp;". If line "&amp;AA92&amp;" is more than line "&amp;AA84&amp;", enter -0 -"</f>
        <v>Subtract line 55 from line 47. If line 55 is more than line 47, enter -0 -</v>
      </c>
      <c r="G93" s="2350"/>
      <c r="H93" s="2350"/>
      <c r="I93" s="2350"/>
      <c r="J93" s="2350"/>
      <c r="K93" s="2350"/>
      <c r="L93" s="2350"/>
      <c r="M93" s="2350"/>
      <c r="N93" s="2350"/>
      <c r="O93" s="2458"/>
      <c r="P93" s="2458"/>
      <c r="Q93" s="2458"/>
      <c r="R93" s="2458"/>
      <c r="S93" s="2458"/>
      <c r="T93" s="2458"/>
      <c r="U93" s="2458"/>
      <c r="V93" s="2458"/>
      <c r="W93" s="2458"/>
      <c r="X93" s="2458"/>
      <c r="Y93" s="2525" t="s">
        <v>907</v>
      </c>
      <c r="Z93" s="2525"/>
      <c r="AA93" s="2433">
        <f t="shared" ref="AA93:AA101" si="7">D93</f>
        <v>56</v>
      </c>
      <c r="AB93" s="3790">
        <f>IF(AL93&lt;&gt;"",AL93,IF(AB92&gt;F1040_Line47,0,ROUND(SUM(F1040_Line47,-AB92),0)))</f>
        <v>0</v>
      </c>
      <c r="AC93" s="3791"/>
      <c r="AD93" s="3791"/>
      <c r="AE93" s="3791"/>
      <c r="AF93" s="3791"/>
      <c r="AG93" s="477"/>
      <c r="AH93" s="1039"/>
      <c r="AI93" s="14"/>
      <c r="AJ93" s="14"/>
      <c r="AK93" s="14"/>
      <c r="AL93" s="550"/>
      <c r="AN93" s="1466"/>
      <c r="AO93" s="1466"/>
      <c r="AP93" s="1466"/>
      <c r="AQ93" s="1466"/>
      <c r="AR93" s="1466"/>
      <c r="AS93" s="1556">
        <v>1</v>
      </c>
      <c r="AT93" s="2902" t="s">
        <v>1713</v>
      </c>
      <c r="AU93" s="1470"/>
      <c r="AV93" s="1626"/>
      <c r="AW93" s="313"/>
      <c r="AX93" s="313"/>
      <c r="AY93" s="1566"/>
      <c r="AZ93" s="183"/>
      <c r="BA93" s="183"/>
      <c r="BB93" s="46"/>
      <c r="BC93" s="46"/>
      <c r="BD93" s="46"/>
      <c r="BE93" s="46"/>
      <c r="BF93" s="46"/>
      <c r="BG93" s="46"/>
      <c r="BH93" s="75"/>
      <c r="BI93" s="1391"/>
      <c r="BJ93" s="140"/>
    </row>
    <row r="94" spans="1:62" ht="13.5" customHeight="1">
      <c r="A94" s="942"/>
      <c r="B94" s="401"/>
      <c r="C94" s="573"/>
      <c r="D94" s="2494">
        <f t="shared" si="6"/>
        <v>57</v>
      </c>
      <c r="E94" s="2495"/>
      <c r="F94" s="2496" t="s">
        <v>118</v>
      </c>
      <c r="G94" s="2497"/>
      <c r="H94" s="2497"/>
      <c r="I94" s="2497"/>
      <c r="J94" s="2497"/>
      <c r="K94" s="2497"/>
      <c r="L94" s="2497"/>
      <c r="M94" s="2497"/>
      <c r="N94" s="2497"/>
      <c r="O94" s="2497"/>
      <c r="P94" s="2497"/>
      <c r="Q94" s="2497"/>
      <c r="R94" s="2497"/>
      <c r="S94" s="2497"/>
      <c r="T94" s="2522"/>
      <c r="U94" s="2531"/>
      <c r="V94" s="2522"/>
      <c r="W94" s="2522"/>
      <c r="X94" s="2522"/>
      <c r="Y94" s="2532"/>
      <c r="Z94" s="2524"/>
      <c r="AA94" s="2433">
        <f t="shared" si="7"/>
        <v>57</v>
      </c>
      <c r="AB94" s="3960">
        <f>IF(AL94&lt;&gt;"",AL94,IF('Sch. SE'!C43&lt;&gt;"",'Sch. SE'!V66,IF('Sch. SE'!P43&lt;&gt;"",'Sch. SE'!V110,0)))</f>
        <v>0</v>
      </c>
      <c r="AC94" s="3961"/>
      <c r="AD94" s="3961"/>
      <c r="AE94" s="3961"/>
      <c r="AF94" s="3961"/>
      <c r="AG94" s="477"/>
      <c r="AH94" s="1039"/>
      <c r="AI94" s="14"/>
      <c r="AJ94" s="14"/>
      <c r="AK94" s="14"/>
      <c r="AL94" s="550"/>
      <c r="AN94" s="456"/>
      <c r="AO94" s="1466"/>
      <c r="AP94" s="1466"/>
      <c r="AQ94" s="1466"/>
      <c r="AR94" s="1466"/>
      <c r="AS94" s="1556">
        <v>2</v>
      </c>
      <c r="AT94" s="2903" t="s">
        <v>1714</v>
      </c>
      <c r="AU94" s="313"/>
      <c r="AV94" s="1627"/>
      <c r="AW94" s="313"/>
      <c r="AX94" s="313"/>
      <c r="AY94" s="1729" t="s">
        <v>2354</v>
      </c>
      <c r="AZ94" s="1563"/>
      <c r="BA94" s="46"/>
      <c r="BB94" s="46"/>
      <c r="BC94" s="46"/>
      <c r="BD94" s="46"/>
      <c r="BE94" s="46"/>
      <c r="BF94" s="46"/>
      <c r="BG94" s="46"/>
      <c r="BH94" s="46"/>
      <c r="BI94" s="46"/>
      <c r="BJ94" s="140"/>
    </row>
    <row r="95" spans="1:62" ht="13.5" customHeight="1">
      <c r="A95" s="942"/>
      <c r="B95" s="401"/>
      <c r="C95" s="695" t="s">
        <v>689</v>
      </c>
      <c r="D95" s="2331">
        <f t="shared" si="6"/>
        <v>58</v>
      </c>
      <c r="E95" s="2332"/>
      <c r="F95" s="2343" t="s">
        <v>879</v>
      </c>
      <c r="G95" s="2497"/>
      <c r="H95" s="2497"/>
      <c r="I95" s="2497"/>
      <c r="J95" s="2497"/>
      <c r="K95" s="2497"/>
      <c r="L95" s="2497"/>
      <c r="M95" s="2497"/>
      <c r="N95" s="2497"/>
      <c r="O95" s="2497"/>
      <c r="P95" s="2497"/>
      <c r="Q95" s="2497"/>
      <c r="R95" s="2528" t="s">
        <v>62</v>
      </c>
      <c r="S95" s="2303"/>
      <c r="T95" s="2533" t="str">
        <f>"4137"</f>
        <v>4137</v>
      </c>
      <c r="U95" s="2534" t="s">
        <v>85</v>
      </c>
      <c r="V95" s="2303"/>
      <c r="W95" s="2497" t="str">
        <f>"8919"</f>
        <v>8919</v>
      </c>
      <c r="X95" s="2497"/>
      <c r="Y95" s="2536"/>
      <c r="Z95" s="2536"/>
      <c r="AA95" s="2433">
        <f t="shared" si="7"/>
        <v>58</v>
      </c>
      <c r="AB95" s="3792"/>
      <c r="AC95" s="3793"/>
      <c r="AD95" s="3793"/>
      <c r="AE95" s="3793"/>
      <c r="AF95" s="3793"/>
      <c r="AG95" s="483"/>
      <c r="AH95" s="1039"/>
      <c r="AI95" s="14"/>
      <c r="AJ95" s="14"/>
      <c r="AK95" s="14"/>
      <c r="AL95" s="551"/>
      <c r="AN95" s="456"/>
      <c r="AO95" s="1466">
        <v>99999</v>
      </c>
      <c r="AP95" s="1466">
        <f>AV95</f>
        <v>0</v>
      </c>
      <c r="AQ95" s="2901">
        <f>AU95/100</f>
        <v>0</v>
      </c>
      <c r="AR95" s="2904" t="s">
        <v>1479</v>
      </c>
      <c r="AS95" s="1556">
        <v>3</v>
      </c>
      <c r="AT95" s="1621">
        <v>100000</v>
      </c>
      <c r="AU95" s="313"/>
      <c r="AV95" s="1627"/>
      <c r="AW95" s="313"/>
      <c r="AX95" s="313"/>
      <c r="AY95" s="1730" t="s">
        <v>2355</v>
      </c>
      <c r="AZ95" s="1563"/>
      <c r="BA95" s="46"/>
      <c r="BB95" s="46"/>
      <c r="BC95" s="46"/>
      <c r="BD95" s="46"/>
      <c r="BE95" s="46"/>
      <c r="BF95" s="46"/>
      <c r="BG95" s="46"/>
      <c r="BH95" s="46"/>
      <c r="BI95" s="46"/>
      <c r="BJ95" s="140"/>
    </row>
    <row r="96" spans="1:62" ht="13.5" customHeight="1" thickBot="1">
      <c r="A96" s="942"/>
      <c r="B96" s="401"/>
      <c r="C96" s="695" t="str">
        <f>IF(AI96="","Taxes","Taxes    No")</f>
        <v>Taxes</v>
      </c>
      <c r="D96" s="2331">
        <f t="shared" si="6"/>
        <v>59</v>
      </c>
      <c r="E96" s="2342"/>
      <c r="F96" s="3652" t="s">
        <v>12</v>
      </c>
      <c r="G96" s="2497"/>
      <c r="H96" s="2497"/>
      <c r="I96" s="2497"/>
      <c r="J96" s="2497"/>
      <c r="K96" s="2497"/>
      <c r="L96" s="2497"/>
      <c r="M96" s="2497"/>
      <c r="N96" s="2497"/>
      <c r="O96" s="2497"/>
      <c r="P96" s="2497"/>
      <c r="Q96" s="2497"/>
      <c r="R96" s="2497"/>
      <c r="S96" s="2497"/>
      <c r="T96" s="2497"/>
      <c r="U96" s="2497"/>
      <c r="V96" s="2497"/>
      <c r="W96" s="2497"/>
      <c r="X96" s="2497"/>
      <c r="Y96" s="2497"/>
      <c r="Z96" s="2497"/>
      <c r="AA96" s="2433">
        <f t="shared" si="7"/>
        <v>59</v>
      </c>
      <c r="AB96" s="3792"/>
      <c r="AC96" s="3793"/>
      <c r="AD96" s="3793"/>
      <c r="AE96" s="3793"/>
      <c r="AF96" s="3793"/>
      <c r="AG96" s="483"/>
      <c r="AH96" s="1602" t="b">
        <f>IF(AB96=0,FALSE,IF(AB96&lt;&gt;"",TRUE,FALSE))</f>
        <v>0</v>
      </c>
      <c r="AI96" s="1605"/>
      <c r="AJ96" s="4047" t="s">
        <v>2700</v>
      </c>
      <c r="AK96" s="4047"/>
      <c r="AL96" s="551"/>
      <c r="AN96" s="456"/>
      <c r="AO96" s="1466">
        <v>100000</v>
      </c>
      <c r="AP96" s="1466">
        <f>AV96</f>
        <v>6824.25</v>
      </c>
      <c r="AQ96" s="2901">
        <f>AU96/100</f>
        <v>0.28000000000000003</v>
      </c>
      <c r="AR96" s="1466">
        <f>ROUND((AO96*SectA_b4/100)-SectA_d4,0)</f>
        <v>21176</v>
      </c>
      <c r="AS96" s="1556">
        <v>4</v>
      </c>
      <c r="AT96" s="1621">
        <v>186350</v>
      </c>
      <c r="AU96" s="313">
        <v>28</v>
      </c>
      <c r="AV96" s="1627">
        <v>6824.25</v>
      </c>
      <c r="AW96" s="313"/>
      <c r="AX96" s="313"/>
      <c r="AY96" s="1731" t="s">
        <v>2356</v>
      </c>
      <c r="AZ96" s="55"/>
      <c r="BA96" s="55"/>
      <c r="BB96" s="55"/>
      <c r="BC96" s="55"/>
      <c r="BD96" s="55"/>
      <c r="BE96" s="55"/>
      <c r="BF96" s="55"/>
      <c r="BG96" s="55"/>
      <c r="BH96" s="55"/>
      <c r="BI96" s="55"/>
      <c r="BJ96" s="141"/>
    </row>
    <row r="97" spans="1:62" ht="13.5" customHeight="1">
      <c r="A97" s="942"/>
      <c r="B97" s="401"/>
      <c r="C97" s="1600"/>
      <c r="D97" s="2331">
        <f t="shared" si="6"/>
        <v>60</v>
      </c>
      <c r="E97" s="2390" t="s">
        <v>62</v>
      </c>
      <c r="F97" s="2343" t="s">
        <v>1091</v>
      </c>
      <c r="G97" s="2497"/>
      <c r="H97" s="2497"/>
      <c r="I97" s="2501"/>
      <c r="J97" s="2502"/>
      <c r="K97" s="2394"/>
      <c r="L97" s="2394"/>
      <c r="M97" s="2394"/>
      <c r="N97" s="2394"/>
      <c r="O97" s="2529"/>
      <c r="P97" s="2529"/>
      <c r="Q97" s="2530"/>
      <c r="R97" s="2394"/>
      <c r="S97" s="2394"/>
      <c r="T97" s="2535"/>
      <c r="U97" s="2530"/>
      <c r="V97" s="4038" t="str">
        <f>IF(AND(U99="",AI99=""),"Check box to indicate full-year coverage.","")</f>
        <v>Check box to indicate full-year coverage.</v>
      </c>
      <c r="W97" s="4039"/>
      <c r="X97" s="4039"/>
      <c r="Y97" s="4039"/>
      <c r="Z97" s="2497"/>
      <c r="AA97" s="2527" t="str">
        <f>TEXT(D97,"0")&amp;E97</f>
        <v>60a</v>
      </c>
      <c r="AB97" s="3792"/>
      <c r="AC97" s="3793"/>
      <c r="AD97" s="3793"/>
      <c r="AE97" s="3793"/>
      <c r="AF97" s="3793"/>
      <c r="AG97" s="483"/>
      <c r="AH97" s="1039"/>
      <c r="AI97" s="4047" t="s">
        <v>539</v>
      </c>
      <c r="AJ97" s="4047"/>
      <c r="AK97" s="4047"/>
      <c r="AL97" s="551"/>
      <c r="AN97" s="456"/>
      <c r="AO97" s="1466">
        <v>184000</v>
      </c>
      <c r="AP97" s="1466">
        <f>AV97</f>
        <v>16141.75</v>
      </c>
      <c r="AQ97" s="2901">
        <f>AU97/100</f>
        <v>0.33</v>
      </c>
      <c r="AR97" s="1466">
        <f>ROUND((AO97*SectA_b5/100)-SectA_d5,0)</f>
        <v>44578</v>
      </c>
      <c r="AS97" s="1556">
        <v>5</v>
      </c>
      <c r="AT97" s="1621">
        <v>405100</v>
      </c>
      <c r="AU97" s="313">
        <v>33</v>
      </c>
      <c r="AV97" s="1628">
        <v>16141.75</v>
      </c>
      <c r="AW97" s="313"/>
      <c r="AX97" s="313"/>
      <c r="AY97" s="1568"/>
      <c r="AZ97" s="1568"/>
      <c r="BA97" s="1568"/>
      <c r="BB97" s="1568"/>
      <c r="BC97" s="1568"/>
      <c r="BD97" s="1568"/>
      <c r="BE97" s="1568"/>
      <c r="BF97" s="1568"/>
      <c r="BG97" s="1568"/>
      <c r="BH97" s="1568"/>
      <c r="BI97" s="1568"/>
      <c r="BJ97" s="1568"/>
    </row>
    <row r="98" spans="1:62" ht="13.5" customHeight="1" thickBot="1">
      <c r="A98" s="942"/>
      <c r="B98" s="401"/>
      <c r="C98" s="1600"/>
      <c r="D98" s="2331"/>
      <c r="E98" s="2390" t="s">
        <v>85</v>
      </c>
      <c r="F98" s="2343" t="s">
        <v>1092</v>
      </c>
      <c r="G98" s="2497"/>
      <c r="H98" s="2497"/>
      <c r="I98" s="2501"/>
      <c r="J98" s="2502"/>
      <c r="K98" s="2394"/>
      <c r="L98" s="2394"/>
      <c r="M98" s="2394"/>
      <c r="N98" s="2394"/>
      <c r="O98" s="2529"/>
      <c r="P98" s="2529"/>
      <c r="Q98" s="2530"/>
      <c r="R98" s="2394"/>
      <c r="S98" s="2394"/>
      <c r="T98" s="2535"/>
      <c r="U98" s="2530"/>
      <c r="V98" s="4039"/>
      <c r="W98" s="4039"/>
      <c r="X98" s="4039"/>
      <c r="Y98" s="4039"/>
      <c r="Z98" s="2497"/>
      <c r="AA98" s="2527" t="str">
        <f>TEXT(D97,"0")&amp;E98</f>
        <v>60b</v>
      </c>
      <c r="AB98" s="3792"/>
      <c r="AC98" s="3793"/>
      <c r="AD98" s="3793"/>
      <c r="AE98" s="3793"/>
      <c r="AF98" s="3793"/>
      <c r="AG98" s="483"/>
      <c r="AH98" s="1039"/>
      <c r="AI98" s="4047" t="s">
        <v>290</v>
      </c>
      <c r="AJ98" s="4047"/>
      <c r="AK98" s="4047"/>
      <c r="AL98" s="551"/>
      <c r="AN98" s="456"/>
      <c r="AO98" s="1466">
        <v>399000</v>
      </c>
      <c r="AP98" s="1466">
        <f>AV98</f>
        <v>24243.75</v>
      </c>
      <c r="AQ98" s="2901">
        <f>AU98/100</f>
        <v>0.35</v>
      </c>
      <c r="AR98" s="1466">
        <f>ROUND((AO98*SectA_b6/100)-SectA_d6,0)</f>
        <v>115406</v>
      </c>
      <c r="AS98" s="1556">
        <v>6</v>
      </c>
      <c r="AT98" s="1621">
        <v>406750</v>
      </c>
      <c r="AU98" s="313">
        <v>35</v>
      </c>
      <c r="AV98" s="1627">
        <v>24243.75</v>
      </c>
      <c r="AW98" s="313"/>
      <c r="AX98" s="313"/>
    </row>
    <row r="99" spans="1:62" ht="12.75" customHeight="1">
      <c r="A99" s="942"/>
      <c r="B99" s="401"/>
      <c r="C99" s="1600"/>
      <c r="D99" s="2331">
        <f>D97+1</f>
        <v>61</v>
      </c>
      <c r="E99" s="2390"/>
      <c r="F99" s="2343" t="s">
        <v>2230</v>
      </c>
      <c r="G99" s="2343"/>
      <c r="H99" s="2343"/>
      <c r="I99" s="2343"/>
      <c r="J99" s="2343"/>
      <c r="K99" s="2343"/>
      <c r="L99" s="2343"/>
      <c r="M99" s="2343"/>
      <c r="N99" s="2343"/>
      <c r="O99" s="2343"/>
      <c r="P99" s="2343"/>
      <c r="Q99" s="2343" t="s">
        <v>2231</v>
      </c>
      <c r="R99" s="2343"/>
      <c r="S99" s="2343"/>
      <c r="T99" s="2343"/>
      <c r="U99" s="2303"/>
      <c r="V99" s="4039"/>
      <c r="W99" s="4039"/>
      <c r="X99" s="4039"/>
      <c r="Y99" s="4039"/>
      <c r="Z99" s="2497"/>
      <c r="AA99" s="2527" t="str">
        <f>TEXT(D99,"0")&amp;E99</f>
        <v>61</v>
      </c>
      <c r="AB99" s="3792"/>
      <c r="AC99" s="3793"/>
      <c r="AD99" s="3793"/>
      <c r="AE99" s="3793"/>
      <c r="AF99" s="3793"/>
      <c r="AG99" s="483"/>
      <c r="AH99" s="1039"/>
      <c r="AI99" s="3653"/>
      <c r="AJ99" s="4036" t="s">
        <v>2702</v>
      </c>
      <c r="AK99" s="4037"/>
      <c r="AL99" s="551"/>
      <c r="AN99" s="456"/>
      <c r="AO99" s="1466">
        <v>555555</v>
      </c>
      <c r="AP99" s="1466">
        <f>AV99</f>
        <v>42954.25</v>
      </c>
      <c r="AQ99" s="2901">
        <f>AU99/100</f>
        <v>0.39600000000000002</v>
      </c>
      <c r="AR99" s="1466">
        <f>ROUND((AO99*SectA_b7/100)-SectA_d7,0)</f>
        <v>177046</v>
      </c>
      <c r="AS99" s="1556">
        <v>7</v>
      </c>
      <c r="AT99" s="1622"/>
      <c r="AU99" s="1629">
        <v>39.6</v>
      </c>
      <c r="AV99" s="1630">
        <v>42954.25</v>
      </c>
      <c r="AW99" s="313"/>
      <c r="AX99" s="313"/>
      <c r="AY99" s="1482"/>
      <c r="AZ99" s="1562"/>
      <c r="BA99" s="1478"/>
      <c r="BB99" s="1478"/>
      <c r="BC99" s="1478"/>
      <c r="BD99" s="1478"/>
      <c r="BE99" s="1478"/>
      <c r="BF99" s="1478"/>
      <c r="BG99" s="1483"/>
      <c r="BH99" s="1483"/>
      <c r="BI99" s="1478"/>
      <c r="BJ99" s="139"/>
    </row>
    <row r="100" spans="1:62" ht="13.5" customHeight="1">
      <c r="A100" s="942"/>
      <c r="B100" s="401"/>
      <c r="C100" s="1600"/>
      <c r="D100" s="2331">
        <f>D99+1</f>
        <v>62</v>
      </c>
      <c r="E100" s="2390"/>
      <c r="F100" s="2343" t="s">
        <v>1683</v>
      </c>
      <c r="G100" s="2497"/>
      <c r="H100" s="3078" t="str">
        <f>IF(OR(AI101=0,AI101=""),"","X")</f>
        <v/>
      </c>
      <c r="I100" s="2856" t="s">
        <v>1684</v>
      </c>
      <c r="J100" s="2502"/>
      <c r="K100" s="2394"/>
      <c r="L100" s="3078" t="str">
        <f>IF(OR(AI102="",AI102=0),"","X")</f>
        <v/>
      </c>
      <c r="M100" s="2857" t="s">
        <v>1685</v>
      </c>
      <c r="N100" s="2303"/>
      <c r="O100" s="2853" t="s">
        <v>1686</v>
      </c>
      <c r="P100" s="2394"/>
      <c r="Q100" s="2394"/>
      <c r="R100" s="2394"/>
      <c r="S100" s="2394"/>
      <c r="T100" s="2394"/>
      <c r="U100" s="3827"/>
      <c r="V100" s="3910"/>
      <c r="W100" s="3948"/>
      <c r="X100" s="3948"/>
      <c r="Y100" s="3948"/>
      <c r="Z100" s="2497"/>
      <c r="AA100" s="2527" t="str">
        <f>TEXT(D100,"0")&amp;E100</f>
        <v>62</v>
      </c>
      <c r="AB100" s="3960">
        <f>IF(AL100&lt;&gt;"",AL100,SUM(AI101,AI102))</f>
        <v>0</v>
      </c>
      <c r="AC100" s="3961"/>
      <c r="AD100" s="3961"/>
      <c r="AE100" s="3961"/>
      <c r="AF100" s="3961"/>
      <c r="AG100" s="483"/>
      <c r="AH100" s="1039"/>
      <c r="AI100" s="4036" t="s">
        <v>2701</v>
      </c>
      <c r="AJ100" s="4037"/>
      <c r="AK100" s="3893"/>
      <c r="AL100" s="550"/>
      <c r="AN100" s="456"/>
      <c r="AO100" s="456"/>
      <c r="AP100" s="456"/>
      <c r="AQ100" s="456"/>
      <c r="AR100" s="456"/>
      <c r="AS100" s="456"/>
      <c r="AT100" s="456"/>
      <c r="AU100" s="456"/>
      <c r="AV100" s="456"/>
      <c r="AW100" s="313"/>
      <c r="AX100" s="313"/>
      <c r="AY100" s="1617" t="s">
        <v>1729</v>
      </c>
      <c r="AZ100" s="437"/>
      <c r="BA100" s="355"/>
      <c r="BB100" s="355"/>
      <c r="BC100" s="355"/>
      <c r="BD100" s="355"/>
      <c r="BE100" s="355"/>
      <c r="BF100" s="355"/>
      <c r="BG100" s="1740"/>
      <c r="BH100" s="1484"/>
      <c r="BI100" s="355"/>
      <c r="BJ100" s="140"/>
    </row>
    <row r="101" spans="1:62" ht="12.75" customHeight="1">
      <c r="A101" s="942"/>
      <c r="B101" s="947"/>
      <c r="C101" s="67"/>
      <c r="D101" s="2347">
        <f>D100+1</f>
        <v>63</v>
      </c>
      <c r="E101" s="2348"/>
      <c r="F101" s="2349" t="str">
        <f>"Add lines "&amp;D93&amp;" through "&amp;D100&amp;"."</f>
        <v>Add lines 56 through 62.</v>
      </c>
      <c r="G101" s="2498"/>
      <c r="H101" s="2498"/>
      <c r="I101" s="2498"/>
      <c r="J101" s="2498"/>
      <c r="K101" s="2498" t="s">
        <v>1093</v>
      </c>
      <c r="L101" s="2498"/>
      <c r="M101" s="2498"/>
      <c r="N101" s="2498"/>
      <c r="O101" s="2498"/>
      <c r="P101" s="2498"/>
      <c r="Q101" s="2498"/>
      <c r="R101" s="2498"/>
      <c r="S101" s="2537"/>
      <c r="T101" s="2537"/>
      <c r="U101" s="2537"/>
      <c r="V101" s="2537"/>
      <c r="W101" s="2537"/>
      <c r="X101" s="2537"/>
      <c r="Y101" s="2512"/>
      <c r="Z101" s="2525" t="s">
        <v>1094</v>
      </c>
      <c r="AA101" s="2433">
        <f t="shared" si="7"/>
        <v>63</v>
      </c>
      <c r="AB101" s="3960">
        <f>IF(AL101&lt;&gt;"",AL101,ROUND(SUM(AB93:AB100),0))</f>
        <v>0</v>
      </c>
      <c r="AC101" s="3961"/>
      <c r="AD101" s="3961"/>
      <c r="AE101" s="3961"/>
      <c r="AF101" s="3961"/>
      <c r="AG101" s="483"/>
      <c r="AH101" s="1039"/>
      <c r="AI101" s="4048">
        <f>IF(ISERROR(F8959_Tax),0,F8959_Tax)</f>
        <v>0</v>
      </c>
      <c r="AJ101" s="4048"/>
      <c r="AK101" s="4048"/>
      <c r="AL101" s="550"/>
      <c r="AN101" s="456"/>
      <c r="AO101" s="456"/>
      <c r="AP101" s="456"/>
      <c r="AQ101" s="456"/>
      <c r="AR101" s="456"/>
      <c r="AS101" s="456"/>
      <c r="AT101" s="1631" t="s">
        <v>62</v>
      </c>
      <c r="AU101" s="1631" t="s">
        <v>85</v>
      </c>
      <c r="AV101" s="1631" t="s">
        <v>154</v>
      </c>
      <c r="AW101" s="313"/>
      <c r="AX101" s="313"/>
      <c r="AY101" s="1567"/>
      <c r="AZ101" s="355"/>
      <c r="BA101" s="59"/>
      <c r="BB101" s="355"/>
      <c r="BC101" s="1479"/>
      <c r="BD101" s="1481"/>
      <c r="BE101" s="1741"/>
      <c r="BF101" s="1742"/>
      <c r="BG101" s="1742"/>
      <c r="BH101" s="1742"/>
      <c r="BI101" s="1743"/>
      <c r="BJ101" s="140"/>
    </row>
    <row r="102" spans="1:62" ht="12.75" customHeight="1">
      <c r="A102" s="942"/>
      <c r="B102" s="401"/>
      <c r="C102" s="486" t="s">
        <v>322</v>
      </c>
      <c r="D102" s="2331">
        <f t="shared" si="6"/>
        <v>64</v>
      </c>
      <c r="E102" s="2342"/>
      <c r="F102" s="2496" t="s">
        <v>871</v>
      </c>
      <c r="G102" s="2338"/>
      <c r="H102" s="2338"/>
      <c r="I102" s="2338"/>
      <c r="J102" s="2338"/>
      <c r="K102" s="2338"/>
      <c r="L102" s="2338"/>
      <c r="M102" s="2338"/>
      <c r="N102" s="2338"/>
      <c r="O102" s="2338"/>
      <c r="P102" s="2338"/>
      <c r="Q102" s="2338"/>
      <c r="R102" s="2338"/>
      <c r="S102" s="2449" t="s">
        <v>1103</v>
      </c>
      <c r="T102" s="2519">
        <f>D102</f>
        <v>64</v>
      </c>
      <c r="U102" s="2543"/>
      <c r="V102" s="3884">
        <f>IF(AL102&lt;&gt;"",AL102,(SUM(W2_Tax_Withheld,IRA_Fed_Tax_WH,PA_Fed_Tax_WH,'SSA-1099'!D6,'SSA-1099'!D11,AI103)))</f>
        <v>0</v>
      </c>
      <c r="W102" s="3884"/>
      <c r="X102" s="3923"/>
      <c r="Y102" s="3885"/>
      <c r="Z102" s="2518"/>
      <c r="AA102" s="2317"/>
      <c r="AB102" s="46"/>
      <c r="AC102" s="46"/>
      <c r="AD102" s="46"/>
      <c r="AE102" s="46"/>
      <c r="AF102" s="46"/>
      <c r="AG102" s="484"/>
      <c r="AH102" s="1039"/>
      <c r="AI102" s="4048" t="str">
        <f>IF(ISERROR(F8960_Tax),0,F8960_Tax)</f>
        <v/>
      </c>
      <c r="AJ102" s="4048"/>
      <c r="AK102" s="4048"/>
      <c r="AL102" s="550"/>
      <c r="AN102" s="1466"/>
      <c r="AO102" s="456"/>
      <c r="AP102" s="456"/>
      <c r="AQ102" s="456"/>
      <c r="AR102" s="456"/>
      <c r="AS102" s="456"/>
      <c r="AT102" s="1619" t="s">
        <v>937</v>
      </c>
      <c r="AU102" s="68"/>
      <c r="AV102" s="68"/>
      <c r="AW102" s="313"/>
      <c r="AX102" s="313"/>
      <c r="AY102" s="1566" t="s">
        <v>506</v>
      </c>
      <c r="AZ102" s="1563"/>
      <c r="BA102" s="183" t="s">
        <v>1717</v>
      </c>
      <c r="BB102" s="355"/>
      <c r="BC102" s="355"/>
      <c r="BD102" s="1481"/>
      <c r="BE102" s="1742"/>
      <c r="BF102" s="1742"/>
      <c r="BG102" s="1743"/>
      <c r="BH102" s="1743"/>
      <c r="BI102" s="1743"/>
      <c r="BJ102" s="140"/>
    </row>
    <row r="103" spans="1:62" ht="12.75" customHeight="1">
      <c r="A103" s="942"/>
      <c r="B103" s="401"/>
      <c r="C103" s="65"/>
      <c r="D103" s="2331">
        <f t="shared" si="6"/>
        <v>65</v>
      </c>
      <c r="E103" s="2332"/>
      <c r="F103" s="2343" t="str">
        <f>TaxYear&amp;" estimated tax payments &amp; amount applied from "&amp;TaxYear-1&amp;" return"</f>
        <v>2014 estimated tax payments &amp; amount applied from 2013 return</v>
      </c>
      <c r="G103" s="2488"/>
      <c r="H103" s="2488"/>
      <c r="I103" s="2488"/>
      <c r="J103" s="2488"/>
      <c r="K103" s="2488"/>
      <c r="L103" s="2488"/>
      <c r="M103" s="2488"/>
      <c r="N103" s="2488"/>
      <c r="O103" s="2488"/>
      <c r="P103" s="2488"/>
      <c r="Q103" s="2488"/>
      <c r="R103" s="2488"/>
      <c r="S103" s="2449" t="s">
        <v>886</v>
      </c>
      <c r="T103" s="2519">
        <f>D103</f>
        <v>65</v>
      </c>
      <c r="U103" s="2543"/>
      <c r="V103" s="3811"/>
      <c r="W103" s="3811"/>
      <c r="X103" s="3915"/>
      <c r="Y103" s="3812"/>
      <c r="Z103" s="2518"/>
      <c r="AA103" s="2318"/>
      <c r="AB103" s="57"/>
      <c r="AC103" s="57"/>
      <c r="AD103" s="57"/>
      <c r="AE103" s="57"/>
      <c r="AF103" s="57"/>
      <c r="AG103" s="484"/>
      <c r="AH103" s="1039"/>
      <c r="AI103" s="4048">
        <f>IF(ISERROR(F8959_WH),0,F8959_WH)</f>
        <v>0</v>
      </c>
      <c r="AJ103" s="4048"/>
      <c r="AK103" s="4048"/>
      <c r="AL103" s="551"/>
      <c r="AN103" s="1466"/>
      <c r="AO103" s="456"/>
      <c r="AP103" s="456"/>
      <c r="AQ103" s="456"/>
      <c r="AR103" s="456"/>
      <c r="AT103" s="1472" t="s">
        <v>760</v>
      </c>
      <c r="AU103" s="68"/>
      <c r="AV103" s="68"/>
      <c r="AW103" s="313"/>
      <c r="AX103" s="313"/>
      <c r="AY103" s="1566"/>
      <c r="AZ103" s="1563"/>
      <c r="BA103" s="183"/>
      <c r="BB103" s="355"/>
      <c r="BC103" s="355"/>
      <c r="BD103" s="1481"/>
      <c r="BE103" s="1742"/>
      <c r="BF103" s="1742"/>
      <c r="BG103" s="1743"/>
      <c r="BH103" s="1743"/>
      <c r="BI103" s="1743"/>
      <c r="BJ103" s="140"/>
    </row>
    <row r="104" spans="1:62" ht="13.5" customHeight="1">
      <c r="A104" s="942"/>
      <c r="B104" s="401"/>
      <c r="C104" s="482" t="s">
        <v>323</v>
      </c>
      <c r="D104" s="2323">
        <f>D103+1</f>
        <v>66</v>
      </c>
      <c r="E104" s="2336" t="s">
        <v>62</v>
      </c>
      <c r="F104" s="2487" t="s">
        <v>873</v>
      </c>
      <c r="G104" s="2488"/>
      <c r="H104" s="2488"/>
      <c r="I104" s="2488"/>
      <c r="J104" s="2488"/>
      <c r="K104" s="2488"/>
      <c r="L104" s="2488"/>
      <c r="M104" s="2488"/>
      <c r="N104" s="2488"/>
      <c r="O104" s="2538"/>
      <c r="P104" s="2538"/>
      <c r="Q104" s="2538"/>
      <c r="R104" s="2538"/>
      <c r="S104" s="2449" t="s">
        <v>881</v>
      </c>
      <c r="T104" s="2519" t="str">
        <f>D104&amp;E104</f>
        <v>66a</v>
      </c>
      <c r="U104" s="2520"/>
      <c r="V104" s="3995"/>
      <c r="W104" s="3995"/>
      <c r="X104" s="3996"/>
      <c r="Y104" s="3812"/>
      <c r="Z104" s="2544"/>
      <c r="AA104" s="2318"/>
      <c r="AB104" s="3993"/>
      <c r="AC104" s="3994"/>
      <c r="AD104" s="3994"/>
      <c r="AE104" s="3994"/>
      <c r="AF104" s="3994"/>
      <c r="AG104" s="484"/>
      <c r="AH104" s="1039"/>
      <c r="AI104" s="14"/>
      <c r="AJ104" s="14"/>
      <c r="AK104" s="14"/>
      <c r="AL104" s="551"/>
      <c r="AN104" s="456"/>
      <c r="AO104" s="1466"/>
      <c r="AP104" s="1466"/>
      <c r="AQ104" s="1466"/>
      <c r="AR104" s="1466"/>
      <c r="AS104" s="1556">
        <v>1</v>
      </c>
      <c r="AT104" s="2902" t="s">
        <v>1715</v>
      </c>
      <c r="AU104" s="1633"/>
      <c r="AV104" s="1626"/>
      <c r="AW104" s="313"/>
      <c r="AX104" s="313"/>
      <c r="AY104" s="1566"/>
      <c r="AZ104" s="1564" t="str">
        <f>IF(Adj_Gross_Inc&gt;BG115,"","X")</f>
        <v>X</v>
      </c>
      <c r="BA104" s="72" t="s">
        <v>1718</v>
      </c>
      <c r="BB104" s="46" t="str">
        <f>"Multiply "&amp;TEXT(AK79,"$0,000")&amp;" by the total number of exemptions claimed on Form 1040, line 6d, and enter the"</f>
        <v>Multiply $3,950 by the total number of exemptions claimed on Form 1040, line 6d, and enter the</v>
      </c>
      <c r="BC104" s="46"/>
      <c r="BD104" s="46"/>
      <c r="BE104" s="1742"/>
      <c r="BF104" s="1742"/>
      <c r="BG104" s="1743"/>
      <c r="BH104" s="1743"/>
      <c r="BI104" s="1743"/>
      <c r="BJ104" s="140"/>
    </row>
    <row r="105" spans="1:62" ht="13.5" customHeight="1">
      <c r="A105" s="942"/>
      <c r="B105" s="401"/>
      <c r="C105" s="949" t="s">
        <v>658</v>
      </c>
      <c r="D105" s="2489"/>
      <c r="E105" s="2539" t="s">
        <v>85</v>
      </c>
      <c r="F105" s="2343" t="s">
        <v>270</v>
      </c>
      <c r="G105" s="2488"/>
      <c r="H105" s="2488"/>
      <c r="I105" s="2488"/>
      <c r="J105" s="2488"/>
      <c r="K105" s="2488"/>
      <c r="L105" s="2488"/>
      <c r="M105" s="2449" t="s">
        <v>413</v>
      </c>
      <c r="N105" s="2542" t="str">
        <f>D104&amp;E105</f>
        <v>66b</v>
      </c>
      <c r="O105" s="3955"/>
      <c r="P105" s="3956"/>
      <c r="Q105" s="3956"/>
      <c r="R105" s="3956"/>
      <c r="S105" s="3957"/>
      <c r="T105" s="2547"/>
      <c r="U105" s="2548"/>
      <c r="V105" s="3921"/>
      <c r="W105" s="3922"/>
      <c r="X105" s="3922"/>
      <c r="Y105" s="3922"/>
      <c r="Z105" s="2545"/>
      <c r="AA105" s="2318"/>
      <c r="AB105" s="3991"/>
      <c r="AC105" s="3992"/>
      <c r="AD105" s="3992"/>
      <c r="AE105" s="3992"/>
      <c r="AF105" s="3992"/>
      <c r="AG105" s="484"/>
      <c r="AH105" s="1039"/>
      <c r="AI105" s="14"/>
      <c r="AJ105" s="14"/>
      <c r="AK105" s="14"/>
      <c r="AL105" s="551"/>
      <c r="AN105" s="456"/>
      <c r="AO105" s="1466">
        <v>66666</v>
      </c>
      <c r="AP105" s="1466">
        <f t="shared" ref="AP105:AP110" si="8">AV105</f>
        <v>0</v>
      </c>
      <c r="AQ105" s="2901">
        <f t="shared" ref="AQ105:AQ110" si="9">AU105/100</f>
        <v>0</v>
      </c>
      <c r="AR105" s="2904" t="s">
        <v>1479</v>
      </c>
      <c r="AS105" s="1556">
        <v>2</v>
      </c>
      <c r="AT105" s="1621">
        <v>100000</v>
      </c>
      <c r="AU105" s="779"/>
      <c r="AV105" s="1627"/>
      <c r="AW105" s="313"/>
      <c r="AX105" s="313"/>
      <c r="AY105" s="1566"/>
      <c r="AZ105" s="72"/>
      <c r="BA105" s="72"/>
      <c r="BB105" s="183" t="s">
        <v>1721</v>
      </c>
      <c r="BC105" s="46"/>
      <c r="BD105" s="46"/>
      <c r="BE105" s="1742"/>
      <c r="BF105" s="1742"/>
      <c r="BG105" s="1743"/>
      <c r="BH105" s="1743"/>
      <c r="BI105" s="1743"/>
      <c r="BJ105" s="140"/>
    </row>
    <row r="106" spans="1:62" ht="13.5" customHeight="1">
      <c r="A106" s="942"/>
      <c r="B106" s="401"/>
      <c r="C106" s="480" t="s">
        <v>338</v>
      </c>
      <c r="D106" s="2490">
        <f>D104+1</f>
        <v>67</v>
      </c>
      <c r="E106" s="2539"/>
      <c r="F106" s="2515" t="s">
        <v>2232</v>
      </c>
      <c r="G106" s="2488"/>
      <c r="H106" s="2488"/>
      <c r="I106" s="2488"/>
      <c r="J106" s="2488"/>
      <c r="K106" s="2488"/>
      <c r="L106" s="2488"/>
      <c r="M106" s="2488"/>
      <c r="N106" s="2488"/>
      <c r="O106" s="2488"/>
      <c r="P106" s="2488"/>
      <c r="Q106" s="2488"/>
      <c r="R106" s="2488"/>
      <c r="S106" s="2449" t="s">
        <v>882</v>
      </c>
      <c r="T106" s="2519">
        <f t="shared" ref="T106:T111" si="10">D106</f>
        <v>67</v>
      </c>
      <c r="U106" s="2543"/>
      <c r="V106" s="3929"/>
      <c r="W106" s="3929"/>
      <c r="X106" s="3930"/>
      <c r="Y106" s="3903"/>
      <c r="Z106" s="2436"/>
      <c r="AA106" s="2318"/>
      <c r="AB106" s="3991"/>
      <c r="AC106" s="3992"/>
      <c r="AD106" s="3992"/>
      <c r="AE106" s="3992"/>
      <c r="AF106" s="3992"/>
      <c r="AG106" s="484"/>
      <c r="AH106" s="1039"/>
      <c r="AI106" s="14"/>
      <c r="AJ106" s="14"/>
      <c r="AK106" s="14"/>
      <c r="AL106" s="551"/>
      <c r="AN106" s="456"/>
      <c r="AO106" s="1466">
        <v>111111</v>
      </c>
      <c r="AP106" s="1466">
        <f t="shared" si="8"/>
        <v>8287.5</v>
      </c>
      <c r="AQ106" s="2901">
        <f t="shared" si="9"/>
        <v>0.25</v>
      </c>
      <c r="AR106" s="1466">
        <f>ROUND(((AO106*SectB_b3/100)-SectB_d3),0)</f>
        <v>19490</v>
      </c>
      <c r="AS106" s="1556">
        <v>3</v>
      </c>
      <c r="AT106" s="1621">
        <v>148850</v>
      </c>
      <c r="AU106" s="779">
        <v>25</v>
      </c>
      <c r="AV106" s="1627">
        <v>8287.5</v>
      </c>
      <c r="AW106" s="68"/>
      <c r="AX106" s="313"/>
      <c r="AY106" s="1566"/>
      <c r="AZ106" s="72"/>
      <c r="BA106" s="72"/>
      <c r="BB106" s="46"/>
      <c r="BC106" s="46"/>
      <c r="BD106" s="46"/>
      <c r="BE106" s="1742"/>
      <c r="BF106" s="1742"/>
      <c r="BG106" s="1743"/>
      <c r="BH106" s="1743"/>
      <c r="BI106" s="1743"/>
      <c r="BJ106" s="140"/>
    </row>
    <row r="107" spans="1:62" ht="13.5" customHeight="1">
      <c r="A107" s="942"/>
      <c r="B107" s="401"/>
      <c r="C107" s="481" t="s">
        <v>339</v>
      </c>
      <c r="D107" s="2341">
        <f t="shared" ref="D107:D115" si="11">D106+1</f>
        <v>68</v>
      </c>
      <c r="E107" s="2342"/>
      <c r="F107" s="2445" t="s">
        <v>1564</v>
      </c>
      <c r="G107" s="2366"/>
      <c r="H107" s="2488"/>
      <c r="I107" s="2488"/>
      <c r="J107" s="2488"/>
      <c r="K107" s="2488"/>
      <c r="L107" s="2488"/>
      <c r="M107" s="2488"/>
      <c r="N107" s="2366"/>
      <c r="O107" s="2488"/>
      <c r="P107" s="2488"/>
      <c r="Q107" s="2488"/>
      <c r="R107" s="2488"/>
      <c r="S107" s="2449" t="s">
        <v>884</v>
      </c>
      <c r="T107" s="2519">
        <f t="shared" si="10"/>
        <v>68</v>
      </c>
      <c r="U107" s="2543"/>
      <c r="V107" s="3811"/>
      <c r="W107" s="3811"/>
      <c r="X107" s="3915"/>
      <c r="Y107" s="3812"/>
      <c r="Z107" s="2518"/>
      <c r="AA107" s="2318"/>
      <c r="AB107" s="3950"/>
      <c r="AC107" s="3951"/>
      <c r="AD107" s="3951"/>
      <c r="AE107" s="3951"/>
      <c r="AF107" s="3951"/>
      <c r="AG107" s="484"/>
      <c r="AH107" s="1039"/>
      <c r="AI107" s="14"/>
      <c r="AJ107" s="14"/>
      <c r="AK107" s="14"/>
      <c r="AL107" s="551"/>
      <c r="AN107" s="456"/>
      <c r="AO107" s="1466">
        <v>150000</v>
      </c>
      <c r="AP107" s="1466">
        <f t="shared" si="8"/>
        <v>12753</v>
      </c>
      <c r="AQ107" s="2901">
        <f t="shared" si="9"/>
        <v>0.28000000000000003</v>
      </c>
      <c r="AR107" s="1466">
        <f>ROUND(((AO107*SectB_b4/100)-SectB_d4),0)</f>
        <v>29247</v>
      </c>
      <c r="AS107" s="1556">
        <v>4</v>
      </c>
      <c r="AT107" s="1621">
        <v>226850</v>
      </c>
      <c r="AU107" s="779">
        <v>28</v>
      </c>
      <c r="AV107" s="1627">
        <v>12753</v>
      </c>
      <c r="AW107" s="313"/>
      <c r="AX107" s="313"/>
      <c r="AY107" s="1566"/>
      <c r="AZ107" s="1564" t="str">
        <f>IF(Adj_Gross_Inc&gt;BG115,"X","")</f>
        <v/>
      </c>
      <c r="BA107" s="72" t="s">
        <v>713</v>
      </c>
      <c r="BB107" s="72" t="s">
        <v>1719</v>
      </c>
      <c r="BC107" s="46"/>
      <c r="BD107" s="46"/>
      <c r="BE107" s="1723"/>
      <c r="BF107" s="75"/>
      <c r="BG107" s="75"/>
      <c r="BH107" s="1728"/>
      <c r="BI107" s="2907"/>
      <c r="BJ107" s="140"/>
    </row>
    <row r="108" spans="1:62" ht="13.5" customHeight="1">
      <c r="A108" s="942"/>
      <c r="B108" s="401"/>
      <c r="C108" s="373"/>
      <c r="D108" s="2341">
        <f t="shared" si="11"/>
        <v>69</v>
      </c>
      <c r="E108" s="2342"/>
      <c r="F108" s="2343" t="s">
        <v>2233</v>
      </c>
      <c r="G108" s="2488"/>
      <c r="H108" s="2488"/>
      <c r="I108" s="2488"/>
      <c r="J108" s="2488"/>
      <c r="K108" s="2488"/>
      <c r="L108" s="2488"/>
      <c r="M108" s="2488"/>
      <c r="N108" s="2488"/>
      <c r="O108" s="2488"/>
      <c r="P108" s="2488"/>
      <c r="Q108" s="2488"/>
      <c r="R108" s="2488"/>
      <c r="S108" s="2449" t="s">
        <v>2036</v>
      </c>
      <c r="T108" s="2519">
        <f t="shared" si="10"/>
        <v>69</v>
      </c>
      <c r="U108" s="2543"/>
      <c r="V108" s="3884" t="str">
        <f>IF(AL108&lt;&gt;"",AL108,'8962'!AE70)</f>
        <v/>
      </c>
      <c r="W108" s="3884"/>
      <c r="X108" s="3923"/>
      <c r="Y108" s="3885"/>
      <c r="Z108" s="2518"/>
      <c r="AA108" s="2318"/>
      <c r="AB108" s="1476"/>
      <c r="AC108" s="1477"/>
      <c r="AD108" s="1477"/>
      <c r="AE108" s="1477"/>
      <c r="AF108" s="1477"/>
      <c r="AG108" s="484"/>
      <c r="AH108" s="1039"/>
      <c r="AI108" s="14"/>
      <c r="AJ108" s="14"/>
      <c r="AK108" s="14"/>
      <c r="AL108" s="550"/>
      <c r="AN108" s="456"/>
      <c r="AO108" s="1466">
        <v>333333</v>
      </c>
      <c r="AP108" s="1466">
        <f t="shared" si="8"/>
        <v>24095.5</v>
      </c>
      <c r="AQ108" s="2901">
        <f t="shared" si="9"/>
        <v>0.33</v>
      </c>
      <c r="AR108" s="1466">
        <f>ROUND(((AO108*SectB_b5/100)-SectB_d5),0)</f>
        <v>85904</v>
      </c>
      <c r="AS108" s="1556">
        <v>5</v>
      </c>
      <c r="AT108" s="1621">
        <v>405100</v>
      </c>
      <c r="AU108" s="779">
        <v>33</v>
      </c>
      <c r="AV108" s="1628">
        <v>24095.5</v>
      </c>
      <c r="AW108" s="313"/>
      <c r="AX108" s="68"/>
      <c r="AY108" s="1566"/>
      <c r="AZ108" s="1563"/>
      <c r="BA108" s="355"/>
      <c r="BB108" s="355"/>
      <c r="BC108" s="355"/>
      <c r="BD108" s="1481"/>
      <c r="BE108" s="433"/>
      <c r="BF108" s="433"/>
      <c r="BG108" s="22"/>
      <c r="BH108" s="46"/>
      <c r="BI108" s="22"/>
      <c r="BJ108" s="140"/>
    </row>
    <row r="109" spans="1:62" ht="13.5" customHeight="1">
      <c r="A109" s="942"/>
      <c r="B109" s="37"/>
      <c r="C109" s="689"/>
      <c r="D109" s="2341">
        <f t="shared" si="11"/>
        <v>70</v>
      </c>
      <c r="E109" s="2539"/>
      <c r="F109" s="2343" t="s">
        <v>874</v>
      </c>
      <c r="G109" s="2488"/>
      <c r="H109" s="2488"/>
      <c r="I109" s="2488"/>
      <c r="J109" s="2488"/>
      <c r="K109" s="2488"/>
      <c r="L109" s="2488"/>
      <c r="M109" s="2488"/>
      <c r="N109" s="2488"/>
      <c r="O109" s="2488"/>
      <c r="P109" s="2488"/>
      <c r="Q109" s="2488"/>
      <c r="R109" s="2488"/>
      <c r="S109" s="2449" t="s">
        <v>883</v>
      </c>
      <c r="T109" s="2434">
        <f t="shared" si="10"/>
        <v>70</v>
      </c>
      <c r="U109" s="2520"/>
      <c r="V109" s="3812"/>
      <c r="W109" s="3812"/>
      <c r="X109" s="3812"/>
      <c r="Y109" s="3812"/>
      <c r="Z109" s="2546"/>
      <c r="AA109" s="2318"/>
      <c r="AB109" s="3991"/>
      <c r="AC109" s="3992"/>
      <c r="AD109" s="3992"/>
      <c r="AE109" s="3992"/>
      <c r="AF109" s="3992"/>
      <c r="AG109" s="484"/>
      <c r="AH109" s="1039"/>
      <c r="AI109" s="14"/>
      <c r="AJ109" s="14"/>
      <c r="AK109" s="14"/>
      <c r="AL109" s="551"/>
      <c r="AM109" s="68"/>
      <c r="AN109" s="1466"/>
      <c r="AO109" s="1466">
        <v>444444</v>
      </c>
      <c r="AP109" s="1466">
        <f t="shared" si="8"/>
        <v>32197.5</v>
      </c>
      <c r="AQ109" s="2901">
        <f t="shared" si="9"/>
        <v>0.35</v>
      </c>
      <c r="AR109" s="1466">
        <f>ROUND(((AO109*SectB_b6/100)-SectB_d6),0)</f>
        <v>123358</v>
      </c>
      <c r="AS109" s="1556">
        <v>6</v>
      </c>
      <c r="AT109" s="1621">
        <v>457600</v>
      </c>
      <c r="AU109" s="779">
        <v>35</v>
      </c>
      <c r="AV109" s="2905">
        <v>32197.5</v>
      </c>
      <c r="AW109" s="313"/>
      <c r="AX109" s="313"/>
      <c r="AY109" s="1566" t="s">
        <v>0</v>
      </c>
      <c r="AZ109" s="1563"/>
      <c r="BA109" s="355" t="str">
        <f>"Multiply "&amp;TEXT(AK79,"$0,000")&amp;" by the total number of exemptions claimed on Form 1040, line 6d"</f>
        <v>Multiply $3,950 by the total number of exemptions claimed on Form 1040, line 6d</v>
      </c>
      <c r="BB109" s="355"/>
      <c r="BC109" s="355"/>
      <c r="BD109" s="1481"/>
      <c r="BE109" s="433"/>
      <c r="BF109" s="433"/>
      <c r="BG109" s="22"/>
      <c r="BH109" s="1728" t="str">
        <f>".   .   .   .   .   .   .   .   2."</f>
        <v>.   .   .   .   .   .   .   .   2.</v>
      </c>
      <c r="BI109" s="1390" t="str">
        <f>IF(AZ107="X",Tot_Exemptions*AK79,"")</f>
        <v/>
      </c>
      <c r="BJ109" s="140"/>
    </row>
    <row r="110" spans="1:62" ht="13.5" customHeight="1">
      <c r="A110" s="942"/>
      <c r="B110" s="37"/>
      <c r="C110" s="689"/>
      <c r="D110" s="2341">
        <f t="shared" si="11"/>
        <v>71</v>
      </c>
      <c r="E110" s="2342"/>
      <c r="F110" s="2343" t="s">
        <v>875</v>
      </c>
      <c r="G110" s="2366"/>
      <c r="H110" s="2488"/>
      <c r="I110" s="2488"/>
      <c r="J110" s="2488"/>
      <c r="K110" s="2488"/>
      <c r="L110" s="2488"/>
      <c r="M110" s="2488"/>
      <c r="N110" s="2366"/>
      <c r="O110" s="2488"/>
      <c r="P110" s="2488"/>
      <c r="Q110" s="2488"/>
      <c r="R110" s="2488"/>
      <c r="S110" s="2449" t="s">
        <v>884</v>
      </c>
      <c r="T110" s="2519">
        <f t="shared" si="10"/>
        <v>71</v>
      </c>
      <c r="U110" s="2543"/>
      <c r="V110" s="3884">
        <f>IF(AL110&lt;&gt;"",AL110,W2_SS_Tax_Excess)</f>
        <v>0</v>
      </c>
      <c r="W110" s="3884"/>
      <c r="X110" s="3923"/>
      <c r="Y110" s="3885"/>
      <c r="Z110" s="2518"/>
      <c r="AA110" s="2318"/>
      <c r="AB110" s="3950"/>
      <c r="AC110" s="3951"/>
      <c r="AD110" s="3951"/>
      <c r="AE110" s="3951"/>
      <c r="AF110" s="3951"/>
      <c r="AG110" s="484"/>
      <c r="AH110" s="1039"/>
      <c r="AI110" s="14"/>
      <c r="AJ110" s="14"/>
      <c r="AK110" s="14"/>
      <c r="AL110" s="550"/>
      <c r="AM110" s="68"/>
      <c r="AN110" s="456"/>
      <c r="AO110" s="1466">
        <v>555555</v>
      </c>
      <c r="AP110" s="1466">
        <f t="shared" si="8"/>
        <v>53247.1</v>
      </c>
      <c r="AQ110" s="2901">
        <f t="shared" si="9"/>
        <v>0.39600000000000002</v>
      </c>
      <c r="AR110" s="1466">
        <f>ROUND(((AO110*SectB_b7/100)-SectB_d7),0)</f>
        <v>166753</v>
      </c>
      <c r="AS110" s="1556">
        <v>7</v>
      </c>
      <c r="AT110" s="1622"/>
      <c r="AU110" s="2890">
        <v>39.6</v>
      </c>
      <c r="AV110" s="1755">
        <v>53247.1</v>
      </c>
      <c r="AW110" s="313"/>
      <c r="AX110" s="313"/>
      <c r="AY110" s="1566"/>
      <c r="AZ110" s="1563"/>
      <c r="BA110" s="355"/>
      <c r="BB110" s="355"/>
      <c r="BC110" s="355"/>
      <c r="BD110" s="1481"/>
      <c r="BE110" s="433"/>
      <c r="BF110" s="433"/>
      <c r="BG110" s="22"/>
      <c r="BH110" s="46"/>
      <c r="BI110" s="22"/>
      <c r="BJ110" s="140"/>
    </row>
    <row r="111" spans="1:62" ht="13.5" customHeight="1">
      <c r="A111" s="942"/>
      <c r="B111" s="37"/>
      <c r="C111" s="689"/>
      <c r="D111" s="2341">
        <f t="shared" si="11"/>
        <v>72</v>
      </c>
      <c r="E111" s="2342"/>
      <c r="F111" s="2343" t="s">
        <v>876</v>
      </c>
      <c r="G111" s="2366"/>
      <c r="H111" s="2366"/>
      <c r="I111" s="2366"/>
      <c r="J111" s="2366"/>
      <c r="K111" s="2366"/>
      <c r="L111" s="2366"/>
      <c r="M111" s="2366"/>
      <c r="N111" s="2366"/>
      <c r="O111" s="2366"/>
      <c r="P111" s="2366"/>
      <c r="Q111" s="2366"/>
      <c r="R111" s="2366"/>
      <c r="S111" s="2449" t="s">
        <v>885</v>
      </c>
      <c r="T111" s="2519">
        <f t="shared" si="10"/>
        <v>72</v>
      </c>
      <c r="U111" s="2543"/>
      <c r="V111" s="3811"/>
      <c r="W111" s="3811"/>
      <c r="X111" s="3915"/>
      <c r="Y111" s="3812"/>
      <c r="Z111" s="2518"/>
      <c r="AA111" s="2318"/>
      <c r="AB111" s="1476"/>
      <c r="AC111" s="1477"/>
      <c r="AD111" s="1477"/>
      <c r="AE111" s="1477"/>
      <c r="AF111" s="1477"/>
      <c r="AG111" s="484"/>
      <c r="AH111" s="1039"/>
      <c r="AI111" s="14"/>
      <c r="AJ111" s="14"/>
      <c r="AK111" s="14"/>
      <c r="AL111" s="551"/>
      <c r="AM111" s="68"/>
      <c r="AN111" s="456"/>
      <c r="AO111" s="456"/>
      <c r="AP111" s="456"/>
      <c r="AQ111" s="456"/>
      <c r="AR111" s="456"/>
      <c r="AS111" s="456"/>
      <c r="AT111" s="456"/>
      <c r="AU111" s="456"/>
      <c r="AV111" s="1557"/>
      <c r="AW111" s="313"/>
      <c r="AX111" s="313"/>
      <c r="AY111" s="2908" t="s">
        <v>1</v>
      </c>
      <c r="AZ111" s="1563"/>
      <c r="BA111" s="183" t="s">
        <v>1720</v>
      </c>
      <c r="BB111" s="355"/>
      <c r="BC111" s="355"/>
      <c r="BD111" s="1481"/>
      <c r="BE111" s="433"/>
      <c r="BF111" s="1728" t="str">
        <f>" .   .   .   .   .   .   .   .   .   .   .   .   3."</f>
        <v xml:space="preserve"> .   .   .   .   .   .   .   .   .   .   .   .   3.</v>
      </c>
      <c r="BG111" s="1390" t="str">
        <f>IF(AZ107="X",Adj_Gross_Inc,"")</f>
        <v/>
      </c>
      <c r="BH111" s="1728"/>
      <c r="BI111" s="1391"/>
      <c r="BJ111" s="140"/>
    </row>
    <row r="112" spans="1:62" ht="13.5" customHeight="1">
      <c r="A112" s="942"/>
      <c r="B112" s="37"/>
      <c r="C112" s="689"/>
      <c r="D112" s="2341">
        <f t="shared" si="11"/>
        <v>73</v>
      </c>
      <c r="E112" s="2342"/>
      <c r="F112" s="2380" t="s">
        <v>877</v>
      </c>
      <c r="G112" s="2366"/>
      <c r="H112" s="2366"/>
      <c r="I112" s="2296"/>
      <c r="J112" s="2541" t="s">
        <v>878</v>
      </c>
      <c r="K112" s="2366"/>
      <c r="L112" s="2296"/>
      <c r="M112" s="2541" t="s">
        <v>1488</v>
      </c>
      <c r="N112" s="2296"/>
      <c r="O112" s="2541" t="s">
        <v>1687</v>
      </c>
      <c r="P112" s="2366"/>
      <c r="Q112" s="2296"/>
      <c r="R112" s="3999"/>
      <c r="S112" s="4000"/>
      <c r="T112" s="2519">
        <f>D112</f>
        <v>73</v>
      </c>
      <c r="U112" s="2543"/>
      <c r="V112" s="3811"/>
      <c r="W112" s="3811"/>
      <c r="X112" s="3915"/>
      <c r="Y112" s="3812"/>
      <c r="Z112" s="2518"/>
      <c r="AA112" s="2318"/>
      <c r="AB112" s="1476"/>
      <c r="AC112" s="1477"/>
      <c r="AD112" s="1477"/>
      <c r="AE112" s="1477"/>
      <c r="AF112" s="1477"/>
      <c r="AG112" s="484"/>
      <c r="AH112" s="1039"/>
      <c r="AI112" s="14"/>
      <c r="AJ112" s="14"/>
      <c r="AK112" s="14"/>
      <c r="AL112" s="551"/>
      <c r="AM112" s="68"/>
      <c r="AN112" s="456"/>
      <c r="AO112" s="1466"/>
      <c r="AP112" s="1466"/>
      <c r="AQ112" s="1466"/>
      <c r="AR112" s="1466"/>
      <c r="AS112" s="456"/>
      <c r="AT112" s="1631" t="s">
        <v>62</v>
      </c>
      <c r="AU112" s="1631" t="s">
        <v>85</v>
      </c>
      <c r="AV112" s="1631" t="s">
        <v>154</v>
      </c>
      <c r="AW112" s="313"/>
      <c r="AX112" s="313"/>
      <c r="AY112" s="1566"/>
      <c r="AZ112" s="1563"/>
      <c r="BA112" s="355"/>
      <c r="BB112" s="355"/>
      <c r="BC112" s="355"/>
      <c r="BD112" s="1481"/>
      <c r="BE112" s="433"/>
      <c r="BF112" s="433"/>
      <c r="BG112" s="2910">
        <v>254200</v>
      </c>
      <c r="BH112" s="46"/>
      <c r="BI112" s="22"/>
      <c r="BJ112" s="140"/>
    </row>
    <row r="113" spans="1:65" ht="13.5" customHeight="1">
      <c r="A113" s="942"/>
      <c r="B113" s="401"/>
      <c r="C113" s="65"/>
      <c r="D113" s="2347">
        <f t="shared" si="11"/>
        <v>74</v>
      </c>
      <c r="E113" s="2540"/>
      <c r="F113" s="2343" t="str">
        <f>"Add lines "&amp;T102&amp;", "&amp;T103&amp;", "&amp;T104&amp;", and "&amp;T106&amp;" through "&amp;T112&amp;"."</f>
        <v>Add lines 64, 65, 66a, and 67 through 73.</v>
      </c>
      <c r="G113" s="2488"/>
      <c r="H113" s="2488"/>
      <c r="I113" s="2488"/>
      <c r="J113" s="2488"/>
      <c r="K113" s="2488"/>
      <c r="L113" s="2488"/>
      <c r="M113" s="2488"/>
      <c r="N113" s="2343"/>
      <c r="O113" s="2515" t="s">
        <v>969</v>
      </c>
      <c r="P113" s="2515"/>
      <c r="Q113" s="2488"/>
      <c r="R113" s="2488"/>
      <c r="S113" s="2487" t="s">
        <v>337</v>
      </c>
      <c r="T113" s="2393"/>
      <c r="U113" s="2343"/>
      <c r="V113" s="2343"/>
      <c r="W113" s="2343"/>
      <c r="X113" s="2343"/>
      <c r="Y113" s="2511" t="s">
        <v>872</v>
      </c>
      <c r="Z113" s="2343"/>
      <c r="AA113" s="2433">
        <f>D113</f>
        <v>74</v>
      </c>
      <c r="AB113" s="3790">
        <f>IF(AL113&lt;&gt;"",AL113,ROUND(SUM(V102:V112),0))</f>
        <v>0</v>
      </c>
      <c r="AC113" s="3791"/>
      <c r="AD113" s="3791"/>
      <c r="AE113" s="3791"/>
      <c r="AF113" s="3791"/>
      <c r="AG113" s="483"/>
      <c r="AH113" s="1039"/>
      <c r="AI113" s="14"/>
      <c r="AJ113" s="14"/>
      <c r="AK113" s="14"/>
      <c r="AL113" s="550"/>
      <c r="AM113" s="68"/>
      <c r="AN113" s="1466"/>
      <c r="AO113" s="456"/>
      <c r="AP113" s="456"/>
      <c r="AQ113" s="456"/>
      <c r="AR113" s="456"/>
      <c r="AS113" s="456"/>
      <c r="AT113" s="1619" t="s">
        <v>938</v>
      </c>
      <c r="AU113" s="68"/>
      <c r="AV113" s="420"/>
      <c r="AW113" s="313"/>
      <c r="AX113" s="313"/>
      <c r="AY113" s="2908" t="s">
        <v>686</v>
      </c>
      <c r="AZ113" s="1563"/>
      <c r="BA113" s="46" t="s">
        <v>324</v>
      </c>
      <c r="BB113" s="46"/>
      <c r="BC113" s="46"/>
      <c r="BD113" s="46"/>
      <c r="BE113" s="22"/>
      <c r="BF113" s="1722"/>
      <c r="BG113" s="2910">
        <v>305050</v>
      </c>
      <c r="BH113" s="1728"/>
      <c r="BI113" s="1391"/>
      <c r="BJ113" s="140"/>
    </row>
    <row r="114" spans="1:65" ht="13.5" customHeight="1">
      <c r="A114" s="942"/>
      <c r="B114" s="401"/>
      <c r="C114" s="789" t="s">
        <v>137</v>
      </c>
      <c r="D114" s="2494">
        <f t="shared" si="11"/>
        <v>75</v>
      </c>
      <c r="E114" s="2366"/>
      <c r="F114" s="2496" t="str">
        <f>"If line "&amp;D113&amp;" is more than line "&amp;D101&amp;", subtract line "&amp;D101&amp;" from line "&amp;D113&amp;"."</f>
        <v>If line 74 is more than line 63, subtract line 63 from line 74.</v>
      </c>
      <c r="G114" s="2554"/>
      <c r="H114" s="2554"/>
      <c r="I114" s="2554"/>
      <c r="J114" s="2554"/>
      <c r="K114" s="2554"/>
      <c r="L114" s="2554"/>
      <c r="M114" s="2554"/>
      <c r="N114" s="2554"/>
      <c r="O114" s="2554"/>
      <c r="P114" s="2554"/>
      <c r="Q114" s="2554"/>
      <c r="R114" s="2554"/>
      <c r="S114" s="2496" t="s">
        <v>164</v>
      </c>
      <c r="T114" s="2496"/>
      <c r="U114" s="2555"/>
      <c r="V114" s="2549"/>
      <c r="W114" s="2549"/>
      <c r="X114" s="2549"/>
      <c r="Y114" s="2549"/>
      <c r="Z114" s="3672"/>
      <c r="AA114" s="2433">
        <f>D114</f>
        <v>75</v>
      </c>
      <c r="AB114" s="3960">
        <f>IF(AL114&lt;&gt;"",AL114,IF(Tot_Payments&gt;Tot_Tax,ROUND((Tot_Payments-Tot_Tax),0),0))</f>
        <v>0</v>
      </c>
      <c r="AC114" s="3961"/>
      <c r="AD114" s="3961"/>
      <c r="AE114" s="3961"/>
      <c r="AF114" s="3961"/>
      <c r="AG114" s="483"/>
      <c r="AH114" s="1039"/>
      <c r="AI114" s="14"/>
      <c r="AJ114" s="14"/>
      <c r="AK114" s="14"/>
      <c r="AL114" s="550"/>
      <c r="AM114" s="68"/>
      <c r="AN114" s="1466"/>
      <c r="AO114" s="456"/>
      <c r="AP114" s="456"/>
      <c r="AQ114" s="456"/>
      <c r="AR114" s="456"/>
      <c r="AT114" s="1472" t="s">
        <v>522</v>
      </c>
      <c r="AU114" s="68"/>
      <c r="AV114" s="1558"/>
      <c r="AW114" s="313"/>
      <c r="AX114" s="313"/>
      <c r="AY114" s="1565"/>
      <c r="AZ114" s="46"/>
      <c r="BA114" s="1480" t="str">
        <f>"•  Single -- "&amp;TEXT(BG112,"$0,000")</f>
        <v>•  Single -- $254,200</v>
      </c>
      <c r="BB114" s="46"/>
      <c r="BC114" s="46"/>
      <c r="BD114" s="1510"/>
      <c r="BE114" s="1510"/>
      <c r="BF114" s="1510"/>
      <c r="BG114" s="2913">
        <f>AK78</f>
        <v>152525</v>
      </c>
      <c r="BH114" s="1391"/>
      <c r="BI114" s="46"/>
      <c r="BJ114" s="140"/>
    </row>
    <row r="115" spans="1:65" ht="13.5" customHeight="1">
      <c r="A115" s="942"/>
      <c r="B115" s="401"/>
      <c r="C115" s="47" t="s">
        <v>569</v>
      </c>
      <c r="D115" s="2331">
        <f t="shared" si="11"/>
        <v>76</v>
      </c>
      <c r="E115" s="2539" t="s">
        <v>62</v>
      </c>
      <c r="F115" s="2343" t="str">
        <f>"Amount  of   line  "&amp;AA114&amp;" you want"</f>
        <v>Amount  of   line  75 you want</v>
      </c>
      <c r="G115" s="2380"/>
      <c r="H115" s="2497"/>
      <c r="I115" s="2343"/>
      <c r="J115" s="2343"/>
      <c r="K115" s="2343"/>
      <c r="L115" s="2487" t="s">
        <v>895</v>
      </c>
      <c r="M115" s="2343"/>
      <c r="N115" s="2497"/>
      <c r="O115" s="2497"/>
      <c r="P115" s="2497"/>
      <c r="Q115" s="2497"/>
      <c r="R115" s="2497"/>
      <c r="S115" s="2497"/>
      <c r="T115" s="2497"/>
      <c r="U115" s="2497"/>
      <c r="V115" s="2534"/>
      <c r="W115" s="2534" t="s">
        <v>56</v>
      </c>
      <c r="X115" s="2497"/>
      <c r="Y115" s="2296"/>
      <c r="Z115" s="2512"/>
      <c r="AA115" s="2434" t="str">
        <f>D115&amp;"a"</f>
        <v>76a</v>
      </c>
      <c r="AB115" s="3997">
        <f>IF(AL115&lt;&gt;"",AL115,IF(Overpaid-V118&gt;=0,ROUND(SUM(Overpaid,-V118),0),0))</f>
        <v>0</v>
      </c>
      <c r="AC115" s="3998"/>
      <c r="AD115" s="3998"/>
      <c r="AE115" s="3998"/>
      <c r="AF115" s="3998"/>
      <c r="AG115" s="483"/>
      <c r="AH115" s="1039"/>
      <c r="AI115" s="14"/>
      <c r="AJ115" s="14"/>
      <c r="AK115" s="14"/>
      <c r="AL115" s="550"/>
      <c r="AM115" s="68"/>
      <c r="AN115" s="456"/>
      <c r="AO115" s="1466"/>
      <c r="AP115" s="1466"/>
      <c r="AQ115" s="1466"/>
      <c r="AR115" s="1466"/>
      <c r="AS115" s="1556">
        <v>1</v>
      </c>
      <c r="AT115" s="2902" t="s">
        <v>1715</v>
      </c>
      <c r="AU115" s="1633"/>
      <c r="AV115" s="1626"/>
      <c r="AW115" s="313"/>
      <c r="AX115" s="313"/>
      <c r="AY115" s="1565"/>
      <c r="AZ115" s="46"/>
      <c r="BA115" s="46" t="str">
        <f>"•  Married filing jointly or qualifying widow(er) -- "&amp;TEXT(BG113,"$0,000")</f>
        <v>•  Married filing jointly or qualifying widow(er) -- $305,050</v>
      </c>
      <c r="BB115" s="46"/>
      <c r="BC115" s="46"/>
      <c r="BD115" s="46"/>
      <c r="BE115" s="46"/>
      <c r="BF115" s="1728" t="str">
        <f>" .   .   .   4."</f>
        <v xml:space="preserve"> .   .   .   4.</v>
      </c>
      <c r="BG115" s="2909" t="str">
        <f>IF(File_Single&lt;&gt;"",BG112,IF(OR(File_Marr_Joint&lt;&gt;"",File_Qual_Widow&lt;&gt;""),BG113,IF(File_Marr_Sep&lt;&gt;"",BG114,IF(File_Head&lt;&gt;"",BG116,""))))</f>
        <v/>
      </c>
      <c r="BH115" s="1728"/>
      <c r="BI115" s="46"/>
      <c r="BJ115" s="140"/>
    </row>
    <row r="116" spans="1:65" ht="13.5" customHeight="1">
      <c r="A116" s="942"/>
      <c r="B116" s="401"/>
      <c r="C116" s="1561" t="s">
        <v>894</v>
      </c>
      <c r="D116" s="2331"/>
      <c r="E116" s="2336" t="s">
        <v>85</v>
      </c>
      <c r="F116" s="2333" t="s">
        <v>264</v>
      </c>
      <c r="G116" s="2334"/>
      <c r="H116" s="3673"/>
      <c r="I116" s="4010"/>
      <c r="J116" s="3812"/>
      <c r="K116" s="3812"/>
      <c r="L116" s="3812"/>
      <c r="M116" s="3812"/>
      <c r="N116" s="3812"/>
      <c r="O116" s="3812"/>
      <c r="P116" s="4011"/>
      <c r="Q116" s="3674"/>
      <c r="R116" s="3675"/>
      <c r="S116" s="2556" t="s">
        <v>893</v>
      </c>
      <c r="T116" s="2305"/>
      <c r="U116" s="2557" t="s">
        <v>265</v>
      </c>
      <c r="V116" s="2557"/>
      <c r="W116" s="2557"/>
      <c r="X116" s="2304"/>
      <c r="Y116" s="2497" t="s">
        <v>195</v>
      </c>
      <c r="Z116" s="2558"/>
      <c r="AA116" s="2319"/>
      <c r="AB116" s="4030" t="str">
        <f>IF(AND(AI116="",You_Owe&lt;&gt;"",You_Owe&gt;1000,You_Owe&gt;0.1*Tot_Tax,TaxPenalty=""),"Check instr. to see","")</f>
        <v/>
      </c>
      <c r="AC116" s="4031"/>
      <c r="AD116" s="4031"/>
      <c r="AE116" s="4031"/>
      <c r="AF116" s="4031"/>
      <c r="AG116" s="484"/>
      <c r="AH116" s="1039"/>
      <c r="AI116" s="1553"/>
      <c r="AJ116" s="14"/>
      <c r="AK116" s="14"/>
      <c r="AL116" s="551"/>
      <c r="AM116" s="68"/>
      <c r="AN116" s="456"/>
      <c r="AO116" s="1466">
        <v>22222</v>
      </c>
      <c r="AP116" s="1466">
        <f>AV116</f>
        <v>0</v>
      </c>
      <c r="AQ116" s="1466">
        <f>AU116/100</f>
        <v>0</v>
      </c>
      <c r="AR116" s="2904" t="s">
        <v>1479</v>
      </c>
      <c r="AS116" s="1556">
        <v>2</v>
      </c>
      <c r="AT116" s="1624">
        <v>100000</v>
      </c>
      <c r="AU116" s="779"/>
      <c r="AV116" s="1627"/>
      <c r="AW116" s="313"/>
      <c r="AX116" s="313"/>
      <c r="AY116" s="1565"/>
      <c r="AZ116" s="46"/>
      <c r="BA116" s="46" t="str">
        <f>"•  Married filing separately -- "&amp;TEXT(BG114,"$0,000")</f>
        <v>•  Married filing separately -- $152,525</v>
      </c>
      <c r="BB116" s="46"/>
      <c r="BC116" s="46"/>
      <c r="BD116" s="46"/>
      <c r="BE116" s="46"/>
      <c r="BF116" s="46"/>
      <c r="BG116" s="2912">
        <v>279650</v>
      </c>
      <c r="BH116" s="2912"/>
      <c r="BI116" s="46"/>
      <c r="BJ116" s="140"/>
    </row>
    <row r="117" spans="1:65" ht="13.5" customHeight="1">
      <c r="A117" s="942"/>
      <c r="B117" s="401"/>
      <c r="C117" s="1611" t="s">
        <v>826</v>
      </c>
      <c r="D117" s="3676"/>
      <c r="E117" s="2336" t="s">
        <v>154</v>
      </c>
      <c r="F117" s="2333" t="s">
        <v>266</v>
      </c>
      <c r="G117" s="2334"/>
      <c r="H117" s="3673"/>
      <c r="I117" s="4010"/>
      <c r="J117" s="3812"/>
      <c r="K117" s="3812"/>
      <c r="L117" s="3812"/>
      <c r="M117" s="3812"/>
      <c r="N117" s="3812"/>
      <c r="O117" s="3812"/>
      <c r="P117" s="3812"/>
      <c r="Q117" s="3812"/>
      <c r="R117" s="4011"/>
      <c r="S117" s="3935" t="str">
        <f>IF(SUM(AB115,V118)&gt;Overpaid,"Lines "&amp;AA115&amp;" &amp; "&amp;T118&amp;" must be &lt;= Line "&amp;AA114&amp;".","")</f>
        <v/>
      </c>
      <c r="T117" s="3936"/>
      <c r="U117" s="3936"/>
      <c r="V117" s="3936"/>
      <c r="W117" s="3936"/>
      <c r="X117" s="3936"/>
      <c r="Y117" s="3936"/>
      <c r="Z117" s="3937"/>
      <c r="AA117" s="2319"/>
      <c r="AB117" s="4032" t="str">
        <f>IF(AND(AI116="",You_Owe&lt;&gt;"",You_Owe&gt;1000,You_Owe&gt;0.1*Tot_Tax,TaxPenalty=""),"if any tax penalty","")</f>
        <v/>
      </c>
      <c r="AC117" s="4033"/>
      <c r="AD117" s="4033"/>
      <c r="AE117" s="4033"/>
      <c r="AF117" s="4033"/>
      <c r="AG117" s="484"/>
      <c r="AH117" s="1039"/>
      <c r="AI117" s="1551" t="str">
        <f>IF(AND(You_Owe&lt;&gt;"",You_Owe&gt;1000,You_Owe&gt;0.1*Tot_Tax,TaxPenalty=""),"Hide note.","")</f>
        <v/>
      </c>
      <c r="AJ117" s="14"/>
      <c r="AK117" s="14"/>
      <c r="AL117" s="551"/>
      <c r="AM117" s="68"/>
      <c r="AN117" s="456"/>
      <c r="AO117" s="1466">
        <v>111111</v>
      </c>
      <c r="AP117" s="1466">
        <f>AV117</f>
        <v>6376.5</v>
      </c>
      <c r="AQ117" s="1466">
        <f>AU117/100</f>
        <v>0.28000000000000003</v>
      </c>
      <c r="AR117" s="1466">
        <f>ROUND(((AO117*SectC_b3/100)-SectC_d3),0)</f>
        <v>24735</v>
      </c>
      <c r="AS117" s="1556">
        <v>3</v>
      </c>
      <c r="AT117" s="1624">
        <v>113425</v>
      </c>
      <c r="AU117" s="779">
        <v>28</v>
      </c>
      <c r="AV117" s="1627">
        <v>6376.5</v>
      </c>
      <c r="AW117" s="313"/>
      <c r="AX117" s="313"/>
      <c r="AY117" s="1565"/>
      <c r="AZ117" s="46"/>
      <c r="BA117" s="46" t="str">
        <f>"•  Head of household -- "&amp;TEXT(BG116,"$0,000")</f>
        <v>•  Head of household -- $279,650</v>
      </c>
      <c r="BB117" s="46"/>
      <c r="BC117" s="46"/>
      <c r="BD117" s="46"/>
      <c r="BE117" s="46"/>
      <c r="BF117" s="46"/>
      <c r="BG117" s="2910"/>
      <c r="BH117" s="2912"/>
      <c r="BI117" s="46"/>
      <c r="BJ117" s="140"/>
    </row>
    <row r="118" spans="1:65" ht="18" customHeight="1">
      <c r="A118" s="942"/>
      <c r="B118" s="401"/>
      <c r="C118" s="575"/>
      <c r="D118" s="2347">
        <f>D115+1</f>
        <v>77</v>
      </c>
      <c r="E118" s="2378"/>
      <c r="F118" s="2349" t="str">
        <f>"Amount  of  line  "&amp;AA114&amp;" you want"</f>
        <v>Amount  of  line  75 you want</v>
      </c>
      <c r="G118" s="2350"/>
      <c r="H118" s="2550"/>
      <c r="I118" s="2550"/>
      <c r="J118" s="2550"/>
      <c r="K118" s="2551"/>
      <c r="L118" s="2551"/>
      <c r="M118" s="2551"/>
      <c r="N118" s="2552"/>
      <c r="O118" s="2552"/>
      <c r="P118" s="2552"/>
      <c r="Q118" s="2550"/>
      <c r="R118" s="2550"/>
      <c r="S118" s="2553" t="str">
        <f>"applied to your "&amp;TaxYear+1&amp;" estimated tax     "</f>
        <v xml:space="preserve">applied to your 2015 estimated tax     </v>
      </c>
      <c r="T118" s="2519">
        <f>D118</f>
        <v>77</v>
      </c>
      <c r="U118" s="2543"/>
      <c r="V118" s="3903"/>
      <c r="W118" s="3903"/>
      <c r="X118" s="3903"/>
      <c r="Y118" s="3903"/>
      <c r="Z118" s="2436"/>
      <c r="AA118" s="2319"/>
      <c r="AB118" s="3941" t="str">
        <f>IF(AND(AI116="",You_Owe&lt;&gt;"",You_Owe&gt;1000,You_Owe&gt;0.1*Tot_Tax,TaxPenalty=""),"is applicable.","")</f>
        <v/>
      </c>
      <c r="AC118" s="3942"/>
      <c r="AD118" s="3942"/>
      <c r="AE118" s="3942"/>
      <c r="AF118" s="3942"/>
      <c r="AG118" s="484"/>
      <c r="AH118" s="1039"/>
      <c r="AI118" s="14"/>
      <c r="AJ118" s="14"/>
      <c r="AK118" s="14"/>
      <c r="AL118" s="551"/>
      <c r="AM118" s="68"/>
      <c r="AN118" s="456"/>
      <c r="AO118" s="1466">
        <v>111555</v>
      </c>
      <c r="AP118" s="1466">
        <f>AV118</f>
        <v>12047.75</v>
      </c>
      <c r="AQ118" s="1466">
        <f>AU118/100</f>
        <v>0.33</v>
      </c>
      <c r="AR118" s="1466">
        <f>ROUND(((AO118*SectC_b4/100)-SectC_d4),0)</f>
        <v>24765</v>
      </c>
      <c r="AS118" s="1556">
        <v>4</v>
      </c>
      <c r="AT118" s="1621">
        <v>202550</v>
      </c>
      <c r="AU118" s="779">
        <v>33</v>
      </c>
      <c r="AV118" s="1628">
        <v>12047.75</v>
      </c>
      <c r="AW118" s="313"/>
      <c r="AX118" s="313"/>
      <c r="AY118" s="1565"/>
      <c r="AZ118" s="46"/>
      <c r="BA118" s="46"/>
      <c r="BB118" s="46"/>
      <c r="BC118" s="46"/>
      <c r="BD118" s="46"/>
      <c r="BE118" s="46"/>
      <c r="BF118" s="46"/>
      <c r="BG118" s="2910"/>
      <c r="BH118" s="2912"/>
      <c r="BI118" s="46"/>
      <c r="BJ118" s="140"/>
    </row>
    <row r="119" spans="1:65" ht="15" customHeight="1">
      <c r="A119" s="942"/>
      <c r="B119" s="401"/>
      <c r="C119" s="486" t="s">
        <v>67</v>
      </c>
      <c r="D119" s="2331">
        <f>D118+1</f>
        <v>78</v>
      </c>
      <c r="E119" s="2539"/>
      <c r="F119" s="2487" t="s">
        <v>165</v>
      </c>
      <c r="G119" s="2334"/>
      <c r="H119" s="2334"/>
      <c r="I119" s="2343"/>
      <c r="J119" s="2343"/>
      <c r="K119" s="2343"/>
      <c r="L119" s="2343"/>
      <c r="M119" s="2343"/>
      <c r="N119" s="2334"/>
      <c r="O119" s="2440"/>
      <c r="P119" s="2440"/>
      <c r="Q119" s="2440"/>
      <c r="R119" s="2440"/>
      <c r="S119" s="2440"/>
      <c r="T119" s="2393"/>
      <c r="U119" s="2393"/>
      <c r="V119" s="2497"/>
      <c r="W119" s="2497"/>
      <c r="X119" s="2497"/>
      <c r="Y119" s="2559" t="str">
        <f>"Subtract line "&amp;$AA$113&amp;" from line "&amp;AA101&amp;". For details on how to pay, see instructions.      "</f>
        <v xml:space="preserve">Subtract line 74 from line 63. For details on how to pay, see instructions.      </v>
      </c>
      <c r="Z119" s="2512"/>
      <c r="AA119" s="2566">
        <f>D119</f>
        <v>78</v>
      </c>
      <c r="AB119" s="3790">
        <f>IF(AL119&lt;&gt;"",AL119,IF(ISERROR(Tot_Tax-Tot_Payments+TaxPenalty),"",IF(Tot_Tax-Tot_Payments+TaxPenalty&lt;0,"",Tot_Tax-Tot_Payments+TaxPenalty)))</f>
        <v>0</v>
      </c>
      <c r="AC119" s="3791"/>
      <c r="AD119" s="3791"/>
      <c r="AE119" s="3791"/>
      <c r="AF119" s="3791"/>
      <c r="AG119" s="483"/>
      <c r="AH119" s="1039"/>
      <c r="AI119" s="3671"/>
      <c r="AJ119" s="14"/>
      <c r="AK119" s="14"/>
      <c r="AL119" s="550"/>
      <c r="AM119" s="68"/>
      <c r="AN119" s="456"/>
      <c r="AO119" s="1466">
        <v>222222</v>
      </c>
      <c r="AP119" s="1466">
        <f>AV119</f>
        <v>16098.75</v>
      </c>
      <c r="AQ119" s="1466">
        <f>AU119/100</f>
        <v>0.35</v>
      </c>
      <c r="AR119" s="1466">
        <f>ROUND(((AO119*SectC_b5/100)-SectC_d5),0)</f>
        <v>61679</v>
      </c>
      <c r="AS119" s="1556">
        <v>5</v>
      </c>
      <c r="AT119" s="1621">
        <v>228800</v>
      </c>
      <c r="AU119" s="779">
        <v>35</v>
      </c>
      <c r="AV119" s="1628">
        <v>16098.75</v>
      </c>
      <c r="AW119" s="313"/>
      <c r="AX119" s="313"/>
      <c r="AY119" s="2908" t="s">
        <v>54</v>
      </c>
      <c r="AZ119" s="46"/>
      <c r="BA119" s="183" t="s">
        <v>1728</v>
      </c>
      <c r="BB119" s="46"/>
      <c r="BC119" s="46"/>
      <c r="BD119" s="46"/>
      <c r="BE119" s="46"/>
      <c r="BF119" s="46"/>
      <c r="BG119" s="2910">
        <f>IF(File_Marr_Sep&lt;&gt;"",BH120,BH119)</f>
        <v>122500</v>
      </c>
      <c r="BH119" s="2912">
        <v>122500</v>
      </c>
      <c r="BI119" s="46"/>
      <c r="BJ119" s="140"/>
    </row>
    <row r="120" spans="1:65" ht="18" customHeight="1" thickBot="1">
      <c r="A120" s="942"/>
      <c r="B120" s="401"/>
      <c r="C120" s="574" t="s">
        <v>182</v>
      </c>
      <c r="D120" s="2428">
        <f>D119+1</f>
        <v>79</v>
      </c>
      <c r="E120" s="2560"/>
      <c r="F120" s="2429" t="str">
        <f>IF(AND(You_Owe&lt;&gt;"",You_Owe&gt;1000,You_Owe&gt;0.1*Tot_Tax,TaxPenalty=""),"Enter Estimated Tax Penalty (or 0 if none applies)","Estimated tax penalty (see instructions)")</f>
        <v>Estimated tax penalty (see instructions)</v>
      </c>
      <c r="G120" s="2561"/>
      <c r="H120" s="2561"/>
      <c r="I120" s="2561"/>
      <c r="J120" s="2561"/>
      <c r="K120" s="2561"/>
      <c r="L120" s="2561"/>
      <c r="M120" s="2561"/>
      <c r="N120" s="2561"/>
      <c r="O120" s="2561"/>
      <c r="P120" s="2561"/>
      <c r="Q120" s="2561"/>
      <c r="R120" s="2561"/>
      <c r="S120" s="2562" t="s">
        <v>427</v>
      </c>
      <c r="T120" s="2563">
        <f>D120</f>
        <v>79</v>
      </c>
      <c r="U120" s="2564"/>
      <c r="V120" s="3934"/>
      <c r="W120" s="3934"/>
      <c r="X120" s="3934"/>
      <c r="Y120" s="3934"/>
      <c r="Z120" s="2565"/>
      <c r="AA120" s="2320"/>
      <c r="AB120" s="2321"/>
      <c r="AC120" s="2321"/>
      <c r="AD120" s="2321"/>
      <c r="AE120" s="2321"/>
      <c r="AF120" s="2321"/>
      <c r="AG120" s="1612"/>
      <c r="AH120" s="1039"/>
      <c r="AI120" s="14"/>
      <c r="AJ120" s="14"/>
      <c r="AK120" s="14"/>
      <c r="AL120" s="551"/>
      <c r="AM120" s="68"/>
      <c r="AN120" s="456"/>
      <c r="AO120" s="1466">
        <v>333333</v>
      </c>
      <c r="AP120" s="1466">
        <f>AV120</f>
        <v>26623.55</v>
      </c>
      <c r="AQ120" s="1466">
        <f>AU120/100</f>
        <v>0.39600000000000002</v>
      </c>
      <c r="AR120" s="1466">
        <f>ROUND(((AO120*SectC_b6/100)-SectC_d6),0)</f>
        <v>105376</v>
      </c>
      <c r="AS120" s="1556">
        <v>6</v>
      </c>
      <c r="AT120" s="1622"/>
      <c r="AU120" s="1369">
        <v>39.6</v>
      </c>
      <c r="AV120" s="1630">
        <v>26623.55</v>
      </c>
      <c r="AW120" s="313"/>
      <c r="AX120" s="313"/>
      <c r="AY120" s="1565"/>
      <c r="AZ120" s="46"/>
      <c r="BA120" s="183" t="str">
        <f>"If the result is more than "&amp;TEXT(BH119,"$0,000")</f>
        <v>If the result is more than $122,500</v>
      </c>
      <c r="BB120" s="46"/>
      <c r="BC120" s="46"/>
      <c r="BD120" s="2914"/>
      <c r="BE120" s="2918" t="s">
        <v>1722</v>
      </c>
      <c r="BF120" s="46"/>
      <c r="BG120" s="2910" t="b">
        <f>IF(BG121&gt;BG119,TRUE,FALSE)</f>
        <v>1</v>
      </c>
      <c r="BH120" s="2912">
        <v>61250</v>
      </c>
      <c r="BI120" s="46"/>
      <c r="BJ120" s="140"/>
    </row>
    <row r="121" spans="1:65" ht="13.5" customHeight="1" thickBot="1">
      <c r="A121" s="942"/>
      <c r="B121" s="401"/>
      <c r="C121" s="794" t="s">
        <v>638</v>
      </c>
      <c r="D121" s="3677" t="s">
        <v>898</v>
      </c>
      <c r="E121" s="3678"/>
      <c r="F121" s="3679"/>
      <c r="G121" s="3679"/>
      <c r="H121" s="3679"/>
      <c r="I121" s="3679"/>
      <c r="J121" s="3679"/>
      <c r="K121" s="3679"/>
      <c r="L121" s="3679"/>
      <c r="M121" s="3679"/>
      <c r="N121" s="3679"/>
      <c r="O121" s="3679"/>
      <c r="P121" s="3679"/>
      <c r="Q121" s="3679"/>
      <c r="R121" s="3679"/>
      <c r="S121" s="3679"/>
      <c r="T121" s="3680"/>
      <c r="U121" s="3680"/>
      <c r="V121" s="3681"/>
      <c r="W121" s="3682"/>
      <c r="X121" s="2306"/>
      <c r="Y121" s="2567" t="s">
        <v>897</v>
      </c>
      <c r="Z121" s="2394"/>
      <c r="AA121" s="2568"/>
      <c r="AB121" s="2334"/>
      <c r="AC121" s="2334"/>
      <c r="AD121" s="2334"/>
      <c r="AE121" s="2841" t="str">
        <f>IF(X121&lt;&gt;"","","X")</f>
        <v>X</v>
      </c>
      <c r="AF121" s="2337" t="s">
        <v>896</v>
      </c>
      <c r="AG121" s="2569"/>
      <c r="AH121" s="1039"/>
      <c r="AI121" s="14"/>
      <c r="AJ121" s="14"/>
      <c r="AK121" s="14"/>
      <c r="AL121" s="551"/>
      <c r="AM121" s="68"/>
      <c r="AN121" s="456"/>
      <c r="AO121" s="456"/>
      <c r="AP121" s="456"/>
      <c r="AQ121" s="456"/>
      <c r="AR121" s="456"/>
      <c r="AS121" s="456"/>
      <c r="AT121" s="1466"/>
      <c r="AU121" s="1466"/>
      <c r="AV121" s="1559"/>
      <c r="AW121" s="313"/>
      <c r="AX121" s="313"/>
      <c r="AY121" s="1565"/>
      <c r="AZ121" s="46"/>
      <c r="BA121" s="183" t="str">
        <f>"("&amp;TEXT(BH120,"$0,000")&amp;" if married filing separately) , enter -0- on line 42"</f>
        <v>($61,250 if married filing separately) , enter -0- on line 42</v>
      </c>
      <c r="BB121" s="46"/>
      <c r="BC121" s="46"/>
      <c r="BD121" s="46"/>
      <c r="BE121" s="46"/>
      <c r="BF121" s="1728" t="str">
        <f>"  .   .   .   .   .   .   .   5."</f>
        <v xml:space="preserve">  .   .   .   .   .   .   .   5.</v>
      </c>
      <c r="BG121" s="1390" t="str">
        <f>IF(AZ107="X",SUM(BG111,-BG115),"")</f>
        <v/>
      </c>
      <c r="BH121" s="2917"/>
      <c r="BI121" s="46"/>
      <c r="BJ121" s="140"/>
    </row>
    <row r="122" spans="1:65" ht="21" customHeight="1">
      <c r="A122" s="942"/>
      <c r="B122" s="401"/>
      <c r="C122" s="576" t="s">
        <v>639</v>
      </c>
      <c r="D122" s="4034" t="s">
        <v>900</v>
      </c>
      <c r="E122" s="4035"/>
      <c r="F122" s="4035"/>
      <c r="G122" s="3904"/>
      <c r="H122" s="3905"/>
      <c r="I122" s="3905"/>
      <c r="J122" s="3905"/>
      <c r="K122" s="3905"/>
      <c r="L122" s="3905"/>
      <c r="M122" s="3905"/>
      <c r="N122" s="4001" t="s">
        <v>899</v>
      </c>
      <c r="O122" s="4002"/>
      <c r="P122" s="3906"/>
      <c r="Q122" s="3906"/>
      <c r="R122" s="3906"/>
      <c r="S122" s="3906"/>
      <c r="T122" s="3906"/>
      <c r="U122" s="2570"/>
      <c r="V122" s="2571"/>
      <c r="W122" s="2571"/>
      <c r="X122" s="2572"/>
      <c r="Y122" s="2573"/>
      <c r="Z122" s="2573" t="s">
        <v>1486</v>
      </c>
      <c r="AA122" s="2574"/>
      <c r="AB122" s="3949"/>
      <c r="AC122" s="3905"/>
      <c r="AD122" s="3905"/>
      <c r="AE122" s="3905"/>
      <c r="AF122" s="3905"/>
      <c r="AG122" s="3905"/>
      <c r="AH122" s="1039"/>
      <c r="AI122" s="14"/>
      <c r="AJ122" s="14"/>
      <c r="AK122" s="14"/>
      <c r="AL122" s="551"/>
      <c r="AM122" s="68"/>
      <c r="AN122" s="456"/>
      <c r="AO122" s="456"/>
      <c r="AP122" s="456"/>
      <c r="AQ122" s="456"/>
      <c r="AR122" s="456"/>
      <c r="AS122" s="456"/>
      <c r="AT122" s="1631" t="s">
        <v>62</v>
      </c>
      <c r="AU122" s="1631" t="s">
        <v>85</v>
      </c>
      <c r="AV122" s="1631" t="s">
        <v>154</v>
      </c>
      <c r="AW122" s="313"/>
      <c r="AX122" s="313"/>
      <c r="AY122" s="2908" t="s">
        <v>125</v>
      </c>
      <c r="AZ122" s="46"/>
      <c r="BA122" s="183" t="str">
        <f>"Divide line 5 by $2,500 ($1,250 if married filing separately). If the"</f>
        <v>Divide line 5 by $2,500 ($1,250 if married filing separately). If the</v>
      </c>
      <c r="BB122" s="46"/>
      <c r="BC122" s="46"/>
      <c r="BD122" s="46"/>
      <c r="BE122" s="46"/>
      <c r="BF122" s="46"/>
      <c r="BG122" s="2910">
        <f>IF(File_Marr_Sep&lt;&gt;"",BH123,BH122)</f>
        <v>2500</v>
      </c>
      <c r="BH122" s="2912">
        <v>2500</v>
      </c>
      <c r="BI122" s="46"/>
      <c r="BJ122" s="140"/>
    </row>
    <row r="123" spans="1:65" ht="15.75" customHeight="1">
      <c r="A123" s="942"/>
      <c r="B123" s="401"/>
      <c r="C123" s="486" t="s">
        <v>183</v>
      </c>
      <c r="D123" s="2334" t="s">
        <v>645</v>
      </c>
      <c r="E123" s="2334"/>
      <c r="F123" s="2334"/>
      <c r="G123" s="2334"/>
      <c r="H123" s="2334"/>
      <c r="I123" s="2334"/>
      <c r="J123" s="2334"/>
      <c r="K123" s="2334"/>
      <c r="L123" s="2334"/>
      <c r="M123" s="2334"/>
      <c r="N123" s="2334"/>
      <c r="O123" s="2334"/>
      <c r="P123" s="2334"/>
      <c r="Q123" s="2334"/>
      <c r="R123" s="2334"/>
      <c r="S123" s="2334"/>
      <c r="T123" s="2334"/>
      <c r="U123" s="2334"/>
      <c r="V123" s="2334"/>
      <c r="W123" s="2334"/>
      <c r="X123" s="2334"/>
      <c r="Y123" s="2334"/>
      <c r="Z123" s="2334"/>
      <c r="AA123" s="2334"/>
      <c r="AB123" s="2334"/>
      <c r="AC123" s="2334"/>
      <c r="AD123" s="2334"/>
      <c r="AE123" s="2334"/>
      <c r="AF123" s="2334"/>
      <c r="AG123" s="2334"/>
      <c r="AH123" s="1039"/>
      <c r="AI123" s="14"/>
      <c r="AJ123" s="14"/>
      <c r="AK123" s="14"/>
      <c r="AL123" s="551"/>
      <c r="AM123" s="68"/>
      <c r="AN123" s="456"/>
      <c r="AO123" s="456"/>
      <c r="AP123" s="456"/>
      <c r="AQ123" s="456"/>
      <c r="AR123" s="456"/>
      <c r="AT123" s="1618" t="s">
        <v>939</v>
      </c>
      <c r="AU123" s="10"/>
      <c r="AV123" s="1560"/>
      <c r="AW123" s="313"/>
      <c r="AX123" s="313"/>
      <c r="AY123" s="2908"/>
      <c r="AZ123" s="46"/>
      <c r="BA123" s="183" t="s">
        <v>1723</v>
      </c>
      <c r="BB123" s="46"/>
      <c r="BC123" s="46"/>
      <c r="BD123" s="46"/>
      <c r="BE123" s="46"/>
      <c r="BF123" s="46"/>
      <c r="BG123" s="2910"/>
      <c r="BH123" s="2912">
        <v>1250</v>
      </c>
      <c r="BI123" s="46"/>
      <c r="BJ123" s="140"/>
    </row>
    <row r="124" spans="1:65" ht="15.75" customHeight="1">
      <c r="A124" s="942"/>
      <c r="B124" s="401"/>
      <c r="C124" s="797" t="s">
        <v>184</v>
      </c>
      <c r="D124" s="3696" t="s">
        <v>646</v>
      </c>
      <c r="E124" s="3696"/>
      <c r="F124" s="3696"/>
      <c r="G124" s="3696"/>
      <c r="H124" s="3696"/>
      <c r="I124" s="3696"/>
      <c r="J124" s="3696"/>
      <c r="K124" s="3696"/>
      <c r="L124" s="3696"/>
      <c r="M124" s="3696"/>
      <c r="N124" s="3696"/>
      <c r="O124" s="3696"/>
      <c r="P124" s="3696"/>
      <c r="Q124" s="3696"/>
      <c r="R124" s="3696"/>
      <c r="S124" s="3696"/>
      <c r="T124" s="3696"/>
      <c r="U124" s="3696"/>
      <c r="V124" s="3696"/>
      <c r="W124" s="3696"/>
      <c r="X124" s="3696"/>
      <c r="Y124" s="3696"/>
      <c r="Z124" s="3696"/>
      <c r="AA124" s="3696"/>
      <c r="AB124" s="3696"/>
      <c r="AC124" s="3696"/>
      <c r="AD124" s="3696"/>
      <c r="AE124" s="3696"/>
      <c r="AF124" s="3696"/>
      <c r="AG124" s="3696"/>
      <c r="AH124" s="1039"/>
      <c r="AI124" s="14"/>
      <c r="AJ124" s="14"/>
      <c r="AK124" s="14"/>
      <c r="AL124" s="551"/>
      <c r="AM124" s="68"/>
      <c r="AN124" s="456"/>
      <c r="AO124" s="1466"/>
      <c r="AP124" s="1466"/>
      <c r="AQ124" s="1466"/>
      <c r="AR124" s="1466"/>
      <c r="AS124" s="1556">
        <v>1</v>
      </c>
      <c r="AT124" s="2902" t="s">
        <v>1715</v>
      </c>
      <c r="AU124" s="1633"/>
      <c r="AV124" s="1626"/>
      <c r="AW124" s="68"/>
      <c r="AX124" s="313"/>
      <c r="AY124" s="1565"/>
      <c r="AZ124" s="46"/>
      <c r="BA124" s="46" t="s">
        <v>1724</v>
      </c>
      <c r="BB124" s="46"/>
      <c r="BC124" s="46"/>
      <c r="BD124" s="46"/>
      <c r="BE124" s="46"/>
      <c r="BF124" s="1728" t="str">
        <f>" .   .   .   .   .   .   .   .   .   .   .   6."</f>
        <v xml:space="preserve"> .   .   .   .   .   .   .   .   .   .   .   6.</v>
      </c>
      <c r="BG124" s="1390" t="str">
        <f>IF(BG120,"",ROUNDUP(BG121/BG122,0))</f>
        <v/>
      </c>
      <c r="BH124" s="1391"/>
      <c r="BI124" s="46"/>
      <c r="BJ124" s="140"/>
      <c r="BM124" s="2915"/>
    </row>
    <row r="125" spans="1:65" ht="15.75" customHeight="1">
      <c r="A125" s="942"/>
      <c r="B125" s="37"/>
      <c r="C125" s="469" t="s">
        <v>185</v>
      </c>
      <c r="D125" s="2325" t="s">
        <v>186</v>
      </c>
      <c r="E125" s="2581"/>
      <c r="F125" s="2325"/>
      <c r="G125" s="2582"/>
      <c r="H125" s="2582"/>
      <c r="I125" s="2582"/>
      <c r="J125" s="2582"/>
      <c r="K125" s="2582"/>
      <c r="L125" s="2582"/>
      <c r="M125" s="2582"/>
      <c r="N125" s="2582"/>
      <c r="O125" s="2858" t="s">
        <v>187</v>
      </c>
      <c r="P125" s="2325"/>
      <c r="Q125" s="2325"/>
      <c r="R125" s="2859"/>
      <c r="S125" s="3952" t="s">
        <v>188</v>
      </c>
      <c r="T125" s="3953"/>
      <c r="U125" s="3953"/>
      <c r="V125" s="3953"/>
      <c r="W125" s="3953"/>
      <c r="X125" s="3953"/>
      <c r="Y125" s="3954"/>
      <c r="Z125" s="2860" t="s">
        <v>189</v>
      </c>
      <c r="AA125" s="2861"/>
      <c r="AB125" s="2325"/>
      <c r="AC125" s="2325"/>
      <c r="AD125" s="2325"/>
      <c r="AE125" s="2325"/>
      <c r="AF125" s="2325"/>
      <c r="AG125" s="2862"/>
      <c r="AH125" s="1039"/>
      <c r="AI125" s="14"/>
      <c r="AJ125" s="14"/>
      <c r="AK125" s="14"/>
      <c r="AL125" s="551"/>
      <c r="AM125" s="68"/>
      <c r="AN125" s="456"/>
      <c r="AO125" s="1466">
        <v>22222</v>
      </c>
      <c r="AP125" s="1466">
        <f t="shared" ref="AP125:AP130" si="12">AV125</f>
        <v>0</v>
      </c>
      <c r="AQ125" s="1466">
        <f t="shared" ref="AQ125:AQ130" si="13">AU125/100</f>
        <v>0</v>
      </c>
      <c r="AR125" s="2904" t="s">
        <v>1479</v>
      </c>
      <c r="AS125" s="1556">
        <v>2</v>
      </c>
      <c r="AT125" s="1624">
        <v>100000</v>
      </c>
      <c r="AU125" s="779"/>
      <c r="AV125" s="1627"/>
      <c r="AW125" s="68"/>
      <c r="AX125" s="313"/>
      <c r="AY125" s="1566"/>
      <c r="AZ125" s="1563"/>
      <c r="BA125" s="59"/>
      <c r="BB125" s="46"/>
      <c r="BC125" s="46"/>
      <c r="BD125" s="46"/>
      <c r="BE125" s="46"/>
      <c r="BF125" s="46"/>
      <c r="BG125" s="1391"/>
      <c r="BH125" s="1391"/>
      <c r="BI125" s="1485"/>
      <c r="BJ125" s="140"/>
    </row>
    <row r="126" spans="1:65" ht="16.5" customHeight="1">
      <c r="A126" s="942"/>
      <c r="B126" s="401"/>
      <c r="C126" s="796" t="s">
        <v>1104</v>
      </c>
      <c r="D126" s="3806"/>
      <c r="E126" s="3807"/>
      <c r="F126" s="3807"/>
      <c r="G126" s="3807"/>
      <c r="H126" s="3807"/>
      <c r="I126" s="3807"/>
      <c r="J126" s="3807"/>
      <c r="K126" s="3807"/>
      <c r="L126" s="3807"/>
      <c r="M126" s="3807"/>
      <c r="N126" s="3808"/>
      <c r="O126" s="3798"/>
      <c r="P126" s="3799"/>
      <c r="Q126" s="3800"/>
      <c r="R126" s="3801"/>
      <c r="S126" s="3802"/>
      <c r="T126" s="3803"/>
      <c r="U126" s="3803"/>
      <c r="V126" s="3803"/>
      <c r="W126" s="3803"/>
      <c r="X126" s="3804"/>
      <c r="Y126" s="3805"/>
      <c r="Z126" s="4014"/>
      <c r="AA126" s="4015"/>
      <c r="AB126" s="4015"/>
      <c r="AC126" s="4015"/>
      <c r="AD126" s="4015"/>
      <c r="AE126" s="4015"/>
      <c r="AF126" s="4015"/>
      <c r="AG126" s="4015"/>
      <c r="AH126" s="1039"/>
      <c r="AI126" s="14"/>
      <c r="AJ126" s="14"/>
      <c r="AK126" s="14"/>
      <c r="AL126" s="551"/>
      <c r="AM126" s="68"/>
      <c r="AN126" s="456"/>
      <c r="AO126" s="1466">
        <v>111111</v>
      </c>
      <c r="AP126" s="1466">
        <f t="shared" si="12"/>
        <v>5587.5</v>
      </c>
      <c r="AQ126" s="1466">
        <f t="shared" si="13"/>
        <v>0.25</v>
      </c>
      <c r="AR126" s="1466">
        <f>ROUND(((AO126*SectD_b3/100)-SectD_d3),0)</f>
        <v>22190</v>
      </c>
      <c r="AS126" s="1556">
        <v>3</v>
      </c>
      <c r="AT126" s="1624">
        <v>127550</v>
      </c>
      <c r="AU126" s="779">
        <v>25</v>
      </c>
      <c r="AV126" s="1627">
        <v>5587.5</v>
      </c>
      <c r="AW126" s="68"/>
      <c r="AX126" s="313"/>
      <c r="AY126" s="1566"/>
      <c r="AZ126" s="1724"/>
      <c r="BA126" s="183"/>
      <c r="BB126" s="46"/>
      <c r="BC126" s="46"/>
      <c r="BD126" s="1726"/>
      <c r="BF126" s="1727"/>
      <c r="BG126" s="1727"/>
      <c r="BH126" s="1391"/>
      <c r="BI126" s="1485"/>
      <c r="BJ126" s="140"/>
    </row>
    <row r="127" spans="1:65" ht="16.5" customHeight="1" thickBot="1">
      <c r="A127" s="942"/>
      <c r="B127" s="37"/>
      <c r="C127" s="469" t="s">
        <v>571</v>
      </c>
      <c r="D127" s="2324" t="s">
        <v>570</v>
      </c>
      <c r="E127" s="2325"/>
      <c r="F127" s="2325"/>
      <c r="G127" s="2325"/>
      <c r="H127" s="2325"/>
      <c r="I127" s="2325"/>
      <c r="J127" s="2325"/>
      <c r="K127" s="2325"/>
      <c r="L127" s="2325"/>
      <c r="M127" s="2325"/>
      <c r="N127" s="2325"/>
      <c r="O127" s="2326" t="s">
        <v>187</v>
      </c>
      <c r="P127" s="2327"/>
      <c r="Q127" s="2327"/>
      <c r="R127" s="2328"/>
      <c r="S127" s="3952" t="s">
        <v>190</v>
      </c>
      <c r="T127" s="3953"/>
      <c r="U127" s="3953"/>
      <c r="V127" s="3953"/>
      <c r="W127" s="3953"/>
      <c r="X127" s="3953"/>
      <c r="Y127" s="3953"/>
      <c r="Z127" s="2329" t="s">
        <v>1105</v>
      </c>
      <c r="AA127" s="2330"/>
      <c r="AB127" s="2330"/>
      <c r="AC127" s="2330"/>
      <c r="AD127" s="2330"/>
      <c r="AE127" s="2330"/>
      <c r="AF127" s="2330"/>
      <c r="AG127" s="2330"/>
      <c r="AH127" s="1039"/>
      <c r="AI127" s="14"/>
      <c r="AJ127" s="14"/>
      <c r="AK127" s="14"/>
      <c r="AL127" s="551"/>
      <c r="AM127" s="68"/>
      <c r="AN127" s="456"/>
      <c r="AO127" s="1466">
        <v>200000</v>
      </c>
      <c r="AP127" s="1466">
        <f t="shared" si="12"/>
        <v>9414</v>
      </c>
      <c r="AQ127" s="1466">
        <f t="shared" si="13"/>
        <v>0.28000000000000003</v>
      </c>
      <c r="AR127" s="1466">
        <f>ROUND(((AO127*SectD_b4/100)-SectD_d4),0)</f>
        <v>46586</v>
      </c>
      <c r="AS127" s="1556">
        <v>4</v>
      </c>
      <c r="AT127" s="1624">
        <v>206600</v>
      </c>
      <c r="AU127" s="779">
        <v>28</v>
      </c>
      <c r="AV127" s="1627">
        <v>9414</v>
      </c>
      <c r="AW127" s="68"/>
      <c r="AX127" s="68"/>
      <c r="AY127" s="2908" t="s">
        <v>126</v>
      </c>
      <c r="AZ127" s="1563"/>
      <c r="BA127" s="183" t="str">
        <f>"Multiply line 6 by "&amp;TEXT(BG127,"0%")&amp;" ("&amp;TEXT(BG127,".00")&amp;") and enter the result as a decimal"</f>
        <v>Multiply line 6 by 2% (.02) and enter the result as a decimal</v>
      </c>
      <c r="BB127" s="46"/>
      <c r="BC127" s="46"/>
      <c r="BD127" s="46"/>
      <c r="BE127" s="46"/>
      <c r="BF127" s="46"/>
      <c r="BG127" s="2911">
        <f>0.02</f>
        <v>0.02</v>
      </c>
      <c r="BH127" s="2916" t="s">
        <v>126</v>
      </c>
      <c r="BI127" s="1243" t="str">
        <f>IF(BG120,"",IF(AZ107="X",TEXT(BG124*BG127,"0.000"),""))</f>
        <v/>
      </c>
      <c r="BJ127" s="140"/>
    </row>
    <row r="128" spans="1:65" ht="13.5" customHeight="1" thickBot="1">
      <c r="A128" s="942"/>
      <c r="B128" s="401"/>
      <c r="C128" s="795" t="s">
        <v>453</v>
      </c>
      <c r="D128" s="3806"/>
      <c r="E128" s="3807"/>
      <c r="F128" s="3807"/>
      <c r="G128" s="3807"/>
      <c r="H128" s="3807"/>
      <c r="I128" s="3807"/>
      <c r="J128" s="3807"/>
      <c r="K128" s="3807"/>
      <c r="L128" s="3807"/>
      <c r="M128" s="3807"/>
      <c r="N128" s="3808"/>
      <c r="O128" s="3798"/>
      <c r="P128" s="3799"/>
      <c r="Q128" s="3800"/>
      <c r="R128" s="3801"/>
      <c r="S128" s="3802"/>
      <c r="T128" s="3803"/>
      <c r="U128" s="3803"/>
      <c r="V128" s="3803"/>
      <c r="W128" s="3803"/>
      <c r="X128" s="3804"/>
      <c r="Y128" s="3804"/>
      <c r="Z128" s="3938" t="s">
        <v>1106</v>
      </c>
      <c r="AA128" s="3939"/>
      <c r="AB128" s="3940"/>
      <c r="AC128" s="3943"/>
      <c r="AD128" s="3944"/>
      <c r="AE128" s="3944"/>
      <c r="AF128" s="3944"/>
      <c r="AG128" s="3945"/>
      <c r="AH128" s="1039"/>
      <c r="AI128" s="14"/>
      <c r="AJ128" s="14"/>
      <c r="AK128" s="14"/>
      <c r="AL128" s="551"/>
      <c r="AM128" s="68"/>
      <c r="AN128" s="456"/>
      <c r="AO128" s="1466">
        <v>222222</v>
      </c>
      <c r="AP128" s="1466">
        <f t="shared" si="12"/>
        <v>19744</v>
      </c>
      <c r="AQ128" s="1466">
        <f t="shared" si="13"/>
        <v>0.33</v>
      </c>
      <c r="AR128" s="1466">
        <f>ROUND(((AO128*SectD_b5/100)-SectD_d5),0)</f>
        <v>53589</v>
      </c>
      <c r="AS128" s="1556">
        <v>5</v>
      </c>
      <c r="AT128" s="1625">
        <v>405100</v>
      </c>
      <c r="AU128" s="779">
        <v>33</v>
      </c>
      <c r="AV128" s="1628">
        <v>19744</v>
      </c>
      <c r="AW128" s="68"/>
      <c r="AX128" s="68"/>
      <c r="AY128" s="1566"/>
      <c r="AZ128" s="1724"/>
      <c r="BA128" s="183"/>
      <c r="BB128" s="46"/>
      <c r="BC128" s="46"/>
      <c r="BD128" s="46"/>
      <c r="BE128" s="46"/>
      <c r="BF128" s="46"/>
      <c r="BG128" s="1391"/>
      <c r="BH128" s="1391"/>
      <c r="BI128" s="1485"/>
      <c r="BJ128" s="140"/>
    </row>
    <row r="129" spans="1:62" ht="13.5" customHeight="1" thickBot="1">
      <c r="A129" s="942"/>
      <c r="B129" s="401"/>
      <c r="C129" s="486" t="s">
        <v>449</v>
      </c>
      <c r="D129" s="4025" t="s">
        <v>901</v>
      </c>
      <c r="E129" s="3830"/>
      <c r="F129" s="3830"/>
      <c r="G129" s="3830"/>
      <c r="H129" s="3830"/>
      <c r="I129" s="3830"/>
      <c r="J129" s="4026"/>
      <c r="K129" s="3829" t="s">
        <v>902</v>
      </c>
      <c r="L129" s="3830"/>
      <c r="M129" s="3830"/>
      <c r="N129" s="3830"/>
      <c r="O129" s="3830"/>
      <c r="P129" s="3830"/>
      <c r="Q129" s="3830"/>
      <c r="R129" s="3830"/>
      <c r="S129" s="1719"/>
      <c r="T129" s="1613"/>
      <c r="U129" s="1613"/>
      <c r="V129" s="1721" t="s">
        <v>187</v>
      </c>
      <c r="W129" s="1613"/>
      <c r="X129" s="1696"/>
      <c r="Y129" s="1718"/>
      <c r="Z129" s="4042" t="s">
        <v>1108</v>
      </c>
      <c r="AA129" s="4043"/>
      <c r="AB129" s="2307"/>
      <c r="AC129" s="89" t="s">
        <v>1107</v>
      </c>
      <c r="AD129" s="1715" t="s">
        <v>903</v>
      </c>
      <c r="AE129" s="1716"/>
      <c r="AF129" s="1716"/>
      <c r="AG129" s="1717"/>
      <c r="AH129" s="1039"/>
      <c r="AI129" s="14"/>
      <c r="AJ129" s="14"/>
      <c r="AK129" s="14"/>
      <c r="AL129" s="551"/>
      <c r="AM129" s="68"/>
      <c r="AN129" s="456"/>
      <c r="AO129" s="1466">
        <v>400000</v>
      </c>
      <c r="AP129" s="1466">
        <f t="shared" si="12"/>
        <v>27846</v>
      </c>
      <c r="AQ129" s="1466">
        <f t="shared" si="13"/>
        <v>0.35</v>
      </c>
      <c r="AR129" s="1466">
        <f>ROUND(((AO129*SectD_b6/100)-SectD_d6),0)</f>
        <v>112154</v>
      </c>
      <c r="AS129" s="1556">
        <v>6</v>
      </c>
      <c r="AT129" s="1625">
        <v>432200</v>
      </c>
      <c r="AU129" s="779">
        <v>35</v>
      </c>
      <c r="AV129" s="1627">
        <v>27846</v>
      </c>
      <c r="AW129" s="68"/>
      <c r="AX129" s="68"/>
      <c r="AY129" s="2908" t="s">
        <v>352</v>
      </c>
      <c r="AZ129" s="1563"/>
      <c r="BA129" s="183" t="s">
        <v>1725</v>
      </c>
      <c r="BB129" s="46"/>
      <c r="BC129" s="46"/>
      <c r="BD129" s="46"/>
      <c r="BE129" s="46"/>
      <c r="BF129" s="46"/>
      <c r="BG129" s="599"/>
      <c r="BH129" s="2916" t="s">
        <v>352</v>
      </c>
      <c r="BI129" s="1243" t="str">
        <f>IF(BG120,"",IF(AZ107="X",ROUND(BI109*BI127,0),""))</f>
        <v/>
      </c>
      <c r="BJ129" s="140"/>
    </row>
    <row r="130" spans="1:62" ht="13.5" customHeight="1">
      <c r="A130" s="942"/>
      <c r="B130" s="401"/>
      <c r="C130" s="486" t="s">
        <v>450</v>
      </c>
      <c r="D130" s="3827"/>
      <c r="E130" s="3827"/>
      <c r="F130" s="3827"/>
      <c r="G130" s="3827"/>
      <c r="H130" s="3827"/>
      <c r="I130" s="3828"/>
      <c r="J130" s="3828"/>
      <c r="K130" s="3825"/>
      <c r="L130" s="3826"/>
      <c r="M130" s="3826"/>
      <c r="N130" s="3826"/>
      <c r="O130" s="3826"/>
      <c r="P130" s="3826"/>
      <c r="Q130" s="3826"/>
      <c r="R130" s="3826"/>
      <c r="S130" s="1266"/>
      <c r="T130" s="1720"/>
      <c r="U130" s="1720"/>
      <c r="V130" s="3798"/>
      <c r="W130" s="3799"/>
      <c r="X130" s="3800"/>
      <c r="Y130" s="3801"/>
      <c r="Z130" s="4027" t="s">
        <v>1109</v>
      </c>
      <c r="AA130" s="4028"/>
      <c r="AB130" s="4028"/>
      <c r="AC130" s="4029"/>
      <c r="AD130" s="4040"/>
      <c r="AE130" s="4041"/>
      <c r="AF130" s="4041"/>
      <c r="AG130" s="4041"/>
      <c r="AH130" s="1039"/>
      <c r="AI130" s="14"/>
      <c r="AJ130" s="14"/>
      <c r="AK130" s="14"/>
      <c r="AL130" s="551"/>
      <c r="AM130" s="68"/>
      <c r="AN130" s="456"/>
      <c r="AO130" s="1466">
        <v>444444</v>
      </c>
      <c r="AP130" s="1466">
        <f t="shared" si="12"/>
        <v>47727.199999999997</v>
      </c>
      <c r="AQ130" s="1466">
        <f t="shared" si="13"/>
        <v>0.39600000000000002</v>
      </c>
      <c r="AR130" s="1466">
        <f>ROUND(((AO130*SectD_b7/100)-SectD_d7),0)</f>
        <v>128273</v>
      </c>
      <c r="AS130" s="1556">
        <v>7</v>
      </c>
      <c r="AT130" s="1632"/>
      <c r="AU130" s="2890">
        <v>39.6</v>
      </c>
      <c r="AV130" s="1630">
        <v>47727.199999999997</v>
      </c>
      <c r="AW130" s="68"/>
      <c r="AX130" s="68"/>
      <c r="AY130" s="1566"/>
      <c r="AZ130" s="1726"/>
      <c r="BA130" s="183"/>
      <c r="BB130" s="46"/>
      <c r="BC130" s="46"/>
      <c r="BD130" s="46"/>
      <c r="BE130" s="46"/>
      <c r="BF130" s="46"/>
      <c r="BG130" s="46"/>
      <c r="BH130" s="46"/>
      <c r="BI130" s="46"/>
      <c r="BJ130" s="140"/>
    </row>
    <row r="131" spans="1:62" ht="15" customHeight="1">
      <c r="A131" s="942"/>
      <c r="B131" s="401"/>
      <c r="C131" s="797" t="s">
        <v>451</v>
      </c>
      <c r="D131" s="3822" t="s">
        <v>905</v>
      </c>
      <c r="E131" s="3823"/>
      <c r="F131" s="3823"/>
      <c r="G131" s="3824"/>
      <c r="H131" s="4012"/>
      <c r="I131" s="3903"/>
      <c r="J131" s="3903"/>
      <c r="K131" s="3903"/>
      <c r="L131" s="3903"/>
      <c r="M131" s="3903"/>
      <c r="N131" s="3903"/>
      <c r="O131" s="3903"/>
      <c r="P131" s="3903"/>
      <c r="Q131" s="3903"/>
      <c r="R131" s="3903"/>
      <c r="S131" s="3903"/>
      <c r="T131" s="3903"/>
      <c r="U131" s="3903"/>
      <c r="V131" s="4013"/>
      <c r="W131" s="1608"/>
      <c r="X131" s="63" t="s">
        <v>904</v>
      </c>
      <c r="Y131" s="1614"/>
      <c r="Z131" s="3985"/>
      <c r="AA131" s="3986"/>
      <c r="AB131" s="3987"/>
      <c r="AC131" s="3987"/>
      <c r="AD131" s="3987"/>
      <c r="AE131" s="3987"/>
      <c r="AF131" s="3987"/>
      <c r="AG131" s="3988"/>
      <c r="AH131" s="1039"/>
      <c r="AI131" s="14"/>
      <c r="AJ131" s="14"/>
      <c r="AK131" s="14"/>
      <c r="AL131" s="551"/>
      <c r="AM131" s="68"/>
      <c r="AN131" s="456"/>
      <c r="AO131" s="313"/>
      <c r="AP131" s="68"/>
      <c r="AQ131" s="68"/>
      <c r="AR131" s="68"/>
      <c r="AS131" s="68"/>
      <c r="AT131" s="456"/>
      <c r="AU131" s="456"/>
      <c r="AV131" s="456"/>
      <c r="AW131" s="68"/>
      <c r="AX131" s="68"/>
      <c r="AY131" s="2908" t="s">
        <v>353</v>
      </c>
      <c r="AZ131" s="183"/>
      <c r="BA131" s="183" t="s">
        <v>1727</v>
      </c>
      <c r="BB131" s="46"/>
      <c r="BC131" s="46"/>
      <c r="BD131" s="46"/>
      <c r="BE131" s="46"/>
      <c r="BF131" s="46"/>
      <c r="BG131" s="46"/>
      <c r="BH131" s="2916"/>
      <c r="BI131" s="2907"/>
      <c r="BJ131" s="140"/>
    </row>
    <row r="132" spans="1:62" ht="15" customHeight="1" thickBot="1">
      <c r="A132" s="942"/>
      <c r="B132" s="401"/>
      <c r="C132" s="491"/>
      <c r="D132" s="4022" t="s">
        <v>906</v>
      </c>
      <c r="E132" s="4023"/>
      <c r="F132" s="4023"/>
      <c r="G132" s="4024"/>
      <c r="H132" s="4016"/>
      <c r="I132" s="4017"/>
      <c r="J132" s="4017"/>
      <c r="K132" s="4017"/>
      <c r="L132" s="4017"/>
      <c r="M132" s="4017"/>
      <c r="N132" s="4017"/>
      <c r="O132" s="4017"/>
      <c r="P132" s="4017"/>
      <c r="Q132" s="4017"/>
      <c r="R132" s="4017"/>
      <c r="S132" s="4017"/>
      <c r="T132" s="4017"/>
      <c r="U132" s="4017"/>
      <c r="V132" s="4018"/>
      <c r="W132" s="1610"/>
      <c r="X132" s="44" t="s">
        <v>250</v>
      </c>
      <c r="Y132" s="4005"/>
      <c r="Z132" s="4006"/>
      <c r="AA132" s="4006"/>
      <c r="AB132" s="4006"/>
      <c r="AC132" s="4006"/>
      <c r="AD132" s="4006"/>
      <c r="AE132" s="4006"/>
      <c r="AF132" s="4007"/>
      <c r="AG132" s="4007"/>
      <c r="AH132" s="1039"/>
      <c r="AI132" s="14"/>
      <c r="AJ132" s="14"/>
      <c r="AK132" s="14"/>
      <c r="AL132" s="551"/>
      <c r="AM132" s="68"/>
      <c r="AN132" s="456"/>
      <c r="AO132" s="313"/>
      <c r="AP132" s="68"/>
      <c r="AQ132" s="68"/>
      <c r="AR132" s="68"/>
      <c r="AS132" s="68"/>
      <c r="AT132" s="68"/>
      <c r="AU132" s="68"/>
      <c r="AV132" s="68"/>
      <c r="AW132" s="68"/>
      <c r="AX132" s="68"/>
      <c r="AY132" s="2908"/>
      <c r="AZ132" s="183"/>
      <c r="BA132" s="183" t="s">
        <v>1726</v>
      </c>
      <c r="BB132" s="46"/>
      <c r="BC132" s="46"/>
      <c r="BD132" s="46"/>
      <c r="BE132" s="46"/>
      <c r="BF132" s="46"/>
      <c r="BG132" s="46"/>
      <c r="BH132" s="2916" t="s">
        <v>353</v>
      </c>
      <c r="BI132" s="1243" t="str">
        <f>IF(BG120,"",IF(AZ107="X",SUM(BI109,-BI129),""))</f>
        <v/>
      </c>
      <c r="BJ132" s="140"/>
    </row>
    <row r="133" spans="1:62" ht="18" customHeight="1" thickBot="1">
      <c r="A133" s="942"/>
      <c r="B133" s="401"/>
      <c r="C133" s="3245" t="s">
        <v>2234</v>
      </c>
      <c r="D133" s="2864"/>
      <c r="E133" s="2863"/>
      <c r="F133" s="2865"/>
      <c r="G133" s="2865"/>
      <c r="H133" s="2865"/>
      <c r="I133" s="2865"/>
      <c r="J133" s="2865"/>
      <c r="K133" s="2865"/>
      <c r="L133" s="2865"/>
      <c r="M133" s="2865"/>
      <c r="N133" s="2865"/>
      <c r="O133" s="2865"/>
      <c r="P133" s="2865"/>
      <c r="Q133" s="2865"/>
      <c r="R133" s="2865"/>
      <c r="S133" s="2865"/>
      <c r="T133" s="2863"/>
      <c r="U133" s="2863"/>
      <c r="V133" s="2863"/>
      <c r="W133" s="2863"/>
      <c r="X133" s="2863"/>
      <c r="Y133" s="2863"/>
      <c r="Z133" s="2863"/>
      <c r="AA133" s="2864"/>
      <c r="AB133" s="2866"/>
      <c r="AC133" s="2866"/>
      <c r="AD133" s="2866"/>
      <c r="AE133" s="2867" t="s">
        <v>245</v>
      </c>
      <c r="AF133" s="2866"/>
      <c r="AG133" s="2867" t="str">
        <f>"("&amp;TaxYear&amp;")"</f>
        <v>(2014)</v>
      </c>
      <c r="AH133" s="1039"/>
      <c r="AI133" s="14"/>
      <c r="AJ133" s="14"/>
      <c r="AK133" s="14"/>
      <c r="AL133" s="551"/>
      <c r="AM133" s="68"/>
      <c r="AN133" s="456"/>
      <c r="AO133" s="1620"/>
      <c r="AP133" s="353"/>
      <c r="AQ133" s="353"/>
      <c r="AR133" s="353"/>
      <c r="AS133" s="68"/>
      <c r="AT133" s="68"/>
      <c r="AU133" s="68"/>
      <c r="AV133" s="68"/>
      <c r="AW133" s="68"/>
      <c r="AX133" s="68"/>
      <c r="AY133" s="1731"/>
      <c r="AZ133" s="55"/>
      <c r="BA133" s="55"/>
      <c r="BB133" s="55"/>
      <c r="BC133" s="55"/>
      <c r="BD133" s="55"/>
      <c r="BE133" s="55"/>
      <c r="BF133" s="55"/>
      <c r="BG133" s="55"/>
      <c r="BH133" s="55"/>
      <c r="BI133" s="2921">
        <f>IF(AZ104="X",Tot_Exemptions*AK79,IF(BG120,0,BI132))</f>
        <v>0</v>
      </c>
      <c r="BJ133" s="141"/>
    </row>
    <row r="134" spans="1:62" ht="13.5" customHeight="1">
      <c r="A134" s="942"/>
      <c r="B134" s="942"/>
      <c r="C134" s="1023"/>
      <c r="D134" s="1023"/>
      <c r="E134" s="1023"/>
      <c r="F134" s="1023"/>
      <c r="G134" s="1023"/>
      <c r="H134" s="1023"/>
      <c r="I134" s="1023"/>
      <c r="J134" s="1023"/>
      <c r="K134" s="1023"/>
      <c r="L134" s="1023"/>
      <c r="M134" s="1023"/>
      <c r="N134" s="1023"/>
      <c r="O134" s="1023"/>
      <c r="P134" s="1023"/>
      <c r="Q134" s="1023"/>
      <c r="R134" s="1023"/>
      <c r="S134" s="1023"/>
      <c r="T134" s="1023"/>
      <c r="U134" s="1023"/>
      <c r="V134" s="1023"/>
      <c r="W134" s="1023"/>
      <c r="X134" s="1023"/>
      <c r="Y134" s="1023"/>
      <c r="Z134" s="1023"/>
      <c r="AA134" s="1023"/>
      <c r="AB134" s="1023"/>
      <c r="AC134" s="1023"/>
      <c r="AD134" s="1023"/>
      <c r="AE134" s="1023"/>
      <c r="AF134" s="1023"/>
      <c r="AG134" s="1023"/>
      <c r="AH134" s="1039"/>
      <c r="AI134" s="14"/>
      <c r="AJ134" s="14"/>
      <c r="AK134" s="14"/>
      <c r="AL134" s="313"/>
      <c r="AM134" s="313"/>
      <c r="AN134" s="456"/>
      <c r="AO134" s="1620"/>
      <c r="AP134" s="353"/>
      <c r="AQ134" s="353"/>
      <c r="AR134" s="353"/>
      <c r="AS134" s="68"/>
      <c r="AT134" s="68"/>
      <c r="AU134" s="68"/>
      <c r="AV134" s="68"/>
      <c r="AW134" s="68"/>
      <c r="AX134" s="68"/>
    </row>
    <row r="135" spans="1:62" ht="13.5" customHeight="1" thickBot="1">
      <c r="A135" s="942"/>
      <c r="B135" s="401"/>
      <c r="C135" s="377"/>
      <c r="D135" s="377"/>
      <c r="E135" s="377"/>
      <c r="F135" s="377"/>
      <c r="G135" s="377"/>
      <c r="H135" s="377"/>
      <c r="I135" s="377"/>
      <c r="J135" s="377"/>
      <c r="K135" s="377"/>
      <c r="L135" s="377"/>
      <c r="M135" s="377"/>
      <c r="N135" s="377"/>
      <c r="O135" s="377"/>
      <c r="P135" s="377"/>
      <c r="Q135" s="377"/>
      <c r="R135" s="377"/>
      <c r="S135" s="377"/>
      <c r="T135" s="377"/>
      <c r="U135" s="377"/>
      <c r="V135" s="377"/>
      <c r="W135" s="377"/>
      <c r="X135" s="377"/>
      <c r="Y135" s="377"/>
      <c r="Z135" s="377"/>
      <c r="AA135" s="377"/>
      <c r="AB135" s="377"/>
      <c r="AC135" s="377"/>
      <c r="AD135" s="377"/>
      <c r="AE135" s="377"/>
      <c r="AF135" s="377"/>
      <c r="AG135" s="377"/>
      <c r="AH135" s="377"/>
      <c r="AI135" s="377"/>
      <c r="AJ135" s="377"/>
      <c r="AK135" s="377"/>
      <c r="AL135" s="313"/>
      <c r="AM135" s="68"/>
      <c r="AN135" s="456"/>
      <c r="AO135" s="1620"/>
      <c r="AP135" s="353"/>
      <c r="AQ135" s="353"/>
      <c r="AR135" s="353"/>
      <c r="AS135" s="68"/>
      <c r="AT135" s="68"/>
      <c r="AU135" s="68"/>
      <c r="AV135" s="68"/>
      <c r="AW135" s="68"/>
      <c r="AX135" s="68"/>
    </row>
    <row r="136" spans="1:62" ht="14.25" customHeight="1" thickTop="1" thickBot="1">
      <c r="A136" s="942"/>
      <c r="C136" s="3"/>
      <c r="D136" s="3787" t="s">
        <v>275</v>
      </c>
      <c r="E136" s="3788"/>
      <c r="F136" s="3788"/>
      <c r="G136" s="3788"/>
      <c r="H136" s="3788"/>
      <c r="I136" s="3788"/>
      <c r="J136" s="3788"/>
      <c r="K136" s="3788"/>
      <c r="L136" s="3788"/>
      <c r="M136" s="3788"/>
      <c r="N136" s="3788"/>
      <c r="O136" s="3788"/>
      <c r="P136" s="3788"/>
      <c r="Q136" s="3788"/>
      <c r="R136" s="3788"/>
      <c r="S136" s="3789"/>
      <c r="T136" s="3"/>
      <c r="U136" s="3"/>
      <c r="V136" s="3"/>
      <c r="W136" s="3"/>
      <c r="X136" s="3"/>
      <c r="Y136" s="3"/>
      <c r="Z136" s="3"/>
      <c r="AA136" s="3"/>
      <c r="AB136" s="3"/>
      <c r="AC136" s="3"/>
      <c r="AD136" s="3"/>
      <c r="AE136" s="3"/>
      <c r="AF136" s="3"/>
      <c r="AG136" s="3"/>
      <c r="AH136" s="13"/>
      <c r="AI136" s="13"/>
      <c r="AJ136" s="13"/>
      <c r="AK136" s="13"/>
      <c r="AL136" s="313"/>
      <c r="AM136" s="68"/>
      <c r="AN136" s="443"/>
      <c r="AO136" s="353"/>
      <c r="AP136" s="353"/>
      <c r="AQ136" s="353"/>
      <c r="AR136" s="353"/>
      <c r="AS136" s="68"/>
      <c r="AT136" s="68"/>
      <c r="AU136" s="68"/>
      <c r="AV136" s="68"/>
      <c r="AW136" s="313"/>
      <c r="AX136" s="68"/>
    </row>
    <row r="137" spans="1:62" ht="14.25" customHeight="1" thickTop="1" thickBot="1">
      <c r="A137" s="401"/>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13"/>
      <c r="AI137" s="13"/>
      <c r="AJ137" s="13"/>
      <c r="AK137" s="13"/>
      <c r="AL137" s="313"/>
      <c r="AM137" s="68"/>
      <c r="AN137" s="443"/>
      <c r="AO137" s="1620"/>
      <c r="AP137" s="353"/>
      <c r="AQ137" s="353"/>
      <c r="AR137" s="353"/>
      <c r="AS137" s="68"/>
      <c r="AT137" s="68"/>
      <c r="AU137" s="68"/>
      <c r="AV137" s="68"/>
      <c r="AW137" s="68"/>
      <c r="AX137" s="68"/>
    </row>
    <row r="138" spans="1:62" ht="13.5" customHeight="1" thickTop="1" thickBot="1">
      <c r="C138" s="3"/>
      <c r="D138" s="1395" t="s">
        <v>87</v>
      </c>
      <c r="E138" s="1396"/>
      <c r="F138" s="1396"/>
      <c r="G138" s="1396"/>
      <c r="H138" s="1396"/>
      <c r="I138" s="1396"/>
      <c r="J138" s="1396"/>
      <c r="K138" s="1396"/>
      <c r="L138" s="1396"/>
      <c r="M138" s="1396"/>
      <c r="N138" s="1396"/>
      <c r="O138" s="1396"/>
      <c r="P138" s="1396"/>
      <c r="Q138" s="1396"/>
      <c r="R138" s="1396"/>
      <c r="S138" s="1397"/>
      <c r="T138" s="3"/>
      <c r="U138" s="3"/>
      <c r="V138" s="3"/>
      <c r="W138" s="3"/>
      <c r="X138" s="3"/>
      <c r="Y138" s="3"/>
      <c r="Z138" s="3"/>
      <c r="AA138" s="3"/>
      <c r="AB138" s="3"/>
      <c r="AC138" s="3"/>
      <c r="AD138" s="3"/>
      <c r="AE138" s="3"/>
      <c r="AF138" s="3"/>
      <c r="AG138" s="3"/>
      <c r="AH138" s="13"/>
      <c r="AI138" s="13"/>
      <c r="AJ138" s="13"/>
      <c r="AK138" s="13"/>
      <c r="AL138" s="313"/>
      <c r="AM138" s="68"/>
      <c r="AN138" s="443"/>
      <c r="AO138" s="1620"/>
      <c r="AP138" s="353"/>
      <c r="AQ138" s="353"/>
      <c r="AR138" s="353"/>
      <c r="AS138" s="68"/>
      <c r="AT138" s="68"/>
      <c r="AU138" s="68"/>
      <c r="AV138" s="68"/>
      <c r="AW138" s="68"/>
      <c r="AX138" s="68"/>
    </row>
    <row r="139" spans="1:62" ht="12" customHeight="1" thickTop="1">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13"/>
      <c r="AI139" s="13"/>
      <c r="AJ139" s="13"/>
      <c r="AK139" s="13"/>
      <c r="AL139" s="313"/>
      <c r="AM139" s="68"/>
      <c r="AN139" s="443"/>
      <c r="AO139" s="1620"/>
      <c r="AP139" s="353"/>
      <c r="AQ139" s="353"/>
      <c r="AR139" s="353"/>
      <c r="AS139" s="68"/>
      <c r="AT139" s="68"/>
      <c r="AU139" s="68"/>
      <c r="AV139" s="68"/>
      <c r="AW139" s="68"/>
      <c r="AX139" s="313"/>
    </row>
    <row r="140" spans="1:62">
      <c r="X140" s="3"/>
      <c r="Y140" s="3"/>
      <c r="Z140" s="3"/>
      <c r="AA140" s="3"/>
      <c r="AB140" s="3"/>
      <c r="AC140" s="3"/>
      <c r="AD140" s="3"/>
      <c r="AE140" s="3"/>
      <c r="AF140" s="3"/>
      <c r="AG140" s="3"/>
      <c r="AH140" s="13"/>
      <c r="AI140" s="13"/>
      <c r="AJ140" s="13"/>
      <c r="AK140" s="13"/>
      <c r="AL140" s="313"/>
      <c r="AM140" s="68"/>
      <c r="AN140" s="443"/>
      <c r="AO140" s="1620"/>
      <c r="AP140" s="353"/>
      <c r="AQ140" s="353"/>
      <c r="AR140" s="353"/>
      <c r="AS140" s="68"/>
      <c r="AT140" s="68"/>
      <c r="AU140" s="68"/>
      <c r="AV140" s="68"/>
      <c r="AW140" s="68"/>
      <c r="AX140" s="68"/>
    </row>
    <row r="141" spans="1:62">
      <c r="AH141" s="13"/>
      <c r="AI141" s="13"/>
      <c r="AJ141" s="13"/>
      <c r="AK141" s="13"/>
      <c r="AM141" s="68"/>
      <c r="AN141" s="443"/>
      <c r="AO141" s="1620"/>
      <c r="AP141" s="353"/>
      <c r="AQ141" s="1620"/>
      <c r="AR141" s="1620"/>
      <c r="AS141" s="68"/>
      <c r="AT141" s="68"/>
      <c r="AU141" s="68"/>
      <c r="AV141" s="68"/>
      <c r="AW141" s="68"/>
      <c r="AX141" s="68"/>
    </row>
    <row r="142" spans="1:62" ht="14.25" customHeight="1">
      <c r="AH142" s="13"/>
      <c r="AI142" s="13"/>
      <c r="AJ142" s="13"/>
      <c r="AK142" s="13"/>
      <c r="AM142" s="68"/>
      <c r="AN142" s="443"/>
      <c r="AO142" s="1620"/>
      <c r="AP142" s="353"/>
      <c r="AQ142" s="353"/>
      <c r="AR142" s="353"/>
      <c r="AS142" s="68"/>
      <c r="AT142" s="68"/>
      <c r="AU142" s="68"/>
      <c r="AV142" s="68"/>
      <c r="AW142" s="68"/>
      <c r="AX142" s="68"/>
    </row>
    <row r="143" spans="1:62">
      <c r="AO143" s="1620"/>
      <c r="AP143" s="353"/>
      <c r="AQ143" s="353"/>
      <c r="AR143" s="353"/>
      <c r="AS143" s="68"/>
      <c r="AT143" s="68"/>
      <c r="AU143" s="68"/>
      <c r="AV143" s="68"/>
      <c r="AW143" s="68"/>
      <c r="AX143" s="68"/>
    </row>
    <row r="144" spans="1:62">
      <c r="AO144" s="1620"/>
      <c r="AP144" s="353"/>
      <c r="AQ144" s="353"/>
      <c r="AR144" s="353"/>
      <c r="AS144" s="68"/>
      <c r="AT144" s="68"/>
      <c r="AU144" s="68"/>
      <c r="AV144" s="68"/>
      <c r="AW144" s="68"/>
      <c r="AX144" s="68"/>
    </row>
    <row r="145" spans="41:50" ht="14.25" customHeight="1">
      <c r="AO145" s="1623"/>
      <c r="AP145" s="353"/>
      <c r="AQ145" s="353"/>
      <c r="AR145" s="353"/>
      <c r="AS145" s="313"/>
      <c r="AT145" s="68"/>
      <c r="AU145" s="68"/>
      <c r="AV145" s="68"/>
      <c r="AW145" s="68"/>
      <c r="AX145" s="68"/>
    </row>
    <row r="146" spans="41:50">
      <c r="AO146" s="1623"/>
      <c r="AP146" s="353"/>
      <c r="AQ146" s="353"/>
      <c r="AR146" s="353"/>
      <c r="AS146" s="68"/>
      <c r="AT146" s="68"/>
      <c r="AU146" s="68"/>
      <c r="AV146" s="313"/>
      <c r="AX146" s="68"/>
    </row>
    <row r="147" spans="41:50">
      <c r="AO147" s="1623"/>
      <c r="AP147" s="353"/>
      <c r="AQ147" s="353"/>
      <c r="AR147" s="353"/>
      <c r="AS147" s="68"/>
      <c r="AT147" s="313"/>
      <c r="AU147" s="313"/>
      <c r="AV147" s="68"/>
      <c r="AX147" s="68"/>
    </row>
    <row r="148" spans="41:50">
      <c r="AO148" s="1623"/>
      <c r="AP148" s="353"/>
      <c r="AQ148" s="353"/>
      <c r="AR148" s="353"/>
      <c r="AS148" s="68"/>
      <c r="AT148" s="68"/>
      <c r="AU148" s="68"/>
      <c r="AV148" s="68"/>
      <c r="AX148" s="68"/>
    </row>
    <row r="149" spans="41:50">
      <c r="AO149" s="1623"/>
      <c r="AP149" s="353"/>
      <c r="AQ149" s="353"/>
      <c r="AR149" s="353"/>
      <c r="AS149" s="68"/>
      <c r="AT149" s="68"/>
      <c r="AU149" s="68"/>
      <c r="AV149" s="68"/>
    </row>
    <row r="150" spans="41:50">
      <c r="AO150" s="1623"/>
      <c r="AP150" s="353"/>
      <c r="AQ150" s="353"/>
      <c r="AR150" s="353"/>
      <c r="AS150" s="68"/>
      <c r="AT150" s="68"/>
      <c r="AU150" s="68"/>
      <c r="AV150" s="68"/>
    </row>
    <row r="151" spans="41:50">
      <c r="AO151" s="1623"/>
      <c r="AP151" s="1623"/>
      <c r="AQ151" s="1623"/>
      <c r="AR151" s="1623"/>
      <c r="AS151" s="68"/>
      <c r="AT151" s="68"/>
      <c r="AU151" s="68"/>
      <c r="AV151" s="68"/>
    </row>
    <row r="152" spans="41:50">
      <c r="AO152" s="1623"/>
      <c r="AP152" s="1623"/>
      <c r="AQ152" s="1623"/>
      <c r="AR152" s="1623"/>
      <c r="AS152" s="68"/>
      <c r="AT152" s="68"/>
      <c r="AU152" s="68"/>
      <c r="AV152" s="68"/>
    </row>
    <row r="153" spans="41:50">
      <c r="AO153" s="1623"/>
      <c r="AP153" s="1623"/>
      <c r="AQ153" s="1623"/>
      <c r="AR153" s="1623"/>
      <c r="AS153" s="68"/>
      <c r="AT153" s="68"/>
      <c r="AU153" s="68"/>
      <c r="AV153" s="68"/>
    </row>
    <row r="154" spans="41:50">
      <c r="AO154" s="1623"/>
      <c r="AP154" s="1623"/>
      <c r="AQ154" s="1623"/>
      <c r="AR154" s="1623"/>
      <c r="AS154" s="68"/>
      <c r="AT154" s="68"/>
      <c r="AU154" s="68"/>
      <c r="AV154" s="68"/>
    </row>
    <row r="155" spans="41:50">
      <c r="AO155" s="1623"/>
      <c r="AP155" s="1623"/>
      <c r="AQ155" s="1623"/>
      <c r="AR155" s="1623"/>
      <c r="AT155" s="68"/>
      <c r="AU155" s="68"/>
      <c r="AV155" s="68"/>
    </row>
    <row r="156" spans="41:50">
      <c r="AO156" s="1623"/>
      <c r="AP156" s="1623"/>
      <c r="AQ156" s="1623"/>
      <c r="AR156" s="1623"/>
      <c r="AT156" s="68"/>
      <c r="AU156" s="68"/>
    </row>
    <row r="157" spans="41:50">
      <c r="AO157" s="1623"/>
      <c r="AP157" s="1623"/>
      <c r="AQ157" s="1623"/>
      <c r="AR157" s="1623"/>
    </row>
    <row r="158" spans="41:50">
      <c r="AO158" s="1623"/>
      <c r="AP158" s="1623"/>
      <c r="AQ158" s="1623"/>
      <c r="AR158" s="1623"/>
    </row>
  </sheetData>
  <sheetProtection password="F07E" sheet="1" objects="1" scenarios="1"/>
  <mergeCells count="234">
    <mergeCell ref="AI100:AK100"/>
    <mergeCell ref="AJ99:AK99"/>
    <mergeCell ref="V97:Y99"/>
    <mergeCell ref="AD130:AG130"/>
    <mergeCell ref="Z129:AA129"/>
    <mergeCell ref="S128:Y128"/>
    <mergeCell ref="V118:Y118"/>
    <mergeCell ref="S127:Y127"/>
    <mergeCell ref="AI48:AK48"/>
    <mergeCell ref="AI82:AK82"/>
    <mergeCell ref="V66:Y66"/>
    <mergeCell ref="V62:Y62"/>
    <mergeCell ref="AJ96:AK96"/>
    <mergeCell ref="AI97:AK97"/>
    <mergeCell ref="AI101:AK101"/>
    <mergeCell ref="AI103:AK103"/>
    <mergeCell ref="AI102:AK102"/>
    <mergeCell ref="AI98:AK98"/>
    <mergeCell ref="P59:S59"/>
    <mergeCell ref="C77:C83"/>
    <mergeCell ref="AB99:AF99"/>
    <mergeCell ref="Y132:AG132"/>
    <mergeCell ref="V103:Y103"/>
    <mergeCell ref="O91:P91"/>
    <mergeCell ref="I116:P116"/>
    <mergeCell ref="I117:R117"/>
    <mergeCell ref="AB84:AF84"/>
    <mergeCell ref="AB81:AF81"/>
    <mergeCell ref="AB83:AF83"/>
    <mergeCell ref="H131:V131"/>
    <mergeCell ref="AB101:AF101"/>
    <mergeCell ref="AB119:AF119"/>
    <mergeCell ref="Z126:AG126"/>
    <mergeCell ref="H132:V132"/>
    <mergeCell ref="C85:C86"/>
    <mergeCell ref="C88:C89"/>
    <mergeCell ref="D132:G132"/>
    <mergeCell ref="D129:J129"/>
    <mergeCell ref="Z130:AC130"/>
    <mergeCell ref="V130:Y130"/>
    <mergeCell ref="AB116:AF116"/>
    <mergeCell ref="AB117:AF117"/>
    <mergeCell ref="D122:F122"/>
    <mergeCell ref="S5:X5"/>
    <mergeCell ref="K5:Q5"/>
    <mergeCell ref="Z131:AG131"/>
    <mergeCell ref="C91:C92"/>
    <mergeCell ref="AB96:AF96"/>
    <mergeCell ref="AB98:AF98"/>
    <mergeCell ref="AB92:AF92"/>
    <mergeCell ref="AB109:AF109"/>
    <mergeCell ref="AB106:AF106"/>
    <mergeCell ref="AB107:AF107"/>
    <mergeCell ref="AB104:AF104"/>
    <mergeCell ref="AB105:AF105"/>
    <mergeCell ref="V104:Y104"/>
    <mergeCell ref="V85:Y85"/>
    <mergeCell ref="V42:Y42"/>
    <mergeCell ref="V90:Y90"/>
    <mergeCell ref="AB52:AF52"/>
    <mergeCell ref="AB94:AF94"/>
    <mergeCell ref="AB115:AF115"/>
    <mergeCell ref="AB113:AF113"/>
    <mergeCell ref="AB114:AF114"/>
    <mergeCell ref="R112:S112"/>
    <mergeCell ref="N122:O122"/>
    <mergeCell ref="V111:Y111"/>
    <mergeCell ref="AM77:AN77"/>
    <mergeCell ref="AM78:AN78"/>
    <mergeCell ref="AM79:AN79"/>
    <mergeCell ref="AI39:AK39"/>
    <mergeCell ref="AI38:AK38"/>
    <mergeCell ref="AI35:AK35"/>
    <mergeCell ref="AJ23:AL24"/>
    <mergeCell ref="AB79:AF79"/>
    <mergeCell ref="AB69:AF69"/>
    <mergeCell ref="AI49:AK49"/>
    <mergeCell ref="AB50:AF50"/>
    <mergeCell ref="AB53:AF53"/>
    <mergeCell ref="AB67:AF67"/>
    <mergeCell ref="AB55:AF55"/>
    <mergeCell ref="AB54:AF54"/>
    <mergeCell ref="AB66:AF66"/>
    <mergeCell ref="AB65:AF65"/>
    <mergeCell ref="AB58:AF58"/>
    <mergeCell ref="AB64:AF64"/>
    <mergeCell ref="AB51:AF51"/>
    <mergeCell ref="AB41:AF41"/>
    <mergeCell ref="AB34:AE35"/>
    <mergeCell ref="AB44:AF44"/>
    <mergeCell ref="AI47:AK47"/>
    <mergeCell ref="AB47:AF47"/>
    <mergeCell ref="AB48:AF48"/>
    <mergeCell ref="AB49:AF49"/>
    <mergeCell ref="AB82:AF82"/>
    <mergeCell ref="V120:Y120"/>
    <mergeCell ref="S117:Z117"/>
    <mergeCell ref="Z128:AB128"/>
    <mergeCell ref="AB118:AF118"/>
    <mergeCell ref="AC128:AG128"/>
    <mergeCell ref="V102:Y102"/>
    <mergeCell ref="V91:Y91"/>
    <mergeCell ref="AB59:AF59"/>
    <mergeCell ref="V108:Y108"/>
    <mergeCell ref="V109:Y109"/>
    <mergeCell ref="U100:Y100"/>
    <mergeCell ref="AB122:AG122"/>
    <mergeCell ref="AB110:AF110"/>
    <mergeCell ref="AB97:AF97"/>
    <mergeCell ref="S125:Y125"/>
    <mergeCell ref="O105:S105"/>
    <mergeCell ref="R91:S91"/>
    <mergeCell ref="O126:R126"/>
    <mergeCell ref="AB100:AF100"/>
    <mergeCell ref="G122:M122"/>
    <mergeCell ref="P122:T122"/>
    <mergeCell ref="AB80:AF80"/>
    <mergeCell ref="O34:R34"/>
    <mergeCell ref="O35:R35"/>
    <mergeCell ref="V89:Y89"/>
    <mergeCell ref="X81:Z81"/>
    <mergeCell ref="V11:X11"/>
    <mergeCell ref="V112:Y112"/>
    <mergeCell ref="V57:Y57"/>
    <mergeCell ref="F57:S57"/>
    <mergeCell ref="S69:T69"/>
    <mergeCell ref="V105:Y105"/>
    <mergeCell ref="V110:Y110"/>
    <mergeCell ref="V107:Y107"/>
    <mergeCell ref="V60:Y60"/>
    <mergeCell ref="V65:Y65"/>
    <mergeCell ref="V64:Y64"/>
    <mergeCell ref="K49:M49"/>
    <mergeCell ref="S35:V35"/>
    <mergeCell ref="T38:X38"/>
    <mergeCell ref="O54:Y54"/>
    <mergeCell ref="V40:Y40"/>
    <mergeCell ref="V106:Y106"/>
    <mergeCell ref="Y9:AG9"/>
    <mergeCell ref="Y5:AG5"/>
    <mergeCell ref="Y8:AG8"/>
    <mergeCell ref="Q3:T4"/>
    <mergeCell ref="B3:B4"/>
    <mergeCell ref="C3:D4"/>
    <mergeCell ref="B18:C19"/>
    <mergeCell ref="V86:Y86"/>
    <mergeCell ref="B73:C73"/>
    <mergeCell ref="B74:C74"/>
    <mergeCell ref="V63:Y63"/>
    <mergeCell ref="O64:S64"/>
    <mergeCell ref="L66:S66"/>
    <mergeCell ref="V67:Y67"/>
    <mergeCell ref="E35:N35"/>
    <mergeCell ref="Y38:Z38"/>
    <mergeCell ref="V68:Y68"/>
    <mergeCell ref="V61:Y61"/>
    <mergeCell ref="O49:R49"/>
    <mergeCell ref="O48:R48"/>
    <mergeCell ref="V58:Y58"/>
    <mergeCell ref="V59:Y59"/>
    <mergeCell ref="T55:Y55"/>
    <mergeCell ref="AG34:AG35"/>
    <mergeCell ref="F2:O2"/>
    <mergeCell ref="E32:N32"/>
    <mergeCell ref="E33:N33"/>
    <mergeCell ref="Y6:AG6"/>
    <mergeCell ref="S32:V32"/>
    <mergeCell ref="J23:S23"/>
    <mergeCell ref="AA10:AG11"/>
    <mergeCell ref="AB25:AF26"/>
    <mergeCell ref="Y12:AG12"/>
    <mergeCell ref="AA22:AG22"/>
    <mergeCell ref="S33:V33"/>
    <mergeCell ref="O29:R29"/>
    <mergeCell ref="O33:R33"/>
    <mergeCell ref="W30:AA30"/>
    <mergeCell ref="W29:AA29"/>
    <mergeCell ref="B7:I7"/>
    <mergeCell ref="B9:I9"/>
    <mergeCell ref="J7:X7"/>
    <mergeCell ref="J9:X9"/>
    <mergeCell ref="B11:U11"/>
    <mergeCell ref="B13:X13"/>
    <mergeCell ref="Y4:AG4"/>
    <mergeCell ref="B31:C31"/>
    <mergeCell ref="Y7:AG7"/>
    <mergeCell ref="AB45:AF45"/>
    <mergeCell ref="D136:S136"/>
    <mergeCell ref="AB93:AF93"/>
    <mergeCell ref="AB95:AF95"/>
    <mergeCell ref="AB74:AF74"/>
    <mergeCell ref="AB68:AF68"/>
    <mergeCell ref="O128:R128"/>
    <mergeCell ref="S126:Y126"/>
    <mergeCell ref="D126:N126"/>
    <mergeCell ref="AB78:AF78"/>
    <mergeCell ref="AB77:AF77"/>
    <mergeCell ref="V87:Y87"/>
    <mergeCell ref="AB76:AF76"/>
    <mergeCell ref="AB70:AF70"/>
    <mergeCell ref="AB75:AF75"/>
    <mergeCell ref="AB73:AF73"/>
    <mergeCell ref="V88:Y88"/>
    <mergeCell ref="Y74:Z75"/>
    <mergeCell ref="V69:Z69"/>
    <mergeCell ref="D131:G131"/>
    <mergeCell ref="K130:R130"/>
    <mergeCell ref="D130:J130"/>
    <mergeCell ref="K129:R129"/>
    <mergeCell ref="D128:N128"/>
    <mergeCell ref="AN81:AN82"/>
    <mergeCell ref="E34:N34"/>
    <mergeCell ref="O53:R53"/>
    <mergeCell ref="K48:M48"/>
    <mergeCell ref="V56:Y56"/>
    <mergeCell ref="Y13:AG14"/>
    <mergeCell ref="B33:C33"/>
    <mergeCell ref="B34:C34"/>
    <mergeCell ref="S34:V34"/>
    <mergeCell ref="O30:R30"/>
    <mergeCell ref="O31:R31"/>
    <mergeCell ref="O32:R32"/>
    <mergeCell ref="B15:M16"/>
    <mergeCell ref="N15:S16"/>
    <mergeCell ref="T15:X16"/>
    <mergeCell ref="B32:C32"/>
    <mergeCell ref="AG28:AG29"/>
    <mergeCell ref="AB37:AE37"/>
    <mergeCell ref="AB38:AF38"/>
    <mergeCell ref="AB46:AF46"/>
    <mergeCell ref="AB43:AF43"/>
    <mergeCell ref="AB39:AF39"/>
    <mergeCell ref="AB31:AE33"/>
    <mergeCell ref="AB27:AE28"/>
  </mergeCells>
  <phoneticPr fontId="12" type="noConversion"/>
  <conditionalFormatting sqref="AK28">
    <cfRule type="expression" dxfId="1075" priority="158" stopIfTrue="1">
      <formula>IF($E$20&lt;&gt;"",1,0)</formula>
    </cfRule>
  </conditionalFormatting>
  <conditionalFormatting sqref="AA64:AA65">
    <cfRule type="expression" dxfId="1074" priority="159" stopIfTrue="1">
      <formula>IF(ISERROR(Dotted_Line+1),1,0)</formula>
    </cfRule>
  </conditionalFormatting>
  <conditionalFormatting sqref="F123">
    <cfRule type="expression" dxfId="1073" priority="160" stopIfTrue="1">
      <formula>IF(AND($AB$119&gt;1000,$AB$119&gt;0.1*$AB$103,$U$120="",$AB$119&lt;&gt;""),1,0)</formula>
    </cfRule>
  </conditionalFormatting>
  <conditionalFormatting sqref="AI119">
    <cfRule type="expression" dxfId="1072" priority="163" stopIfTrue="1">
      <formula>IF(AND(You_Owe&lt;&gt;"",You_Owe&gt;1000,You_Owe&gt;0.1*Tot_Tax,TaxPenalty=""),1,0)</formula>
    </cfRule>
  </conditionalFormatting>
  <conditionalFormatting sqref="AI110 AI113:AI114">
    <cfRule type="expression" dxfId="1071" priority="164" stopIfTrue="1">
      <formula>IF($AB$104&lt;&gt;"",1,0)</formula>
    </cfRule>
  </conditionalFormatting>
  <conditionalFormatting sqref="AB116:AF118">
    <cfRule type="expression" dxfId="1070" priority="165" stopIfTrue="1">
      <formula>IF($AI$119&lt;&gt;"",1,0)</formula>
    </cfRule>
  </conditionalFormatting>
  <conditionalFormatting sqref="AI96">
    <cfRule type="expression" dxfId="1069" priority="167" stopIfTrue="1">
      <formula>IF($AH$96,1,0)</formula>
    </cfRule>
  </conditionalFormatting>
  <conditionalFormatting sqref="E3:AG4">
    <cfRule type="expression" dxfId="1068" priority="154">
      <formula>IF($AJ$3&lt;&gt;"",1,0)</formula>
    </cfRule>
  </conditionalFormatting>
  <conditionalFormatting sqref="K5:Q5">
    <cfRule type="expression" dxfId="1067" priority="153">
      <formula>IF($AJ$3&lt;&gt;"",1,0)</formula>
    </cfRule>
  </conditionalFormatting>
  <conditionalFormatting sqref="S5:X5">
    <cfRule type="expression" dxfId="1066" priority="151">
      <formula>IF($AJ$3&lt;&gt;"",1,0)</formula>
    </cfRule>
  </conditionalFormatting>
  <conditionalFormatting sqref="B7:AG7">
    <cfRule type="expression" dxfId="1065" priority="150">
      <formula>IF($AJ$3&lt;&gt;"",1,0)</formula>
    </cfRule>
  </conditionalFormatting>
  <conditionalFormatting sqref="B9:AG9">
    <cfRule type="expression" dxfId="1064" priority="149">
      <formula>IF($AJ$3&lt;&gt;"",1,0)</formula>
    </cfRule>
  </conditionalFormatting>
  <conditionalFormatting sqref="B11:X11">
    <cfRule type="expression" dxfId="1063" priority="148">
      <formula>IF($AJ$3&lt;&gt;"",1,0)</formula>
    </cfRule>
  </conditionalFormatting>
  <conditionalFormatting sqref="B13:X13">
    <cfRule type="expression" dxfId="1062" priority="147">
      <formula>IF($AJ$3&lt;&gt;"",1,0)</formula>
    </cfRule>
  </conditionalFormatting>
  <conditionalFormatting sqref="B15:X16">
    <cfRule type="expression" dxfId="1061" priority="146">
      <formula>IF($AJ$3&lt;&gt;"",1,0)</formula>
    </cfRule>
  </conditionalFormatting>
  <conditionalFormatting sqref="J23:S23 AB77:AF82 D82:AA82 AB84:AF84 AB92:AF98 AB100:AF101 D84:AA96 D98:U98 D97:V97 Z97:AA98">
    <cfRule type="expression" dxfId="1060" priority="145">
      <formula>IF($AJ$3&lt;&gt;"",1,0)</formula>
    </cfRule>
  </conditionalFormatting>
  <conditionalFormatting sqref="E32:V35">
    <cfRule type="expression" dxfId="1059" priority="144">
      <formula>IF($AJ$3&lt;&gt;"",1,0)</formula>
    </cfRule>
  </conditionalFormatting>
  <conditionalFormatting sqref="Y32:Y35">
    <cfRule type="expression" dxfId="1058" priority="143">
      <formula>IF($AJ$3&lt;&gt;"",1,0)</formula>
    </cfRule>
  </conditionalFormatting>
  <conditionalFormatting sqref="AG26">
    <cfRule type="expression" dxfId="1057" priority="142">
      <formula>IF($AJ$3&lt;&gt;"",1,0)</formula>
    </cfRule>
  </conditionalFormatting>
  <conditionalFormatting sqref="AG28:AG29">
    <cfRule type="expression" dxfId="1056" priority="141">
      <formula>IF($AJ$3&lt;&gt;"",1,0)</formula>
    </cfRule>
  </conditionalFormatting>
  <conditionalFormatting sqref="AG32">
    <cfRule type="expression" dxfId="1055" priority="140">
      <formula>IF($AJ$3&lt;&gt;"",1,0)</formula>
    </cfRule>
  </conditionalFormatting>
  <conditionalFormatting sqref="AG34:AG35">
    <cfRule type="expression" dxfId="1054" priority="139">
      <formula>IF($AJ$3&lt;&gt;"",1,0)</formula>
    </cfRule>
  </conditionalFormatting>
  <conditionalFormatting sqref="AG37">
    <cfRule type="expression" dxfId="1053" priority="138">
      <formula>IF($AJ$3&lt;&gt;"",1,0)</formula>
    </cfRule>
  </conditionalFormatting>
  <conditionalFormatting sqref="E18">
    <cfRule type="expression" dxfId="1052" priority="137">
      <formula>IF($AJ$3&lt;&gt;"",1,0)</formula>
    </cfRule>
  </conditionalFormatting>
  <conditionalFormatting sqref="E20">
    <cfRule type="expression" dxfId="1051" priority="136">
      <formula>IF($AJ$3&lt;&gt;"",1,0)</formula>
    </cfRule>
  </conditionalFormatting>
  <conditionalFormatting sqref="E22">
    <cfRule type="expression" dxfId="1050" priority="135">
      <formula>IF($AJ$3&lt;&gt;"",1,0)</formula>
    </cfRule>
  </conditionalFormatting>
  <conditionalFormatting sqref="E26">
    <cfRule type="expression" dxfId="1049" priority="134">
      <formula>IF($AJ$3&lt;&gt;"",1,0)</formula>
    </cfRule>
  </conditionalFormatting>
  <conditionalFormatting sqref="E28">
    <cfRule type="expression" dxfId="1048" priority="133">
      <formula>IF($AJ$3&lt;&gt;"",1,0)</formula>
    </cfRule>
  </conditionalFormatting>
  <conditionalFormatting sqref="AB15">
    <cfRule type="expression" dxfId="1047" priority="132">
      <formula>IF($AJ$3&lt;&gt;"",1,0)</formula>
    </cfRule>
  </conditionalFormatting>
  <conditionalFormatting sqref="AE15">
    <cfRule type="expression" dxfId="1046" priority="131">
      <formula>IF($AJ$3&lt;&gt;"",1,0)</formula>
    </cfRule>
  </conditionalFormatting>
  <conditionalFormatting sqref="AA22:AG22">
    <cfRule type="expression" dxfId="1045" priority="130">
      <formula>IF($AJ$3&lt;&gt;"",1,0)</formula>
    </cfRule>
  </conditionalFormatting>
  <conditionalFormatting sqref="U18">
    <cfRule type="expression" dxfId="1044" priority="129">
      <formula>IF($AJ$3&lt;&gt;"",1,0)</formula>
    </cfRule>
  </conditionalFormatting>
  <conditionalFormatting sqref="U23">
    <cfRule type="expression" dxfId="1043" priority="128">
      <formula>IF($AJ$3&lt;&gt;"",1,0)</formula>
    </cfRule>
  </conditionalFormatting>
  <conditionalFormatting sqref="D34">
    <cfRule type="expression" dxfId="1042" priority="127">
      <formula>IF($AJ$3&lt;&gt;"",1,0)</formula>
    </cfRule>
  </conditionalFormatting>
  <conditionalFormatting sqref="AB38:AF39">
    <cfRule type="expression" dxfId="1041" priority="126">
      <formula>IF($AJ$3&lt;&gt;"",1,0)</formula>
    </cfRule>
  </conditionalFormatting>
  <conditionalFormatting sqref="AB41:AF41">
    <cfRule type="expression" dxfId="1040" priority="123">
      <formula>IF($AJ$3&lt;&gt;"",1,0)</formula>
    </cfRule>
  </conditionalFormatting>
  <conditionalFormatting sqref="V56:Y68">
    <cfRule type="expression" dxfId="1039" priority="117">
      <formula>IF($AJ$3&lt;&gt;"",1,0)</formula>
    </cfRule>
  </conditionalFormatting>
  <conditionalFormatting sqref="AB69:AF70">
    <cfRule type="expression" dxfId="1038" priority="116">
      <formula>IF($AJ$3&lt;&gt;"",1,0)</formula>
    </cfRule>
  </conditionalFormatting>
  <conditionalFormatting sqref="H74:H75">
    <cfRule type="expression" dxfId="1037" priority="115">
      <formula>IF($AJ$3&lt;&gt;"",1,0)</formula>
    </cfRule>
  </conditionalFormatting>
  <conditionalFormatting sqref="S74:S75">
    <cfRule type="expression" dxfId="1036" priority="114">
      <formula>IF($AJ$3&lt;&gt;"",1,0)</formula>
    </cfRule>
  </conditionalFormatting>
  <conditionalFormatting sqref="Y74:Z75">
    <cfRule type="expression" dxfId="1035" priority="113">
      <formula>IF($AJ$3&lt;&gt;"",1,0)</formula>
    </cfRule>
  </conditionalFormatting>
  <conditionalFormatting sqref="Z76">
    <cfRule type="expression" dxfId="1034" priority="112">
      <formula>IF($AJ$3&lt;&gt;"",1,0)</formula>
    </cfRule>
  </conditionalFormatting>
  <conditionalFormatting sqref="N81">
    <cfRule type="expression" dxfId="1033" priority="110">
      <formula>IF($AJ$3&lt;&gt;"",1,0)</formula>
    </cfRule>
  </conditionalFormatting>
  <conditionalFormatting sqref="S81">
    <cfRule type="expression" dxfId="1032" priority="109">
      <formula>IF($AJ$3&lt;&gt;"",1,0)</formula>
    </cfRule>
  </conditionalFormatting>
  <conditionalFormatting sqref="W81">
    <cfRule type="expression" dxfId="1031" priority="108">
      <formula>IF($AJ$3&lt;&gt;"",1,0)</formula>
    </cfRule>
  </conditionalFormatting>
  <conditionalFormatting sqref="V85:Y91">
    <cfRule type="expression" dxfId="1030" priority="107">
      <formula>IF($AJ$3&lt;&gt;"",1,0)</formula>
    </cfRule>
  </conditionalFormatting>
  <conditionalFormatting sqref="K91">
    <cfRule type="expression" dxfId="1029" priority="106">
      <formula>IF($AJ$3&lt;&gt;"",1,0)</formula>
    </cfRule>
  </conditionalFormatting>
  <conditionalFormatting sqref="N91">
    <cfRule type="expression" dxfId="1028" priority="105">
      <formula>IF($AJ$3&lt;&gt;"",1,0)</formula>
    </cfRule>
  </conditionalFormatting>
  <conditionalFormatting sqref="Q91">
    <cfRule type="expression" dxfId="1027" priority="104">
      <formula>IF($AJ$3&lt;&gt;"",1,0)</formula>
    </cfRule>
  </conditionalFormatting>
  <conditionalFormatting sqref="S95">
    <cfRule type="expression" dxfId="1026" priority="102">
      <formula>IF($AJ$3&lt;&gt;"",1,0)</formula>
    </cfRule>
  </conditionalFormatting>
  <conditionalFormatting sqref="V95">
    <cfRule type="expression" dxfId="1025" priority="101">
      <formula>IF($AJ$3&lt;&gt;"",1,0)</formula>
    </cfRule>
  </conditionalFormatting>
  <conditionalFormatting sqref="O100:V100">
    <cfRule type="expression" dxfId="1024" priority="100">
      <formula>IF($AJ$3&lt;&gt;"",1,0)</formula>
    </cfRule>
  </conditionalFormatting>
  <conditionalFormatting sqref="V102:Y104">
    <cfRule type="expression" dxfId="1023" priority="99">
      <formula>IF($AJ$3&lt;&gt;"",1,0)</formula>
    </cfRule>
  </conditionalFormatting>
  <conditionalFormatting sqref="O105:S105">
    <cfRule type="expression" dxfId="1022" priority="98">
      <formula>IF($AJ$3&lt;&gt;"",1,0)</formula>
    </cfRule>
  </conditionalFormatting>
  <conditionalFormatting sqref="V106:Y112">
    <cfRule type="expression" dxfId="1021" priority="97">
      <formula>IF($AJ$3&lt;&gt;"",1,0)</formula>
    </cfRule>
  </conditionalFormatting>
  <conditionalFormatting sqref="I112">
    <cfRule type="expression" dxfId="1020" priority="96">
      <formula>IF($AJ$3&lt;&gt;"",1,0)</formula>
    </cfRule>
  </conditionalFormatting>
  <conditionalFormatting sqref="L112">
    <cfRule type="expression" dxfId="1019" priority="95">
      <formula>IF($AJ$3&lt;&gt;"",1,0)</formula>
    </cfRule>
  </conditionalFormatting>
  <conditionalFormatting sqref="N112">
    <cfRule type="expression" dxfId="1018" priority="94">
      <formula>IF($AJ$3&lt;&gt;"",1,0)</formula>
    </cfRule>
  </conditionalFormatting>
  <conditionalFormatting sqref="Q112">
    <cfRule type="expression" dxfId="1017" priority="93">
      <formula>IF($AJ$3&lt;&gt;"",1,0)</formula>
    </cfRule>
  </conditionalFormatting>
  <conditionalFormatting sqref="AB113:AF115">
    <cfRule type="expression" dxfId="1016" priority="92">
      <formula>IF($AJ$3&lt;&gt;"",1,0)</formula>
    </cfRule>
  </conditionalFormatting>
  <conditionalFormatting sqref="Y115">
    <cfRule type="expression" dxfId="1015" priority="91">
      <formula>IF($AJ$3&lt;&gt;"",1,0)</formula>
    </cfRule>
  </conditionalFormatting>
  <conditionalFormatting sqref="X116">
    <cfRule type="expression" dxfId="1014" priority="90">
      <formula>IF($AJ$3&lt;&gt;"",1,0)</formula>
    </cfRule>
  </conditionalFormatting>
  <conditionalFormatting sqref="T116">
    <cfRule type="expression" dxfId="1013" priority="89">
      <formula>IF($AJ$3&lt;&gt;"",1,0)</formula>
    </cfRule>
  </conditionalFormatting>
  <conditionalFormatting sqref="I116:P116">
    <cfRule type="expression" dxfId="1012" priority="88">
      <formula>IF($AJ$3&lt;&gt;"",1,0)</formula>
    </cfRule>
  </conditionalFormatting>
  <conditionalFormatting sqref="I117:R117">
    <cfRule type="expression" dxfId="1011" priority="87">
      <formula>IF($AJ$3&lt;&gt;"",1,0)</formula>
    </cfRule>
  </conditionalFormatting>
  <conditionalFormatting sqref="V118:Y118">
    <cfRule type="expression" dxfId="1010" priority="86">
      <formula>IF($AJ$3&lt;&gt;"",1,0)</formula>
    </cfRule>
  </conditionalFormatting>
  <conditionalFormatting sqref="V120:Y120">
    <cfRule type="expression" dxfId="1009" priority="85">
      <formula>IF($AJ$3&lt;&gt;"",1,0)</formula>
    </cfRule>
  </conditionalFormatting>
  <conditionalFormatting sqref="AB119:AF119">
    <cfRule type="expression" dxfId="1008" priority="84">
      <formula>IF($AJ$3&lt;&gt;"",1,0)</formula>
    </cfRule>
  </conditionalFormatting>
  <conditionalFormatting sqref="AE121">
    <cfRule type="expression" dxfId="1007" priority="83">
      <formula>IF($AJ$3&lt;&gt;"",1,0)</formula>
    </cfRule>
  </conditionalFormatting>
  <conditionalFormatting sqref="X121">
    <cfRule type="expression" dxfId="1006" priority="82">
      <formula>IF($AJ$3&lt;&gt;"",1,0)</formula>
    </cfRule>
  </conditionalFormatting>
  <conditionalFormatting sqref="G122:M122">
    <cfRule type="expression" dxfId="1005" priority="81">
      <formula>IF($AJ$3&lt;&gt;"",1,0)</formula>
    </cfRule>
  </conditionalFormatting>
  <conditionalFormatting sqref="P122:T122">
    <cfRule type="expression" dxfId="1004" priority="80">
      <formula>IF($AJ$3&lt;&gt;"",1,0)</formula>
    </cfRule>
  </conditionalFormatting>
  <conditionalFormatting sqref="AB122:AG122">
    <cfRule type="expression" dxfId="1003" priority="79">
      <formula>IF($AJ$3&lt;&gt;"",1,0)</formula>
    </cfRule>
  </conditionalFormatting>
  <conditionalFormatting sqref="D126:N126">
    <cfRule type="expression" dxfId="1002" priority="78">
      <formula>IF($AJ$3&lt;&gt;"",1,0)</formula>
    </cfRule>
  </conditionalFormatting>
  <conditionalFormatting sqref="O126:R126">
    <cfRule type="expression" dxfId="1001" priority="77">
      <formula>IF($AJ$3&lt;&gt;"",1,0)</formula>
    </cfRule>
  </conditionalFormatting>
  <conditionalFormatting sqref="S126:Y126">
    <cfRule type="expression" dxfId="1000" priority="76">
      <formula>IF($AJ$3&lt;&gt;"",1,0)</formula>
    </cfRule>
  </conditionalFormatting>
  <conditionalFormatting sqref="Z126:AG126">
    <cfRule type="expression" dxfId="999" priority="75">
      <formula>IF($AJ$3&lt;&gt;"",1,0)</formula>
    </cfRule>
  </conditionalFormatting>
  <conditionalFormatting sqref="D128:N128">
    <cfRule type="expression" dxfId="998" priority="74">
      <formula>IF($AJ$3&lt;&gt;"",1,0)</formula>
    </cfRule>
  </conditionalFormatting>
  <conditionalFormatting sqref="O128:R128">
    <cfRule type="expression" dxfId="997" priority="73">
      <formula>IF($AJ$3&lt;&gt;"",1,0)</formula>
    </cfRule>
  </conditionalFormatting>
  <conditionalFormatting sqref="S128:Y128">
    <cfRule type="expression" dxfId="996" priority="72">
      <formula>IF($AJ$3&lt;&gt;"",1,0)</formula>
    </cfRule>
  </conditionalFormatting>
  <conditionalFormatting sqref="AC128:AG128">
    <cfRule type="expression" dxfId="995" priority="71">
      <formula>IF($AJ$3&lt;&gt;"",1,0)</formula>
    </cfRule>
  </conditionalFormatting>
  <conditionalFormatting sqref="AB129">
    <cfRule type="expression" dxfId="994" priority="70">
      <formula>IF($AJ$3&lt;&gt;"",1,0)</formula>
    </cfRule>
  </conditionalFormatting>
  <conditionalFormatting sqref="D130:J130">
    <cfRule type="expression" dxfId="993" priority="69">
      <formula>IF($AJ$3&lt;&gt;"",1,0)</formula>
    </cfRule>
  </conditionalFormatting>
  <conditionalFormatting sqref="K130:R130">
    <cfRule type="expression" dxfId="992" priority="68">
      <formula>IF($AJ$3&lt;&gt;"",1,0)</formula>
    </cfRule>
  </conditionalFormatting>
  <conditionalFormatting sqref="V130:Y130">
    <cfRule type="expression" dxfId="991" priority="67">
      <formula>IF($AJ$3&lt;&gt;"",1,0)</formula>
    </cfRule>
  </conditionalFormatting>
  <conditionalFormatting sqref="AD130:AG130">
    <cfRule type="expression" dxfId="990" priority="66">
      <formula>IF($AJ$3&lt;&gt;"",1,0)</formula>
    </cfRule>
  </conditionalFormatting>
  <conditionalFormatting sqref="H131:V132">
    <cfRule type="expression" dxfId="989" priority="65">
      <formula>IF($AJ$3&lt;&gt;"",1,0)</formula>
    </cfRule>
  </conditionalFormatting>
  <conditionalFormatting sqref="Z131:AG131">
    <cfRule type="expression" dxfId="988" priority="64">
      <formula>IF($AJ$3&lt;&gt;"",1,0)</formula>
    </cfRule>
  </conditionalFormatting>
  <conditionalFormatting sqref="Y132:AE132">
    <cfRule type="expression" dxfId="987" priority="63">
      <formula>IF($AJ$3&lt;&gt;"",1,0)</formula>
    </cfRule>
  </conditionalFormatting>
  <conditionalFormatting sqref="Y10:AG14">
    <cfRule type="expression" dxfId="986" priority="62">
      <formula>IF($AJ$3&lt;&gt;"",1,0)</formula>
    </cfRule>
  </conditionalFormatting>
  <conditionalFormatting sqref="Y15:AA16">
    <cfRule type="expression" dxfId="985" priority="61">
      <formula>IF(NoColor,1,0)</formula>
    </cfRule>
  </conditionalFormatting>
  <conditionalFormatting sqref="AB16:AG16">
    <cfRule type="expression" dxfId="984" priority="60">
      <formula>IF($AJ$3&lt;&gt;"",1,0)</formula>
    </cfRule>
  </conditionalFormatting>
  <conditionalFormatting sqref="AC15:AD15">
    <cfRule type="expression" dxfId="983" priority="59">
      <formula>IF(NoColor,1,0)</formula>
    </cfRule>
  </conditionalFormatting>
  <conditionalFormatting sqref="AF15:AG15">
    <cfRule type="expression" dxfId="982" priority="58">
      <formula>IF(NoColor,1,0)</formula>
    </cfRule>
  </conditionalFormatting>
  <conditionalFormatting sqref="D17:AG24">
    <cfRule type="expression" dxfId="981" priority="57">
      <formula>IF($AJ$3&lt;&gt;"",1,0)</formula>
    </cfRule>
  </conditionalFormatting>
  <conditionalFormatting sqref="D25:AG37">
    <cfRule type="expression" dxfId="980" priority="56">
      <formula>IF($AJ$3&lt;&gt;"",1,0)</formula>
    </cfRule>
  </conditionalFormatting>
  <conditionalFormatting sqref="B71:AG72">
    <cfRule type="expression" dxfId="979" priority="53">
      <formula>IF($AJ$3&lt;&gt;"",1,0)</formula>
    </cfRule>
  </conditionalFormatting>
  <conditionalFormatting sqref="D73:AA80 D81:Y81 AA81 Z100:AA100 D100:V100 D101:AA120">
    <cfRule type="expression" dxfId="978" priority="52">
      <formula>IF($AJ$3&lt;&gt;"",1,0)</formula>
    </cfRule>
  </conditionalFormatting>
  <conditionalFormatting sqref="S73:Y73">
    <cfRule type="expression" dxfId="977" priority="50">
      <formula>IF($AJ$3&lt;&gt;"",1,0)</formula>
    </cfRule>
    <cfRule type="expression" dxfId="976" priority="51">
      <formula>IF($AJ$3&lt;&gt;"",1,0)</formula>
    </cfRule>
  </conditionalFormatting>
  <conditionalFormatting sqref="D121:AG126">
    <cfRule type="expression" dxfId="975" priority="49">
      <formula>IF(NoColor,1,0)</formula>
    </cfRule>
  </conditionalFormatting>
  <conditionalFormatting sqref="D127:AG127">
    <cfRule type="expression" dxfId="974" priority="48">
      <formula>IF($AJ$3&lt;&gt;"",1,0)</formula>
    </cfRule>
  </conditionalFormatting>
  <conditionalFormatting sqref="C133:AG133">
    <cfRule type="expression" dxfId="973" priority="33">
      <formula>IF($AJ$3&lt;&gt;"",1,0)</formula>
    </cfRule>
    <cfRule type="expression" dxfId="972" priority="47">
      <formula>IF($AJ$3&lt;&gt;"",1,0)</formula>
    </cfRule>
  </conditionalFormatting>
  <conditionalFormatting sqref="R91:S91 T66 L66 T59 P59">
    <cfRule type="expression" dxfId="971" priority="46">
      <formula>IF(NoColor,1,0)</formula>
    </cfRule>
  </conditionalFormatting>
  <conditionalFormatting sqref="D56:T58 D67:T70 D66:K66 D60:T65 D59:O59">
    <cfRule type="expression" dxfId="970" priority="43">
      <formula>IF(NoColor,1,0)</formula>
    </cfRule>
  </conditionalFormatting>
  <conditionalFormatting sqref="U69:AA70">
    <cfRule type="expression" dxfId="969" priority="42">
      <formula>IF(NoColor,1,0)</formula>
    </cfRule>
  </conditionalFormatting>
  <conditionalFormatting sqref="AB43:AF55">
    <cfRule type="expression" dxfId="968" priority="41">
      <formula>IF(NoColor,1,0)</formula>
    </cfRule>
  </conditionalFormatting>
  <conditionalFormatting sqref="X81:Y81">
    <cfRule type="expression" dxfId="967" priority="40">
      <formula>IF(NoColor,1,0)</formula>
    </cfRule>
  </conditionalFormatting>
  <conditionalFormatting sqref="H100">
    <cfRule type="expression" dxfId="966" priority="39">
      <formula>IF($AJ$3&lt;&gt;"",1,0)</formula>
    </cfRule>
  </conditionalFormatting>
  <conditionalFormatting sqref="L100">
    <cfRule type="expression" dxfId="965" priority="38">
      <formula>IF($AJ$3&lt;&gt;"",1,0)</formula>
    </cfRule>
  </conditionalFormatting>
  <conditionalFormatting sqref="N100">
    <cfRule type="expression" dxfId="964" priority="37">
      <formula>IF($AJ$3&lt;&gt;"",1,0)</formula>
    </cfRule>
  </conditionalFormatting>
  <conditionalFormatting sqref="U100:V100">
    <cfRule type="expression" dxfId="963" priority="36">
      <formula>IF(NoColor,1,0)</formula>
    </cfRule>
  </conditionalFormatting>
  <conditionalFormatting sqref="R112:S112">
    <cfRule type="expression" dxfId="962" priority="35">
      <formula>IF(NoColor,1,0)</formula>
    </cfRule>
  </conditionalFormatting>
  <conditionalFormatting sqref="R112:S112">
    <cfRule type="expression" dxfId="961" priority="34">
      <formula>IF(NoColor,1,0)</formula>
    </cfRule>
  </conditionalFormatting>
  <conditionalFormatting sqref="BD120">
    <cfRule type="expression" dxfId="960" priority="32">
      <formula>$BG$120</formula>
    </cfRule>
  </conditionalFormatting>
  <conditionalFormatting sqref="BE120">
    <cfRule type="expression" dxfId="959" priority="31">
      <formula>IF(AND($BG$120,$AZ$107="X"),1,0)</formula>
    </cfRule>
  </conditionalFormatting>
  <conditionalFormatting sqref="L100">
    <cfRule type="expression" dxfId="958" priority="28">
      <formula>IF($AJ$3&lt;&gt;"",1,0)</formula>
    </cfRule>
  </conditionalFormatting>
  <conditionalFormatting sqref="AB73:AF73">
    <cfRule type="expression" dxfId="957" priority="26">
      <formula>IF($AJ$3&lt;&gt;"",1,0)</formula>
    </cfRule>
  </conditionalFormatting>
  <conditionalFormatting sqref="L66">
    <cfRule type="expression" dxfId="956" priority="25">
      <formula>IF($V$66&gt;AI66,1,0)</formula>
    </cfRule>
  </conditionalFormatting>
  <conditionalFormatting sqref="D83:AA83">
    <cfRule type="expression" dxfId="955" priority="24">
      <formula>IF($AJ$3&lt;&gt;"",1,0)</formula>
    </cfRule>
  </conditionalFormatting>
  <conditionalFormatting sqref="D99:T99 Z99:AA99">
    <cfRule type="expression" dxfId="954" priority="20">
      <formula>IF($AJ$3&lt;&gt;"",1,0)</formula>
    </cfRule>
  </conditionalFormatting>
  <conditionalFormatting sqref="U99">
    <cfRule type="expression" dxfId="953" priority="13">
      <formula>IF($AJ$3&lt;&gt;"",1,0)</formula>
    </cfRule>
  </conditionalFormatting>
  <conditionalFormatting sqref="U99">
    <cfRule type="expression" dxfId="952" priority="14">
      <formula>IF($AJ$3&lt;&gt;"",1,0)</formula>
    </cfRule>
  </conditionalFormatting>
  <conditionalFormatting sqref="AB99:AF99">
    <cfRule type="expression" dxfId="951" priority="12">
      <formula>IF($AJ$3&lt;&gt;"",1,0)</formula>
    </cfRule>
  </conditionalFormatting>
  <conditionalFormatting sqref="D38:AA55">
    <cfRule type="expression" dxfId="950" priority="11">
      <formula>IF(NoColor,1,0)</formula>
    </cfRule>
  </conditionalFormatting>
  <conditionalFormatting sqref="X46">
    <cfRule type="expression" dxfId="949" priority="10">
      <formula>IF(NoColor,1,0)</formula>
    </cfRule>
  </conditionalFormatting>
  <conditionalFormatting sqref="AB83:AF83">
    <cfRule type="expression" dxfId="948" priority="9">
      <formula>IF($AJ$3&lt;&gt;"",1,0)</formula>
    </cfRule>
  </conditionalFormatting>
  <conditionalFormatting sqref="AI97:AK97">
    <cfRule type="expression" dxfId="947" priority="8" stopIfTrue="1">
      <formula>IF($AH$96,1,0)</formula>
    </cfRule>
  </conditionalFormatting>
  <conditionalFormatting sqref="AI98:AK98">
    <cfRule type="expression" dxfId="946" priority="7" stopIfTrue="1">
      <formula>IF($AH$96,1,0)</formula>
    </cfRule>
  </conditionalFormatting>
  <conditionalFormatting sqref="AJ96:AK96">
    <cfRule type="expression" dxfId="945" priority="6" stopIfTrue="1">
      <formula>IF($AH$96,1,0)</formula>
    </cfRule>
  </conditionalFormatting>
  <conditionalFormatting sqref="AI99">
    <cfRule type="expression" dxfId="944" priority="4">
      <formula>IF($U$99&lt;&gt;"",1,0)</formula>
    </cfRule>
  </conditionalFormatting>
  <conditionalFormatting sqref="AJ99:AK99">
    <cfRule type="expression" dxfId="943" priority="2">
      <formula>IF($U$99&lt;&gt;"",1,0)</formula>
    </cfRule>
  </conditionalFormatting>
  <conditionalFormatting sqref="AI100:AJ100">
    <cfRule type="expression" dxfId="942" priority="1">
      <formula>IF($U$99&lt;&gt;"",1,0)</formula>
    </cfRule>
  </conditionalFormatting>
  <hyperlinks>
    <hyperlink ref="F2" r:id="rId1"/>
    <hyperlink ref="D136" r:id="rId2"/>
    <hyperlink ref="D138" r:id="rId3"/>
    <hyperlink ref="D138:S138" r:id="rId4" display="Download Form 1040 from IRS"/>
    <hyperlink ref="D140:S140" r:id="rId5" display="Download Form 1040 from IRS"/>
  </hyperlinks>
  <printOptions horizontalCentered="1"/>
  <pageMargins left="0.42" right="0.17" top="0.39" bottom="0.56000000000000005" header="0" footer="0"/>
  <pageSetup scale="80" fitToHeight="0" orientation="portrait" horizontalDpi="4294967293" verticalDpi="4294967293" r:id="rId6"/>
  <headerFooter alignWithMargins="0"/>
  <rowBreaks count="1" manualBreakCount="1">
    <brk id="71" min="1" max="32" man="1"/>
  </rowBreaks>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J72"/>
  <sheetViews>
    <sheetView zoomScaleNormal="100" zoomScaleSheetLayoutView="100" workbookViewId="0">
      <selection activeCell="Y19" sqref="Y19"/>
    </sheetView>
  </sheetViews>
  <sheetFormatPr defaultRowHeight="12.75"/>
  <cols>
    <col min="1" max="1" width="1.85546875" customWidth="1"/>
    <col min="2" max="2" width="15.140625" customWidth="1"/>
    <col min="3" max="3" width="3.85546875" customWidth="1"/>
    <col min="4" max="4" width="2.5703125" style="950" customWidth="1"/>
    <col min="5" max="5" width="3.85546875" customWidth="1"/>
    <col min="6" max="6" width="11" style="950" customWidth="1"/>
    <col min="7" max="7" width="2.7109375" style="950" customWidth="1"/>
    <col min="8" max="8" width="13.42578125" style="950" customWidth="1"/>
    <col min="9" max="9" width="3.7109375" customWidth="1"/>
    <col min="10" max="10" width="16.42578125" customWidth="1"/>
    <col min="11" max="11" width="4.28515625" customWidth="1"/>
    <col min="12" max="12" width="15.5703125" customWidth="1"/>
    <col min="13" max="13" width="3.5703125" style="358" customWidth="1"/>
    <col min="14" max="14" width="17.140625" customWidth="1"/>
    <col min="15" max="15" width="2.28515625" customWidth="1"/>
    <col min="16" max="16" width="11.42578125" style="1573" customWidth="1"/>
    <col min="17" max="19" width="3" customWidth="1"/>
    <col min="20" max="20" width="3.42578125" customWidth="1"/>
    <col min="21" max="21" width="4.5703125" style="3036" customWidth="1"/>
    <col min="22" max="22" width="3.5703125" style="68" customWidth="1"/>
    <col min="23" max="23" width="5.42578125" style="68" customWidth="1"/>
    <col min="24" max="24" width="8.7109375" style="68" customWidth="1"/>
    <col min="25" max="29" width="10.42578125" style="68" customWidth="1"/>
    <col min="30" max="30" width="13.42578125" style="68" customWidth="1"/>
    <col min="31" max="31" width="3.28515625" style="68" customWidth="1"/>
    <col min="32" max="32" width="3.5703125" style="68" customWidth="1"/>
    <col min="33" max="33" width="11.42578125" style="68" customWidth="1"/>
    <col min="34" max="34" width="3.5703125" style="68" customWidth="1"/>
  </cols>
  <sheetData>
    <row r="1" spans="1:31" ht="10.5" customHeight="1">
      <c r="A1" s="942"/>
      <c r="B1" s="942"/>
      <c r="C1" s="942"/>
      <c r="D1" s="1032"/>
      <c r="E1" s="942"/>
      <c r="F1" s="1032"/>
      <c r="G1" s="1032"/>
      <c r="H1" s="1032"/>
      <c r="I1" s="942"/>
      <c r="J1" s="942"/>
      <c r="K1" s="942"/>
      <c r="L1" s="942"/>
      <c r="M1" s="1030"/>
      <c r="N1" s="942"/>
      <c r="O1" s="942"/>
    </row>
    <row r="2" spans="1:31" ht="15" customHeight="1">
      <c r="A2" s="942"/>
      <c r="B2" s="1571" t="s">
        <v>648</v>
      </c>
      <c r="C2" s="193"/>
      <c r="D2" s="951"/>
      <c r="E2" s="37"/>
      <c r="F2" s="37"/>
      <c r="G2" s="37"/>
      <c r="H2" s="37"/>
      <c r="I2" s="37"/>
      <c r="J2" s="37"/>
      <c r="K2" s="37"/>
      <c r="L2" s="175"/>
      <c r="M2" s="4066" t="s">
        <v>257</v>
      </c>
      <c r="N2" s="3967"/>
      <c r="O2" s="1030"/>
      <c r="P2" s="1599" t="b">
        <f>IF(OR(ItemizeAnyway&lt;&gt;"",AND(Tot_Item_Deduct&lt;&gt;0,Tot_Item_Deduct&gt;Standard)),TRUE,FALSE)</f>
        <v>0</v>
      </c>
      <c r="Q2" s="358"/>
    </row>
    <row r="3" spans="1:31" ht="15" customHeight="1">
      <c r="A3" s="942"/>
      <c r="B3" s="194" t="s">
        <v>302</v>
      </c>
      <c r="C3" s="142"/>
      <c r="D3" s="195"/>
      <c r="E3" s="197"/>
      <c r="F3" s="197"/>
      <c r="G3" s="197"/>
      <c r="H3" s="197"/>
      <c r="I3" s="1570" t="s">
        <v>647</v>
      </c>
      <c r="J3" s="197"/>
      <c r="K3" s="197"/>
      <c r="L3" s="198"/>
      <c r="M3" s="958"/>
      <c r="N3" s="798">
        <f>TaxYear</f>
        <v>2014</v>
      </c>
      <c r="O3" s="1030"/>
      <c r="P3" s="1574"/>
      <c r="Q3" s="358"/>
    </row>
    <row r="4" spans="1:31" ht="9.75" customHeight="1">
      <c r="A4" s="942"/>
      <c r="B4" s="199" t="s">
        <v>303</v>
      </c>
      <c r="C4" s="200"/>
      <c r="D4" s="4091" t="s">
        <v>1688</v>
      </c>
      <c r="E4" s="3832"/>
      <c r="F4" s="3832"/>
      <c r="G4" s="3832"/>
      <c r="H4" s="3832"/>
      <c r="I4" s="3832"/>
      <c r="J4" s="3832"/>
      <c r="K4" s="3832"/>
      <c r="L4" s="3970"/>
      <c r="M4" s="1268"/>
      <c r="N4" s="201" t="s">
        <v>304</v>
      </c>
      <c r="O4" s="1030"/>
      <c r="P4" s="1574"/>
      <c r="Q4" s="358"/>
    </row>
    <row r="5" spans="1:31" ht="13.5" customHeight="1">
      <c r="A5" s="942"/>
      <c r="B5" s="1572" t="s">
        <v>378</v>
      </c>
      <c r="C5" s="357"/>
      <c r="D5" s="2577"/>
      <c r="E5" s="457"/>
      <c r="F5" s="457"/>
      <c r="G5" s="457"/>
      <c r="H5" s="2577"/>
      <c r="I5" s="2578" t="s">
        <v>1489</v>
      </c>
      <c r="J5" s="202"/>
      <c r="K5" s="202"/>
      <c r="L5" s="203"/>
      <c r="M5" s="1269"/>
      <c r="N5" s="204" t="s">
        <v>149</v>
      </c>
      <c r="O5" s="1030"/>
      <c r="P5" s="1575" t="s">
        <v>152</v>
      </c>
      <c r="Q5" s="358"/>
    </row>
    <row r="6" spans="1:31" ht="11.25" customHeight="1">
      <c r="A6" s="942"/>
      <c r="B6" s="34" t="s">
        <v>150</v>
      </c>
      <c r="C6" s="192"/>
      <c r="D6" s="205"/>
      <c r="E6" s="205"/>
      <c r="F6" s="205"/>
      <c r="G6" s="205"/>
      <c r="H6" s="205"/>
      <c r="I6" s="196"/>
      <c r="J6" s="196"/>
      <c r="K6" s="197"/>
      <c r="L6" s="198"/>
      <c r="M6" s="4089" t="s">
        <v>151</v>
      </c>
      <c r="N6" s="4090"/>
      <c r="O6" s="1030"/>
      <c r="P6" s="1575" t="s">
        <v>153</v>
      </c>
      <c r="Q6" s="358"/>
    </row>
    <row r="7" spans="1:31" ht="14.25" customHeight="1">
      <c r="A7" s="942"/>
      <c r="B7" s="4076" t="str">
        <f>IF(AND(Name_Last_Yours&lt;&gt;"",Name_Last_Sp&lt;&gt;""),CONCATENATE(Name_1st_Yours," ",Name_Last_Yours," &amp; ",Name_1st_Sp," ",Name_Last_Sp),IF(Name_Last_Yours&lt;&gt;"",CONCATENATE(Name_1st_Yours," ",Name_Last_Yours),""))</f>
        <v/>
      </c>
      <c r="C7" s="4077"/>
      <c r="D7" s="4077"/>
      <c r="E7" s="4077"/>
      <c r="F7" s="4077"/>
      <c r="G7" s="4077"/>
      <c r="H7" s="4077"/>
      <c r="I7" s="4077"/>
      <c r="J7" s="4077"/>
      <c r="K7" s="4077"/>
      <c r="L7" s="4078"/>
      <c r="M7" s="4074">
        <f>SS_Yours</f>
        <v>0</v>
      </c>
      <c r="N7" s="4075"/>
      <c r="O7" s="1030"/>
      <c r="P7" s="1575" t="s">
        <v>155</v>
      </c>
      <c r="Q7" s="358"/>
    </row>
    <row r="8" spans="1:31" ht="15">
      <c r="A8" s="942"/>
      <c r="B8" s="460" t="s">
        <v>203</v>
      </c>
      <c r="C8" s="36"/>
      <c r="D8" s="952" t="s">
        <v>444</v>
      </c>
      <c r="E8" s="325"/>
      <c r="F8" s="952"/>
      <c r="G8" s="952"/>
      <c r="H8" s="952"/>
      <c r="I8" s="196"/>
      <c r="J8" s="196"/>
      <c r="K8" s="449"/>
      <c r="L8" s="198"/>
      <c r="M8" s="1270"/>
      <c r="N8" s="207"/>
      <c r="O8" s="1030"/>
      <c r="P8" s="1576"/>
      <c r="Q8" s="358"/>
    </row>
    <row r="9" spans="1:31" ht="15">
      <c r="A9" s="942"/>
      <c r="B9" s="460" t="s">
        <v>445</v>
      </c>
      <c r="C9" s="36">
        <v>1</v>
      </c>
      <c r="D9" s="953" t="s">
        <v>915</v>
      </c>
      <c r="E9" s="330"/>
      <c r="F9" s="953"/>
      <c r="G9" s="953"/>
      <c r="H9" s="953"/>
      <c r="I9" s="192"/>
      <c r="J9" s="192"/>
      <c r="K9" s="458">
        <v>1</v>
      </c>
      <c r="L9" s="2583"/>
      <c r="M9" s="1270"/>
      <c r="N9" s="30"/>
      <c r="O9" s="1030"/>
      <c r="P9" s="1576"/>
      <c r="Q9" s="358"/>
    </row>
    <row r="10" spans="1:31" ht="14.25" customHeight="1">
      <c r="A10" s="942"/>
      <c r="B10" s="460" t="s">
        <v>213</v>
      </c>
      <c r="C10" s="36">
        <v>2</v>
      </c>
      <c r="D10" s="953" t="str">
        <f>"Enter amount from Form 1040, line "&amp;'1040'!D73</f>
        <v>Enter amount from Form 1040, line 38</v>
      </c>
      <c r="E10" s="361"/>
      <c r="F10" s="361"/>
      <c r="G10" s="361"/>
      <c r="H10" s="361"/>
      <c r="I10" s="209">
        <v>2</v>
      </c>
      <c r="J10" s="2930">
        <f>Adj_Gross_Inc</f>
        <v>0</v>
      </c>
      <c r="K10" s="450"/>
      <c r="L10" s="31"/>
      <c r="M10" s="1270"/>
      <c r="N10" s="2929" t="b">
        <f>IF(OR(you_over_64&lt;&gt;"",sp_over_64&lt;&gt;""),TRUE,FALSE)</f>
        <v>0</v>
      </c>
      <c r="O10" s="1030"/>
      <c r="P10" s="1576"/>
      <c r="Q10" s="358"/>
      <c r="R10" s="2870"/>
      <c r="S10" s="2870"/>
    </row>
    <row r="11" spans="1:31" ht="15">
      <c r="A11" s="942"/>
      <c r="B11" s="460" t="s">
        <v>69</v>
      </c>
      <c r="C11" s="36">
        <v>3</v>
      </c>
      <c r="D11" s="2868" t="str">
        <f>"Multiply line 2 above by "&amp;TEXT(N11,"0.0%")&amp;" ("&amp;TEXT(N11,".00")&amp;"). But if either you or your spouse was"</f>
        <v>Multiply line 2 above by 10.0% (.10). But if either you or your spouse was</v>
      </c>
      <c r="E11" s="330"/>
      <c r="F11" s="953"/>
      <c r="G11" s="953"/>
      <c r="H11" s="953"/>
      <c r="I11" s="192"/>
      <c r="J11" s="910"/>
      <c r="K11" s="2869"/>
      <c r="L11" s="31"/>
      <c r="M11" s="1270"/>
      <c r="N11" s="2607">
        <v>0.1</v>
      </c>
      <c r="O11" s="1030"/>
      <c r="P11" s="1576"/>
      <c r="Q11" s="358"/>
      <c r="R11" s="2797"/>
      <c r="S11" s="2870"/>
    </row>
    <row r="12" spans="1:31" ht="15.75" thickBot="1">
      <c r="A12" s="942"/>
      <c r="B12" s="460"/>
      <c r="C12" s="36"/>
      <c r="D12" s="953" t="str">
        <f>"born before "&amp;'1040'!N74&amp;" multiply line 2 by "&amp;TEXT(N12,"0.0%")&amp;" ("&amp;TEXT(N12,".000")&amp;") instead"</f>
        <v>born before January 2, 1950, multiply line 2 by 7.5% (.075) instead</v>
      </c>
      <c r="E12" s="330"/>
      <c r="F12" s="953"/>
      <c r="G12" s="953"/>
      <c r="H12" s="953"/>
      <c r="I12" s="192"/>
      <c r="J12" s="910"/>
      <c r="K12" s="3034">
        <v>3</v>
      </c>
      <c r="L12" s="3059" t="str">
        <f>IF(AND(J10&lt;&gt;0,J10&lt;&gt;""),IF(N10,J10*N12,J10*N11),"")</f>
        <v/>
      </c>
      <c r="M12" s="1271"/>
      <c r="N12" s="2607">
        <v>7.4999999999999997E-2</v>
      </c>
      <c r="O12" s="1030"/>
      <c r="P12" s="1576"/>
      <c r="Q12" s="2846"/>
    </row>
    <row r="13" spans="1:31" ht="13.5" thickBot="1">
      <c r="A13" s="942"/>
      <c r="B13" s="27"/>
      <c r="C13" s="27">
        <v>4</v>
      </c>
      <c r="D13" s="954" t="s">
        <v>140</v>
      </c>
      <c r="E13" s="334"/>
      <c r="F13" s="954"/>
      <c r="G13" s="954"/>
      <c r="H13" s="954"/>
      <c r="I13" s="28"/>
      <c r="J13" s="28"/>
      <c r="K13" s="28"/>
      <c r="L13" s="211"/>
      <c r="M13" s="458">
        <v>4</v>
      </c>
      <c r="N13" s="2930" t="str">
        <f>IF(P13&lt;&gt;"",P13,IF(OR(J10=0,J10=""),"",IF(L12&lt;0, L9,IF(L12&gt;L9,0,ROUND(L9-L12,0)))))</f>
        <v/>
      </c>
      <c r="O13" s="1030"/>
      <c r="P13" s="1577"/>
      <c r="Q13" s="358"/>
      <c r="U13" s="2800"/>
      <c r="V13" s="3037" t="s">
        <v>1751</v>
      </c>
      <c r="W13" s="2801"/>
      <c r="X13" s="2801"/>
      <c r="Y13" s="2801"/>
      <c r="Z13" s="2801"/>
      <c r="AA13" s="2801"/>
      <c r="AB13" s="2801"/>
      <c r="AC13" s="2801"/>
      <c r="AD13" s="2801"/>
      <c r="AE13" s="2802"/>
    </row>
    <row r="14" spans="1:31" ht="15.75" thickBot="1">
      <c r="A14" s="942"/>
      <c r="B14" s="460" t="s">
        <v>26</v>
      </c>
      <c r="C14" s="36">
        <v>5</v>
      </c>
      <c r="D14" s="953" t="s">
        <v>248</v>
      </c>
      <c r="E14" s="330"/>
      <c r="F14" s="953"/>
      <c r="G14" s="953"/>
      <c r="H14" s="953"/>
      <c r="I14" s="192"/>
      <c r="J14" s="1356"/>
      <c r="K14" s="450"/>
      <c r="L14" s="1398"/>
      <c r="M14" s="1270"/>
      <c r="N14" s="4087">
        <f>SUM(StateTaxW2,LocalTaxW2,StateTaxIRA,LocalTaxIRA,StateTaxPA,LocalTaxPA)</f>
        <v>0</v>
      </c>
      <c r="O14" s="1030"/>
      <c r="P14" s="1675" t="s">
        <v>1054</v>
      </c>
      <c r="Q14" s="358"/>
      <c r="U14" s="2807"/>
      <c r="V14" s="3038" t="s">
        <v>1752</v>
      </c>
      <c r="W14" s="2581"/>
      <c r="X14" s="2581"/>
      <c r="Y14" s="2581"/>
      <c r="Z14" s="2581"/>
      <c r="AA14" s="2581"/>
      <c r="AB14" s="2581"/>
      <c r="AC14" s="2581"/>
      <c r="AD14" s="2581"/>
      <c r="AE14" s="2668"/>
    </row>
    <row r="15" spans="1:31" ht="12.75" customHeight="1" thickBot="1">
      <c r="A15" s="942"/>
      <c r="B15" s="959" t="s">
        <v>449</v>
      </c>
      <c r="C15" s="36"/>
      <c r="D15" s="952" t="s">
        <v>62</v>
      </c>
      <c r="E15" s="2889" t="str">
        <f>IF(E17&lt;&gt;"","",IF(OR(N14&lt;&gt;0,P15&lt;&gt;""),"X",""))</f>
        <v/>
      </c>
      <c r="F15" s="953" t="s">
        <v>750</v>
      </c>
      <c r="G15" s="953"/>
      <c r="H15" s="953"/>
      <c r="I15" s="192"/>
      <c r="J15" s="726" t="str">
        <f>IF(AND(E15&lt;&gt;"",E17&lt;&gt;""),"Check only ONE box.","")</f>
        <v/>
      </c>
      <c r="K15" s="4067">
        <v>5</v>
      </c>
      <c r="L15" s="4069" t="str">
        <f>IF(AND(E15="X",P15&lt;&gt;""),P15,IF(E15="X",N14,IF(E17="X",P17,"")))</f>
        <v/>
      </c>
      <c r="M15" s="1270"/>
      <c r="N15" s="4088"/>
      <c r="O15" s="1030"/>
      <c r="P15" s="1577"/>
      <c r="Q15" s="358"/>
      <c r="U15" s="2807"/>
      <c r="V15" s="3038" t="s">
        <v>1753</v>
      </c>
      <c r="W15" s="2581"/>
      <c r="X15" s="2581"/>
      <c r="Y15" s="2581"/>
      <c r="Z15" s="2581"/>
      <c r="AA15" s="2581"/>
      <c r="AB15" s="2581"/>
      <c r="AC15" s="2581"/>
      <c r="AD15" s="2581"/>
      <c r="AE15" s="2668"/>
    </row>
    <row r="16" spans="1:31" ht="5.25" customHeight="1" thickBot="1">
      <c r="A16" s="942"/>
      <c r="B16" s="959"/>
      <c r="C16" s="36"/>
      <c r="D16" s="952"/>
      <c r="E16" s="234"/>
      <c r="F16" s="952"/>
      <c r="G16" s="952"/>
      <c r="H16" s="952"/>
      <c r="I16" s="192"/>
      <c r="J16" s="910" t="s">
        <v>1566</v>
      </c>
      <c r="K16" s="4068"/>
      <c r="L16" s="4070"/>
      <c r="M16" s="1270"/>
      <c r="N16" s="4088"/>
      <c r="O16" s="1030"/>
      <c r="P16" s="1576"/>
      <c r="Q16" s="358"/>
      <c r="U16" s="3039"/>
      <c r="V16" s="2809"/>
      <c r="W16" s="2809"/>
      <c r="X16" s="2809"/>
      <c r="Y16" s="2809"/>
      <c r="Z16" s="2809"/>
      <c r="AA16" s="2809"/>
      <c r="AB16" s="2809"/>
      <c r="AC16" s="2809"/>
      <c r="AD16" s="2809"/>
      <c r="AE16" s="2810"/>
    </row>
    <row r="17" spans="1:34" ht="12.75" customHeight="1" thickBot="1">
      <c r="A17" s="942"/>
      <c r="B17" s="208"/>
      <c r="C17" s="36"/>
      <c r="D17" s="952" t="s">
        <v>85</v>
      </c>
      <c r="E17" s="2658"/>
      <c r="F17" s="953" t="s">
        <v>1565</v>
      </c>
      <c r="G17" s="953"/>
      <c r="H17" s="953"/>
      <c r="I17" s="192"/>
      <c r="J17" s="192"/>
      <c r="K17" s="462"/>
      <c r="L17" s="1398"/>
      <c r="M17" s="1270"/>
      <c r="N17" s="32"/>
      <c r="O17" s="1030"/>
      <c r="P17" s="1577"/>
      <c r="Q17" s="358"/>
    </row>
    <row r="18" spans="1:34" ht="12.75" customHeight="1">
      <c r="A18" s="942"/>
      <c r="B18" s="208"/>
      <c r="C18" s="36">
        <v>6</v>
      </c>
      <c r="D18" s="953" t="s">
        <v>1127</v>
      </c>
      <c r="E18" s="330"/>
      <c r="F18" s="953"/>
      <c r="G18" s="953"/>
      <c r="H18" s="953"/>
      <c r="I18" s="192"/>
      <c r="J18" s="910" t="s">
        <v>1128</v>
      </c>
      <c r="K18" s="458">
        <v>6</v>
      </c>
      <c r="L18" s="2583"/>
      <c r="M18" s="1270"/>
      <c r="N18" s="32"/>
      <c r="O18" s="1030"/>
      <c r="P18" s="2657" t="s">
        <v>1626</v>
      </c>
      <c r="Q18" s="358"/>
    </row>
    <row r="19" spans="1:34" ht="13.5" customHeight="1">
      <c r="A19" s="942"/>
      <c r="B19" s="208"/>
      <c r="C19" s="36">
        <v>7</v>
      </c>
      <c r="D19" s="953" t="s">
        <v>1125</v>
      </c>
      <c r="E19" s="330"/>
      <c r="F19" s="953"/>
      <c r="G19" s="953"/>
      <c r="H19" s="953"/>
      <c r="I19" s="192"/>
      <c r="J19" s="192"/>
      <c r="K19" s="458">
        <f>C19</f>
        <v>7</v>
      </c>
      <c r="L19" s="2583"/>
      <c r="M19" s="1270"/>
      <c r="N19" s="32"/>
      <c r="O19" s="1030"/>
      <c r="P19" s="1576"/>
      <c r="Q19" s="358"/>
    </row>
    <row r="20" spans="1:34" ht="14.25">
      <c r="A20" s="942"/>
      <c r="B20" s="208"/>
      <c r="C20" s="36">
        <v>8</v>
      </c>
      <c r="D20" s="953" t="s">
        <v>446</v>
      </c>
      <c r="E20" s="330"/>
      <c r="F20" s="953"/>
      <c r="G20" s="953"/>
      <c r="H20" s="953"/>
      <c r="I20" s="4079"/>
      <c r="J20" s="4080"/>
      <c r="K20" s="450"/>
      <c r="L20" s="360"/>
      <c r="M20" s="1270"/>
      <c r="N20" s="32"/>
      <c r="O20" s="1030"/>
      <c r="P20" s="1576"/>
      <c r="Q20" s="358"/>
    </row>
    <row r="21" spans="1:34" ht="13.5" thickBot="1">
      <c r="A21" s="942"/>
      <c r="B21" s="208"/>
      <c r="C21" s="36"/>
      <c r="D21" s="4081"/>
      <c r="E21" s="4081"/>
      <c r="F21" s="4081"/>
      <c r="G21" s="4081"/>
      <c r="H21" s="4081"/>
      <c r="I21" s="4081"/>
      <c r="J21" s="4082"/>
      <c r="K21" s="458">
        <v>8</v>
      </c>
      <c r="L21" s="2583"/>
      <c r="M21" s="1270"/>
      <c r="N21" s="32"/>
      <c r="O21" s="1030"/>
      <c r="P21" s="1576"/>
      <c r="Q21" s="358"/>
    </row>
    <row r="22" spans="1:34" ht="13.5" thickBot="1">
      <c r="A22" s="942"/>
      <c r="B22" s="27"/>
      <c r="C22" s="27">
        <v>9</v>
      </c>
      <c r="D22" s="954" t="str">
        <f>"Add lines "&amp;C14&amp;" through "&amp;C20</f>
        <v>Add lines 5 through 8</v>
      </c>
      <c r="E22" s="334"/>
      <c r="F22" s="954"/>
      <c r="G22" s="954"/>
      <c r="H22" s="954"/>
      <c r="I22" s="28"/>
      <c r="J22" s="28"/>
      <c r="K22" s="28"/>
      <c r="L22" s="1459" t="s">
        <v>970</v>
      </c>
      <c r="M22" s="459">
        <v>9</v>
      </c>
      <c r="N22" s="2930">
        <f>IF(P22&lt;&gt;"",P22,ROUND(SUM(L14:L21),0))</f>
        <v>0</v>
      </c>
      <c r="O22" s="1030"/>
      <c r="P22" s="1577"/>
      <c r="Q22" s="358"/>
      <c r="U22" s="3040"/>
      <c r="V22" s="2801"/>
      <c r="W22" s="2801"/>
      <c r="X22" s="2801"/>
      <c r="Y22" s="2801"/>
      <c r="Z22" s="2801"/>
      <c r="AA22" s="2801"/>
      <c r="AB22" s="2801"/>
      <c r="AC22" s="2801"/>
      <c r="AD22" s="2801"/>
      <c r="AE22" s="2801"/>
      <c r="AF22" s="2801"/>
      <c r="AG22" s="2801"/>
      <c r="AH22" s="2802"/>
    </row>
    <row r="23" spans="1:34" ht="15.75">
      <c r="A23" s="942"/>
      <c r="B23" s="460" t="s">
        <v>665</v>
      </c>
      <c r="C23" s="36">
        <v>10</v>
      </c>
      <c r="D23" s="953" t="s">
        <v>92</v>
      </c>
      <c r="E23" s="330"/>
      <c r="F23" s="953"/>
      <c r="G23" s="953"/>
      <c r="H23" s="953"/>
      <c r="I23" s="192"/>
      <c r="J23" s="192"/>
      <c r="K23" s="458">
        <v>10</v>
      </c>
      <c r="L23" s="2583"/>
      <c r="M23" s="1272"/>
      <c r="N23" s="32"/>
      <c r="O23" s="1030"/>
      <c r="P23" s="1576"/>
      <c r="Q23" s="358"/>
      <c r="U23" s="3041" t="s">
        <v>1746</v>
      </c>
      <c r="V23" s="2581"/>
      <c r="W23" s="2581"/>
      <c r="X23" s="2581"/>
      <c r="Y23" s="2581"/>
      <c r="Z23" s="2581"/>
      <c r="AA23" s="2581"/>
      <c r="AB23" s="2581"/>
      <c r="AC23" s="2581"/>
      <c r="AD23" s="2581"/>
      <c r="AE23" s="2581"/>
      <c r="AF23" s="3042" t="s">
        <v>300</v>
      </c>
      <c r="AG23" s="2581"/>
      <c r="AH23" s="2668"/>
    </row>
    <row r="24" spans="1:34" ht="15.75" thickBot="1">
      <c r="A24" s="942"/>
      <c r="B24" s="460" t="s">
        <v>749</v>
      </c>
      <c r="C24" s="36">
        <v>11</v>
      </c>
      <c r="D24" s="953" t="s">
        <v>23</v>
      </c>
      <c r="E24" s="330"/>
      <c r="F24" s="953"/>
      <c r="G24" s="953"/>
      <c r="H24" s="953"/>
      <c r="I24" s="192"/>
      <c r="J24" s="192"/>
      <c r="K24" s="452"/>
      <c r="L24" s="32"/>
      <c r="M24" s="1272"/>
      <c r="N24" s="32"/>
      <c r="O24" s="1030"/>
      <c r="P24" s="1576"/>
      <c r="Q24" s="358"/>
      <c r="U24" s="3039"/>
      <c r="V24" s="2809"/>
      <c r="W24" s="2809"/>
      <c r="X24" s="2809"/>
      <c r="Y24" s="2809"/>
      <c r="Z24" s="2809"/>
      <c r="AA24" s="2809"/>
      <c r="AB24" s="2809"/>
      <c r="AC24" s="2809"/>
      <c r="AD24" s="2809"/>
      <c r="AE24" s="2809"/>
      <c r="AF24" s="2809"/>
      <c r="AG24" s="2809"/>
      <c r="AH24" s="2810"/>
    </row>
    <row r="25" spans="1:34">
      <c r="A25" s="942"/>
      <c r="B25" s="208"/>
      <c r="C25" s="36"/>
      <c r="D25" s="953" t="s">
        <v>916</v>
      </c>
      <c r="E25" s="330"/>
      <c r="F25" s="953"/>
      <c r="G25" s="953"/>
      <c r="H25" s="953"/>
      <c r="I25" s="192"/>
      <c r="J25" s="192"/>
      <c r="K25" s="452"/>
      <c r="L25" s="32"/>
      <c r="M25" s="1272"/>
      <c r="N25" s="32"/>
      <c r="O25" s="1030"/>
      <c r="P25" s="1576"/>
      <c r="Q25" s="358"/>
      <c r="U25" s="3043"/>
      <c r="V25" s="3044"/>
      <c r="W25" s="3044"/>
      <c r="X25" s="3044"/>
      <c r="Y25" s="3044"/>
      <c r="Z25" s="3044"/>
      <c r="AA25" s="3044"/>
      <c r="AB25" s="3044"/>
      <c r="AC25" s="3044"/>
      <c r="AD25" s="3044"/>
      <c r="AE25" s="3044"/>
      <c r="AF25" s="3044"/>
      <c r="AG25" s="3044"/>
      <c r="AH25" s="2675"/>
    </row>
    <row r="26" spans="1:34" ht="14.25">
      <c r="A26" s="942"/>
      <c r="B26" s="206" t="s">
        <v>47</v>
      </c>
      <c r="C26" s="36"/>
      <c r="D26" s="953" t="s">
        <v>24</v>
      </c>
      <c r="E26" s="330"/>
      <c r="F26" s="953"/>
      <c r="G26" s="953"/>
      <c r="H26" s="953"/>
      <c r="I26" s="192"/>
      <c r="J26" s="192"/>
      <c r="K26" s="452"/>
      <c r="L26" s="32"/>
      <c r="M26" s="1272"/>
      <c r="N26" s="32"/>
      <c r="O26" s="1030"/>
      <c r="P26" s="1576"/>
      <c r="Q26" s="358"/>
      <c r="U26" s="3045" t="s">
        <v>506</v>
      </c>
      <c r="V26" s="3035" t="s">
        <v>1745</v>
      </c>
      <c r="W26" s="3046"/>
      <c r="X26" s="3046"/>
      <c r="Y26" s="3046"/>
      <c r="Z26" s="3046"/>
      <c r="AA26" s="3046"/>
      <c r="AB26" s="3046"/>
      <c r="AC26" s="3046"/>
      <c r="AD26" s="3046"/>
      <c r="AE26" s="3046"/>
      <c r="AF26" s="3047" t="s">
        <v>506</v>
      </c>
      <c r="AG26" s="3059">
        <f>SUM(N13,N22,N33,N39,N41,N52,N55)</f>
        <v>0</v>
      </c>
      <c r="AH26" s="2680"/>
    </row>
    <row r="27" spans="1:34">
      <c r="A27" s="942"/>
      <c r="B27" s="208" t="s">
        <v>917</v>
      </c>
      <c r="C27" s="36"/>
      <c r="D27" s="4086"/>
      <c r="E27" s="4056"/>
      <c r="F27" s="4056"/>
      <c r="G27" s="4056"/>
      <c r="H27" s="4056"/>
      <c r="I27" s="4056"/>
      <c r="J27" s="4057"/>
      <c r="K27" s="452"/>
      <c r="L27" s="32"/>
      <c r="M27" s="1272"/>
      <c r="N27" s="32"/>
      <c r="O27" s="1030"/>
      <c r="P27" s="1576"/>
      <c r="Q27" s="358"/>
      <c r="U27" s="3048"/>
      <c r="V27" s="3046"/>
      <c r="W27" s="3046"/>
      <c r="X27" s="3046"/>
      <c r="Y27" s="3046"/>
      <c r="Z27" s="3046"/>
      <c r="AA27" s="3046"/>
      <c r="AB27" s="3046"/>
      <c r="AC27" s="3046"/>
      <c r="AD27" s="3046"/>
      <c r="AE27" s="3046"/>
      <c r="AF27" s="3046"/>
      <c r="AG27" s="3046"/>
      <c r="AH27" s="2680"/>
    </row>
    <row r="28" spans="1:34">
      <c r="A28" s="942"/>
      <c r="B28" s="208" t="s">
        <v>918</v>
      </c>
      <c r="C28" s="36"/>
      <c r="D28" s="4083"/>
      <c r="E28" s="4084"/>
      <c r="F28" s="4084"/>
      <c r="G28" s="4084"/>
      <c r="H28" s="4084"/>
      <c r="I28" s="4084"/>
      <c r="J28" s="4085"/>
      <c r="K28" s="458">
        <v>11</v>
      </c>
      <c r="L28" s="2583"/>
      <c r="M28" s="1272"/>
      <c r="N28" s="32"/>
      <c r="O28" s="1030"/>
      <c r="P28" s="1576"/>
      <c r="Q28" s="358"/>
      <c r="U28" s="3045" t="s">
        <v>0</v>
      </c>
      <c r="V28" s="3035" t="s">
        <v>1744</v>
      </c>
      <c r="W28" s="3046"/>
      <c r="X28" s="3046"/>
      <c r="Y28" s="3046"/>
      <c r="Z28" s="3046"/>
      <c r="AA28" s="3046"/>
      <c r="AB28" s="3046"/>
      <c r="AC28" s="3046"/>
      <c r="AD28" s="3046"/>
      <c r="AE28" s="3046"/>
      <c r="AF28" s="3047" t="s">
        <v>0</v>
      </c>
      <c r="AG28" s="3059">
        <f>SUM(N13,L32,N41,Gambling_Loss)</f>
        <v>0</v>
      </c>
      <c r="AH28" s="2680"/>
    </row>
    <row r="29" spans="1:34">
      <c r="A29" s="942"/>
      <c r="B29" s="208" t="s">
        <v>919</v>
      </c>
      <c r="C29" s="36">
        <v>12</v>
      </c>
      <c r="D29" s="953" t="s">
        <v>922</v>
      </c>
      <c r="E29" s="330"/>
      <c r="F29" s="953"/>
      <c r="G29" s="953"/>
      <c r="H29" s="953"/>
      <c r="I29" s="192"/>
      <c r="J29" s="192"/>
      <c r="K29" s="452"/>
      <c r="L29" s="32"/>
      <c r="M29" s="1272"/>
      <c r="N29" s="32"/>
      <c r="O29" s="1030"/>
      <c r="P29" s="1576"/>
      <c r="Q29" s="358"/>
      <c r="U29" s="3048"/>
      <c r="V29" s="3035" t="s">
        <v>1743</v>
      </c>
      <c r="W29" s="3046"/>
      <c r="X29" s="3046"/>
      <c r="Y29" s="3046"/>
      <c r="Z29" s="3046"/>
      <c r="AA29" s="3046"/>
      <c r="AB29" s="3046"/>
      <c r="AC29" s="3046"/>
      <c r="AD29" s="3046"/>
      <c r="AE29" s="3046"/>
      <c r="AF29" s="3046"/>
      <c r="AG29" s="3046"/>
      <c r="AH29" s="2680"/>
    </row>
    <row r="30" spans="1:34" ht="13.5" thickBot="1">
      <c r="A30" s="942"/>
      <c r="B30" s="208" t="s">
        <v>920</v>
      </c>
      <c r="C30" s="36"/>
      <c r="D30" s="953" t="s">
        <v>438</v>
      </c>
      <c r="E30" s="330"/>
      <c r="F30" s="953"/>
      <c r="G30" s="953"/>
      <c r="H30" s="953"/>
      <c r="I30" s="192"/>
      <c r="J30" s="192"/>
      <c r="K30" s="458">
        <v>12</v>
      </c>
      <c r="L30" s="2583"/>
      <c r="M30" s="1272"/>
      <c r="N30" s="32"/>
      <c r="O30" s="1030"/>
      <c r="P30" s="1576"/>
      <c r="Q30" s="358"/>
      <c r="U30" s="3048"/>
      <c r="V30" s="3049"/>
      <c r="W30" s="3049"/>
      <c r="X30" s="3049"/>
      <c r="Y30" s="3049"/>
      <c r="Z30" s="3049"/>
      <c r="AA30" s="3049"/>
      <c r="AB30" s="3049"/>
      <c r="AC30" s="3049"/>
      <c r="AD30" s="3049"/>
      <c r="AE30" s="3049"/>
      <c r="AF30" s="3046"/>
      <c r="AG30" s="3046"/>
      <c r="AH30" s="2680"/>
    </row>
    <row r="31" spans="1:34">
      <c r="A31" s="942"/>
      <c r="B31" s="208" t="s">
        <v>921</v>
      </c>
      <c r="C31" s="36">
        <v>13</v>
      </c>
      <c r="D31" s="955" t="s">
        <v>1567</v>
      </c>
      <c r="E31" s="234"/>
      <c r="F31" s="955"/>
      <c r="G31" s="955"/>
      <c r="H31" s="955"/>
      <c r="I31" s="192"/>
      <c r="J31" s="192"/>
      <c r="K31" s="458">
        <f>C31</f>
        <v>13</v>
      </c>
      <c r="L31" s="2583"/>
      <c r="M31" s="1272"/>
      <c r="N31" s="32"/>
      <c r="O31" s="1031"/>
      <c r="P31" s="1578"/>
      <c r="Q31" s="359"/>
      <c r="U31" s="3048"/>
      <c r="V31" s="3046"/>
      <c r="W31" s="3046"/>
      <c r="X31" s="3046"/>
      <c r="Y31" s="3046"/>
      <c r="Z31" s="3046"/>
      <c r="AA31" s="3046"/>
      <c r="AB31" s="3046"/>
      <c r="AC31" s="3046"/>
      <c r="AD31" s="3046"/>
      <c r="AE31" s="3046"/>
      <c r="AF31" s="3046"/>
      <c r="AG31" s="3046"/>
      <c r="AH31" s="2680"/>
    </row>
    <row r="32" spans="1:34" ht="13.5" thickBot="1">
      <c r="A32" s="942"/>
      <c r="B32" s="34"/>
      <c r="C32" s="36">
        <v>14</v>
      </c>
      <c r="D32" s="953" t="s">
        <v>923</v>
      </c>
      <c r="E32" s="234"/>
      <c r="F32" s="955"/>
      <c r="G32" s="955"/>
      <c r="H32" s="955"/>
      <c r="I32" s="192"/>
      <c r="J32" s="192"/>
      <c r="K32" s="458">
        <f>C32</f>
        <v>14</v>
      </c>
      <c r="L32" s="2583"/>
      <c r="M32" s="1272"/>
      <c r="N32" s="32"/>
      <c r="O32" s="1031"/>
      <c r="P32" s="1578"/>
      <c r="Q32" s="359"/>
      <c r="U32" s="3048"/>
      <c r="V32" s="3046"/>
      <c r="W32" s="3046"/>
      <c r="X32" s="3035" t="s">
        <v>1742</v>
      </c>
      <c r="Y32" s="3046"/>
      <c r="Z32" s="3046"/>
      <c r="AA32" s="3046"/>
      <c r="AB32" s="3046"/>
      <c r="AC32" s="3046"/>
      <c r="AD32" s="3046"/>
      <c r="AE32" s="3046"/>
      <c r="AF32" s="3046"/>
      <c r="AG32" s="3046"/>
      <c r="AH32" s="2680"/>
    </row>
    <row r="33" spans="1:36" ht="13.5" thickBot="1">
      <c r="A33" s="942"/>
      <c r="B33" s="27"/>
      <c r="C33" s="27">
        <v>15</v>
      </c>
      <c r="D33" s="954" t="str">
        <f>"Add lines "&amp;C23&amp;" through "&amp;K32</f>
        <v>Add lines 10 through 14</v>
      </c>
      <c r="E33" s="334"/>
      <c r="F33" s="954"/>
      <c r="G33" s="954"/>
      <c r="H33" s="954"/>
      <c r="I33" s="28"/>
      <c r="J33" s="28"/>
      <c r="K33" s="28"/>
      <c r="L33" s="1459" t="s">
        <v>971</v>
      </c>
      <c r="M33" s="458">
        <f>C33</f>
        <v>15</v>
      </c>
      <c r="N33" s="2930">
        <f>IF(P33&lt;&gt;"",P33,ROUND(SUM(L23:L32),0))</f>
        <v>0</v>
      </c>
      <c r="O33" s="1031"/>
      <c r="P33" s="1577"/>
      <c r="Q33" s="779"/>
      <c r="U33" s="3048"/>
      <c r="V33" s="3046"/>
      <c r="W33" s="3046"/>
      <c r="X33" s="3035" t="s">
        <v>1741</v>
      </c>
      <c r="Y33" s="3046"/>
      <c r="Z33" s="3046"/>
      <c r="AA33" s="3046"/>
      <c r="AB33" s="3046"/>
      <c r="AC33" s="3046"/>
      <c r="AD33" s="3046"/>
      <c r="AE33" s="3046"/>
      <c r="AF33" s="3046"/>
      <c r="AG33" s="3046"/>
      <c r="AH33" s="2680"/>
    </row>
    <row r="34" spans="1:36" ht="13.5" customHeight="1" thickBot="1">
      <c r="A34" s="942"/>
      <c r="B34" s="460" t="s">
        <v>572</v>
      </c>
      <c r="C34" s="36">
        <v>16</v>
      </c>
      <c r="D34" s="953" t="s">
        <v>924</v>
      </c>
      <c r="E34" s="330"/>
      <c r="F34" s="953"/>
      <c r="G34" s="953"/>
      <c r="H34" s="953"/>
      <c r="I34" s="192"/>
      <c r="J34" s="192"/>
      <c r="K34" s="452"/>
      <c r="L34" s="32"/>
      <c r="M34" s="1272"/>
      <c r="N34" s="32"/>
      <c r="O34" s="1030"/>
      <c r="P34" s="1576"/>
      <c r="Q34" s="420"/>
      <c r="U34" s="3048"/>
      <c r="V34" s="3049"/>
      <c r="W34" s="3049"/>
      <c r="X34" s="3049"/>
      <c r="Y34" s="3049"/>
      <c r="Z34" s="3049"/>
      <c r="AA34" s="3049"/>
      <c r="AB34" s="3049"/>
      <c r="AC34" s="3049"/>
      <c r="AD34" s="3049"/>
      <c r="AE34" s="3049"/>
      <c r="AF34" s="3046"/>
      <c r="AG34" s="3046"/>
      <c r="AH34" s="2680"/>
    </row>
    <row r="35" spans="1:36" ht="14.25" customHeight="1">
      <c r="A35" s="942"/>
      <c r="B35" s="460" t="s">
        <v>573</v>
      </c>
      <c r="C35" s="36"/>
      <c r="D35" s="362" t="s">
        <v>925</v>
      </c>
      <c r="E35" s="362"/>
      <c r="F35" s="362"/>
      <c r="G35" s="362"/>
      <c r="H35" s="362"/>
      <c r="I35" s="192"/>
      <c r="J35" s="192"/>
      <c r="K35" s="458">
        <f>C34</f>
        <v>16</v>
      </c>
      <c r="L35" s="2583"/>
      <c r="M35" s="1272"/>
      <c r="N35" s="33"/>
      <c r="O35" s="1030"/>
      <c r="P35" s="1576"/>
      <c r="Q35" s="420"/>
      <c r="U35" s="3048"/>
      <c r="V35" s="3046"/>
      <c r="W35" s="3046"/>
      <c r="X35" s="3046"/>
      <c r="Y35" s="3046"/>
      <c r="Z35" s="3046"/>
      <c r="AA35" s="3046"/>
      <c r="AB35" s="3046"/>
      <c r="AC35" s="3046"/>
      <c r="AD35" s="3046"/>
      <c r="AE35" s="3046"/>
      <c r="AF35" s="3046"/>
      <c r="AG35" s="3046"/>
      <c r="AH35" s="2680"/>
    </row>
    <row r="36" spans="1:36" ht="11.25" customHeight="1">
      <c r="A36" s="942"/>
      <c r="B36" s="208" t="s">
        <v>574</v>
      </c>
      <c r="C36" s="36">
        <v>17</v>
      </c>
      <c r="D36" s="893" t="s">
        <v>930</v>
      </c>
      <c r="E36" s="893"/>
      <c r="F36" s="893"/>
      <c r="G36" s="893"/>
      <c r="H36" s="893"/>
      <c r="I36" s="192"/>
      <c r="J36" s="192"/>
      <c r="K36" s="463"/>
      <c r="L36" s="32"/>
      <c r="M36" s="1272"/>
      <c r="N36" s="32"/>
      <c r="O36" s="1030"/>
      <c r="P36" s="1576"/>
      <c r="Q36" s="420"/>
      <c r="U36" s="3045" t="s">
        <v>1</v>
      </c>
      <c r="V36" s="3035" t="s">
        <v>1740</v>
      </c>
      <c r="W36" s="3046"/>
      <c r="X36" s="3046"/>
      <c r="Y36" s="3046"/>
      <c r="Z36" s="3046"/>
      <c r="AA36" s="3046"/>
      <c r="AB36" s="3046"/>
      <c r="AC36" s="3046"/>
      <c r="AD36" s="3046"/>
      <c r="AE36" s="3046"/>
      <c r="AF36" s="3046"/>
      <c r="AG36" s="3046"/>
      <c r="AH36" s="2680"/>
    </row>
    <row r="37" spans="1:36" ht="12.75" customHeight="1" thickBot="1">
      <c r="A37" s="942"/>
      <c r="B37" s="208" t="s">
        <v>575</v>
      </c>
      <c r="C37" s="36"/>
      <c r="D37" s="894" t="s">
        <v>931</v>
      </c>
      <c r="E37" s="894"/>
      <c r="F37" s="894"/>
      <c r="G37" s="894"/>
      <c r="H37" s="894"/>
      <c r="I37" s="192"/>
      <c r="J37" s="192"/>
      <c r="K37" s="459">
        <f>C36</f>
        <v>17</v>
      </c>
      <c r="L37" s="2583"/>
      <c r="M37" s="1272"/>
      <c r="N37" s="32"/>
      <c r="O37" s="1030"/>
      <c r="P37" s="1576"/>
      <c r="Q37" s="420"/>
      <c r="U37" s="3050"/>
      <c r="V37" s="3046"/>
      <c r="W37" s="3046"/>
      <c r="X37" s="3046"/>
      <c r="Y37" s="3046"/>
      <c r="Z37" s="3046"/>
      <c r="AA37" s="3046"/>
      <c r="AB37" s="3046"/>
      <c r="AC37" s="3046"/>
      <c r="AD37" s="3046"/>
      <c r="AE37" s="3046"/>
      <c r="AF37" s="3046"/>
      <c r="AG37" s="3046"/>
      <c r="AH37" s="2680"/>
    </row>
    <row r="38" spans="1:36" ht="13.5" thickBot="1">
      <c r="A38" s="942"/>
      <c r="B38" s="34" t="s">
        <v>576</v>
      </c>
      <c r="C38" s="36">
        <v>18</v>
      </c>
      <c r="D38" s="953" t="s">
        <v>191</v>
      </c>
      <c r="E38" s="330"/>
      <c r="F38" s="953"/>
      <c r="G38" s="953"/>
      <c r="H38" s="953"/>
      <c r="I38" s="192"/>
      <c r="J38" s="192"/>
      <c r="K38" s="458">
        <f>C38</f>
        <v>18</v>
      </c>
      <c r="L38" s="2583"/>
      <c r="M38" s="1272"/>
      <c r="N38" s="32"/>
      <c r="O38" s="1030"/>
      <c r="P38" s="1576"/>
      <c r="Q38" s="420"/>
      <c r="U38" s="3048"/>
      <c r="V38" s="3345" t="str">
        <f>IF(AG28&lt;AG26,"","X")</f>
        <v>X</v>
      </c>
      <c r="W38" s="3051" t="s">
        <v>711</v>
      </c>
      <c r="X38" s="3052" t="s">
        <v>1722</v>
      </c>
      <c r="Y38" s="3035" t="s">
        <v>1738</v>
      </c>
      <c r="Z38" s="3046"/>
      <c r="AA38" s="3046"/>
      <c r="AB38" s="3046"/>
      <c r="AC38" s="3046"/>
      <c r="AD38" s="3046"/>
      <c r="AE38" s="3046"/>
      <c r="AF38" s="3046"/>
      <c r="AG38" s="3046"/>
      <c r="AH38" s="2680"/>
    </row>
    <row r="39" spans="1:36" ht="15" customHeight="1" thickBot="1">
      <c r="A39" s="942"/>
      <c r="B39" s="210" t="s">
        <v>935</v>
      </c>
      <c r="C39" s="27">
        <v>19</v>
      </c>
      <c r="D39" s="954" t="str">
        <f>"Add lines "&amp;C34&amp;" through "&amp;C38</f>
        <v>Add lines 16 through 18</v>
      </c>
      <c r="E39" s="334"/>
      <c r="F39" s="954"/>
      <c r="G39" s="954"/>
      <c r="H39" s="954"/>
      <c r="I39" s="27"/>
      <c r="J39" s="27"/>
      <c r="K39" s="27"/>
      <c r="L39" s="1459" t="s">
        <v>1177</v>
      </c>
      <c r="M39" s="458">
        <f>C39</f>
        <v>19</v>
      </c>
      <c r="N39" s="2930">
        <f>IF(P39&lt;&gt;"",P39,ROUND(SUM(L35,L37,L38),0))</f>
        <v>0</v>
      </c>
      <c r="O39" s="1030"/>
      <c r="P39" s="1577"/>
      <c r="Q39" s="358"/>
      <c r="U39" s="3048"/>
      <c r="V39" s="3046"/>
      <c r="W39" s="3053" t="s">
        <v>1750</v>
      </c>
      <c r="X39" s="3046"/>
      <c r="Y39" s="3046"/>
      <c r="Z39" s="3046"/>
      <c r="AA39" s="3046"/>
      <c r="AB39" s="3046"/>
      <c r="AC39" s="3046"/>
      <c r="AD39" s="3046"/>
      <c r="AE39" s="3046"/>
      <c r="AF39" s="3046"/>
      <c r="AG39" s="3046"/>
      <c r="AH39" s="2680"/>
    </row>
    <row r="40" spans="1:36" ht="15.75" thickBot="1">
      <c r="A40" s="942"/>
      <c r="B40" s="460" t="s">
        <v>529</v>
      </c>
      <c r="C40" s="4071" t="str">
        <f>IF(OR(N41="",O41&lt;&gt;""),"",IF(AND(N41&lt;&gt;0,N41&lt;(0.1*Adj_Gross_Inc)),"Loss is &lt;10% of Form 1040, Line 37.  See Sch. A instructions.   (Check box at right to hide this.)",""))</f>
        <v/>
      </c>
      <c r="D40" s="4072"/>
      <c r="E40" s="4072"/>
      <c r="F40" s="4072"/>
      <c r="G40" s="4072"/>
      <c r="H40" s="4072"/>
      <c r="I40" s="4072"/>
      <c r="J40" s="4072"/>
      <c r="K40" s="4072"/>
      <c r="L40" s="4073"/>
      <c r="M40" s="1272"/>
      <c r="N40" s="32"/>
      <c r="O40" s="1030"/>
      <c r="P40" s="1576"/>
      <c r="Q40" s="358"/>
      <c r="U40" s="3048"/>
      <c r="V40" s="3046"/>
      <c r="W40" s="3046"/>
      <c r="X40" s="3046"/>
      <c r="Y40" s="3046"/>
      <c r="Z40" s="3046"/>
      <c r="AA40" s="3046"/>
      <c r="AB40" s="3046"/>
      <c r="AC40" s="3046"/>
      <c r="AD40" s="3046"/>
      <c r="AE40" s="3046"/>
      <c r="AF40" s="3046"/>
      <c r="AG40" s="3046"/>
      <c r="AH40" s="2680"/>
    </row>
    <row r="41" spans="1:36" ht="15.75" thickBot="1">
      <c r="A41" s="942"/>
      <c r="B41" s="299" t="s">
        <v>439</v>
      </c>
      <c r="C41" s="27">
        <v>20</v>
      </c>
      <c r="D41" s="954" t="s">
        <v>926</v>
      </c>
      <c r="E41" s="334"/>
      <c r="F41" s="954"/>
      <c r="G41" s="954"/>
      <c r="H41" s="954"/>
      <c r="I41" s="27"/>
      <c r="J41" s="27"/>
      <c r="K41" s="27"/>
      <c r="L41" s="211"/>
      <c r="M41" s="458">
        <f>C41</f>
        <v>20</v>
      </c>
      <c r="N41" s="2583"/>
      <c r="O41" s="1544"/>
      <c r="P41" s="1576"/>
      <c r="Q41" s="358"/>
      <c r="U41" s="3048"/>
      <c r="V41" s="3345" t="str">
        <f>IF(AG28&lt;AG26,"X","")</f>
        <v/>
      </c>
      <c r="W41" s="3035" t="s">
        <v>1739</v>
      </c>
      <c r="X41" s="3046"/>
      <c r="Y41" s="3046"/>
      <c r="Z41" s="3046"/>
      <c r="AA41" s="3046"/>
      <c r="AB41" s="3046"/>
      <c r="AC41" s="3046"/>
      <c r="AD41" s="3046"/>
      <c r="AE41" s="3046"/>
      <c r="AF41" s="3047" t="s">
        <v>1</v>
      </c>
      <c r="AG41" s="3059" t="str">
        <f>IF(V41&lt;&gt;"",SUM(AG26,-AG28),"")</f>
        <v/>
      </c>
      <c r="AH41" s="2680"/>
    </row>
    <row r="42" spans="1:36" ht="15">
      <c r="A42" s="942"/>
      <c r="B42" s="460" t="s">
        <v>314</v>
      </c>
      <c r="C42" s="36">
        <v>21</v>
      </c>
      <c r="D42" s="953" t="s">
        <v>929</v>
      </c>
      <c r="E42" s="330"/>
      <c r="F42" s="953"/>
      <c r="G42" s="953"/>
      <c r="H42" s="953"/>
      <c r="I42" s="192"/>
      <c r="J42" s="192"/>
      <c r="K42" s="451"/>
      <c r="L42" s="32"/>
      <c r="M42" s="1272"/>
      <c r="N42" s="32"/>
      <c r="O42" s="1030"/>
      <c r="P42" s="1576"/>
      <c r="Q42" s="358"/>
      <c r="U42" s="3048"/>
      <c r="V42" s="3046"/>
      <c r="W42" s="3046"/>
      <c r="X42" s="3046"/>
      <c r="Y42" s="3046"/>
      <c r="Z42" s="3046"/>
      <c r="AA42" s="3046"/>
      <c r="AB42" s="3046"/>
      <c r="AC42" s="3046"/>
      <c r="AD42" s="3046"/>
      <c r="AE42" s="3046"/>
      <c r="AF42" s="3046"/>
      <c r="AG42" s="3046"/>
      <c r="AH42" s="2680"/>
    </row>
    <row r="43" spans="1:36" ht="15">
      <c r="A43" s="942"/>
      <c r="B43" s="460" t="s">
        <v>267</v>
      </c>
      <c r="C43" s="36"/>
      <c r="D43" s="953" t="s">
        <v>928</v>
      </c>
      <c r="E43" s="330"/>
      <c r="F43" s="953"/>
      <c r="G43" s="953"/>
      <c r="H43" s="953"/>
      <c r="I43" s="192"/>
      <c r="J43" s="192"/>
      <c r="K43" s="451"/>
      <c r="L43" s="32"/>
      <c r="M43" s="1272"/>
      <c r="N43" s="32"/>
      <c r="O43" s="1030"/>
      <c r="P43" s="1576"/>
      <c r="Q43" s="358"/>
      <c r="U43" s="3045" t="s">
        <v>686</v>
      </c>
      <c r="V43" s="3035" t="str">
        <f>"Multiply line 3 by "&amp;TEXT(Z43,"0%")&amp;" ("&amp;TEXT(Z43,".00")&amp;")"</f>
        <v>Multiply line 3 by 80% (.80)</v>
      </c>
      <c r="W43" s="3046"/>
      <c r="X43" s="3046"/>
      <c r="Y43" s="3046"/>
      <c r="Z43" s="3054">
        <v>0.8</v>
      </c>
      <c r="AA43" s="3046"/>
      <c r="AB43" s="3046"/>
      <c r="AC43" s="3047" t="s">
        <v>686</v>
      </c>
      <c r="AD43" s="3059" t="str">
        <f>IF(V41&lt;&gt;"",ROUND(AG41*Z43,0),"")</f>
        <v/>
      </c>
      <c r="AE43" s="3046"/>
      <c r="AF43" s="3046"/>
      <c r="AG43" s="3046"/>
      <c r="AH43" s="2680"/>
      <c r="AJ43" s="1623"/>
    </row>
    <row r="44" spans="1:36" ht="15">
      <c r="A44" s="942"/>
      <c r="B44" s="460" t="s">
        <v>743</v>
      </c>
      <c r="C44" s="36"/>
      <c r="D44" s="953" t="s">
        <v>927</v>
      </c>
      <c r="E44" s="330"/>
      <c r="F44" s="1615"/>
      <c r="G44" s="4063"/>
      <c r="H44" s="4064"/>
      <c r="I44" s="4064"/>
      <c r="J44" s="4065"/>
      <c r="K44" s="458">
        <f>C42</f>
        <v>21</v>
      </c>
      <c r="L44" s="2583"/>
      <c r="M44" s="1272"/>
      <c r="N44" s="32"/>
      <c r="O44" s="1030"/>
      <c r="P44" s="1576"/>
      <c r="Q44" s="358"/>
      <c r="U44" s="3048"/>
      <c r="V44" s="3046"/>
      <c r="W44" s="3046"/>
      <c r="X44" s="3046"/>
      <c r="Y44" s="3046"/>
      <c r="Z44" s="3046"/>
      <c r="AA44" s="3046"/>
      <c r="AB44" s="3046"/>
      <c r="AC44" s="3046"/>
      <c r="AD44" s="3046"/>
      <c r="AE44" s="3046"/>
      <c r="AF44" s="3046"/>
      <c r="AG44" s="3046"/>
      <c r="AH44" s="2680"/>
    </row>
    <row r="45" spans="1:36" ht="15">
      <c r="A45" s="942"/>
      <c r="B45" s="460" t="s">
        <v>744</v>
      </c>
      <c r="C45" s="36">
        <v>22</v>
      </c>
      <c r="D45" s="953" t="s">
        <v>91</v>
      </c>
      <c r="E45" s="330"/>
      <c r="F45" s="953"/>
      <c r="G45" s="953"/>
      <c r="H45" s="953"/>
      <c r="I45" s="192"/>
      <c r="J45" s="192"/>
      <c r="K45" s="458">
        <f>C45</f>
        <v>22</v>
      </c>
      <c r="L45" s="2583"/>
      <c r="M45" s="1272"/>
      <c r="N45" s="32"/>
      <c r="O45" s="1030"/>
      <c r="P45" s="1576"/>
      <c r="Q45" s="358"/>
      <c r="U45" s="3045" t="s">
        <v>54</v>
      </c>
      <c r="V45" s="3035" t="s">
        <v>1720</v>
      </c>
      <c r="W45" s="3046"/>
      <c r="X45" s="3046"/>
      <c r="Y45" s="3046"/>
      <c r="Z45" s="3046"/>
      <c r="AA45" s="3046"/>
      <c r="AB45" s="3046"/>
      <c r="AC45" s="3047" t="s">
        <v>54</v>
      </c>
      <c r="AD45" s="3059" t="str">
        <f>IF(V41&lt;&gt;"",Adj_Gross_Inc,"")</f>
        <v/>
      </c>
      <c r="AE45" s="3046"/>
      <c r="AF45" s="3046"/>
      <c r="AG45" s="3046"/>
      <c r="AH45" s="2680"/>
    </row>
    <row r="46" spans="1:36">
      <c r="A46" s="942"/>
      <c r="B46" s="208" t="s">
        <v>748</v>
      </c>
      <c r="C46" s="36">
        <v>23</v>
      </c>
      <c r="D46" s="953" t="s">
        <v>932</v>
      </c>
      <c r="E46" s="330"/>
      <c r="F46" s="953"/>
      <c r="G46" s="953"/>
      <c r="H46" s="953"/>
      <c r="I46" s="192"/>
      <c r="J46" s="192"/>
      <c r="K46" s="451"/>
      <c r="L46" s="32"/>
      <c r="M46" s="1272"/>
      <c r="N46" s="32"/>
      <c r="O46" s="1030"/>
      <c r="P46" s="1576"/>
      <c r="Q46" s="358"/>
      <c r="U46" s="3048"/>
      <c r="V46" s="3046"/>
      <c r="W46" s="3046"/>
      <c r="X46" s="3046"/>
      <c r="Y46" s="3046"/>
      <c r="Z46" s="3046"/>
      <c r="AA46" s="3046"/>
      <c r="AB46" s="3046"/>
      <c r="AC46" s="3046"/>
      <c r="AD46" s="3046"/>
      <c r="AE46" s="3046"/>
      <c r="AF46" s="3046"/>
      <c r="AG46" s="3344">
        <f>'1040'!BG113</f>
        <v>305050</v>
      </c>
      <c r="AH46" s="2680"/>
    </row>
    <row r="47" spans="1:36" ht="13.5">
      <c r="A47" s="942"/>
      <c r="B47" s="208" t="s">
        <v>649</v>
      </c>
      <c r="C47" s="36"/>
      <c r="D47" s="953" t="s">
        <v>933</v>
      </c>
      <c r="E47" s="330"/>
      <c r="F47" s="953"/>
      <c r="G47" s="4063"/>
      <c r="H47" s="4064"/>
      <c r="I47" s="4064"/>
      <c r="J47" s="4065"/>
      <c r="K47" s="451"/>
      <c r="L47" s="32"/>
      <c r="M47" s="1272"/>
      <c r="N47" s="32"/>
      <c r="O47" s="1030"/>
      <c r="P47" s="1576"/>
      <c r="Q47" s="358"/>
      <c r="U47" s="3045" t="s">
        <v>125</v>
      </c>
      <c r="V47" s="3035" t="str">
        <f>"Enter "&amp;TEXT(AG46,"$0,000")&amp;" if married filing jointly or qualifying widow(er); "&amp;TEXT(AG47,"$0,000")&amp;" if head of household;"</f>
        <v>Enter $305,050 if married filing jointly or qualifying widow(er); $279,650 if head of household;</v>
      </c>
      <c r="W47" s="3046"/>
      <c r="X47" s="3046"/>
      <c r="Y47" s="3046"/>
      <c r="Z47" s="3046"/>
      <c r="AA47" s="3046"/>
      <c r="AB47" s="3046"/>
      <c r="AC47" s="3046"/>
      <c r="AD47" s="3046"/>
      <c r="AE47" s="3046"/>
      <c r="AF47" s="3046"/>
      <c r="AG47" s="3344">
        <f>'1040'!BG116</f>
        <v>279650</v>
      </c>
      <c r="AH47" s="2680"/>
    </row>
    <row r="48" spans="1:36">
      <c r="A48" s="942"/>
      <c r="B48" s="208"/>
      <c r="C48" s="36"/>
      <c r="D48" s="4061"/>
      <c r="E48" s="4061"/>
      <c r="F48" s="4061"/>
      <c r="G48" s="4061"/>
      <c r="H48" s="4061"/>
      <c r="I48" s="4061"/>
      <c r="J48" s="4062"/>
      <c r="K48" s="458">
        <f>C46</f>
        <v>23</v>
      </c>
      <c r="L48" s="2583"/>
      <c r="M48" s="1272"/>
      <c r="N48" s="32"/>
      <c r="O48" s="1030"/>
      <c r="P48" s="1576"/>
      <c r="Q48" s="358"/>
      <c r="U48" s="3048"/>
      <c r="V48" s="3035" t="str">
        <f>TEXT(AG48,"$0,000")&amp;" if single; or "&amp;TEXT(AG49,"$0,000")&amp;" if married filing separately"</f>
        <v>$254,200 if single; or $152,525 if married filing separately</v>
      </c>
      <c r="W48" s="3046"/>
      <c r="X48" s="3046"/>
      <c r="Y48" s="3046"/>
      <c r="Z48" s="3046"/>
      <c r="AA48" s="3046"/>
      <c r="AB48" s="3046"/>
      <c r="AC48" s="3047" t="s">
        <v>125</v>
      </c>
      <c r="AD48" s="3059" t="str">
        <f>IF(V41&lt;&gt;"",IF(OR(File_Qual_Widow&lt;&gt;"",File_Marr_Joint&lt;&gt;""),AG46,IF(File_Head&lt;&gt;"",AG47,IF(File_Single&lt;&gt;"",AG48,IF(File_Marr_Sep&lt;&gt;"",AG49,"Filing status?")))),"")</f>
        <v/>
      </c>
      <c r="AE48" s="3046"/>
      <c r="AF48" s="3046"/>
      <c r="AG48" s="3344">
        <f>'1040'!BG112</f>
        <v>254200</v>
      </c>
      <c r="AH48" s="2680"/>
    </row>
    <row r="49" spans="1:36">
      <c r="A49" s="942"/>
      <c r="B49" s="208"/>
      <c r="C49" s="36">
        <v>24</v>
      </c>
      <c r="D49" s="1460" t="str">
        <f>"Add lines "&amp;C42&amp;" through "&amp;C46</f>
        <v>Add lines 21 through 23</v>
      </c>
      <c r="E49" s="330"/>
      <c r="F49" s="953"/>
      <c r="G49" s="953"/>
      <c r="H49" s="953"/>
      <c r="I49" s="192"/>
      <c r="J49" s="727" t="s">
        <v>196</v>
      </c>
      <c r="K49" s="458">
        <f>C49</f>
        <v>24</v>
      </c>
      <c r="L49" s="2930">
        <f>ROUND((L44+L45+L48),0)</f>
        <v>0</v>
      </c>
      <c r="M49" s="1272"/>
      <c r="N49" s="32"/>
      <c r="O49" s="1030"/>
      <c r="P49" s="1576"/>
      <c r="Q49" s="358"/>
      <c r="U49" s="3048"/>
      <c r="V49" s="3046"/>
      <c r="W49" s="3046"/>
      <c r="X49" s="3046"/>
      <c r="Y49" s="3046"/>
      <c r="Z49" s="3046"/>
      <c r="AA49" s="3046"/>
      <c r="AB49" s="3046"/>
      <c r="AC49" s="3046"/>
      <c r="AD49" s="3046"/>
      <c r="AE49" s="3046"/>
      <c r="AF49" s="3046"/>
      <c r="AG49" s="3344">
        <f>'1040'!BG114</f>
        <v>152525</v>
      </c>
      <c r="AH49" s="2680"/>
    </row>
    <row r="50" spans="1:36">
      <c r="A50" s="942"/>
      <c r="B50" s="208"/>
      <c r="C50" s="36">
        <v>25</v>
      </c>
      <c r="D50" s="953" t="str">
        <f>"Enter amount from Form 1040, line "&amp;'1040'!D73</f>
        <v>Enter amount from Form 1040, line 38</v>
      </c>
      <c r="E50" s="330"/>
      <c r="F50" s="953"/>
      <c r="G50" s="953"/>
      <c r="H50" s="953"/>
      <c r="I50" s="458">
        <f>C50</f>
        <v>25</v>
      </c>
      <c r="J50" s="2930">
        <f>Adj_Gross_Inc</f>
        <v>0</v>
      </c>
      <c r="K50" s="451"/>
      <c r="L50" s="32"/>
      <c r="M50" s="1272"/>
      <c r="N50" s="32"/>
      <c r="O50" s="1030"/>
      <c r="P50" s="1576"/>
      <c r="Q50" s="358"/>
      <c r="U50" s="3045" t="s">
        <v>126</v>
      </c>
      <c r="V50" s="3035" t="s">
        <v>384</v>
      </c>
      <c r="W50" s="3046"/>
      <c r="X50" s="3046"/>
      <c r="Y50" s="3046"/>
      <c r="Z50" s="3046"/>
      <c r="AA50" s="3046"/>
      <c r="AB50" s="3046"/>
      <c r="AC50" s="3046"/>
      <c r="AD50" s="3046"/>
      <c r="AE50" s="3046"/>
      <c r="AF50" s="3046"/>
      <c r="AG50" s="3046"/>
      <c r="AH50" s="2680"/>
    </row>
    <row r="51" spans="1:36" ht="13.5" thickBot="1">
      <c r="A51" s="942"/>
      <c r="B51" s="208"/>
      <c r="C51" s="36">
        <v>26</v>
      </c>
      <c r="D51" s="953" t="str">
        <f>"Multiply line "&amp;C50&amp;" above by "&amp;TEXT(N51,"0%")&amp;" ("&amp;TEXT(N51,".00")&amp;")"</f>
        <v>Multiply line 25 above by 2% (.02)</v>
      </c>
      <c r="E51" s="330"/>
      <c r="F51" s="953"/>
      <c r="G51" s="953"/>
      <c r="H51" s="953"/>
      <c r="I51" s="192"/>
      <c r="J51" s="1451" t="s">
        <v>458</v>
      </c>
      <c r="K51" s="458">
        <f>C51</f>
        <v>26</v>
      </c>
      <c r="L51" s="2930" t="str">
        <f>IF(AND(J50&lt;&gt;0,J50&lt;&gt;""),(J50*N51),"")</f>
        <v/>
      </c>
      <c r="M51" s="1270"/>
      <c r="N51" s="1449">
        <v>0.02</v>
      </c>
      <c r="O51" s="1030"/>
      <c r="P51" s="1576"/>
      <c r="Q51" s="358"/>
      <c r="U51" s="3048"/>
      <c r="V51" s="3046"/>
      <c r="W51" s="3046"/>
      <c r="X51" s="3046"/>
      <c r="Y51" s="3046"/>
      <c r="Z51" s="3046"/>
      <c r="AA51" s="3046"/>
      <c r="AB51" s="3046"/>
      <c r="AC51" s="3046"/>
      <c r="AD51" s="3046"/>
      <c r="AE51" s="3046"/>
      <c r="AF51" s="3046"/>
      <c r="AG51" s="3046"/>
      <c r="AH51" s="2680"/>
    </row>
    <row r="52" spans="1:36" ht="13.5" thickBot="1">
      <c r="A52" s="942"/>
      <c r="B52" s="210"/>
      <c r="C52" s="27">
        <v>27</v>
      </c>
      <c r="D52" s="954" t="s">
        <v>122</v>
      </c>
      <c r="E52" s="334"/>
      <c r="F52" s="954"/>
      <c r="G52" s="954"/>
      <c r="H52" s="954"/>
      <c r="I52" s="27"/>
      <c r="J52" s="27"/>
      <c r="K52" s="27"/>
      <c r="L52" s="1450"/>
      <c r="M52" s="458">
        <f>C52</f>
        <v>27</v>
      </c>
      <c r="N52" s="2930">
        <f>IF(P52&lt;&gt;"",P52,IF(OR(L51&lt;0,$L$51&gt;$L$49),0,ROUND(($L$49-$L$51),0)))</f>
        <v>0</v>
      </c>
      <c r="O52" s="1030"/>
      <c r="P52" s="1577"/>
      <c r="Q52" s="358"/>
      <c r="U52" s="3048"/>
      <c r="V52" s="3345" t="str">
        <f>IF(V41&lt;&gt;"",IF(AD48&lt;AD45,"","X"),"")</f>
        <v/>
      </c>
      <c r="W52" s="3051" t="s">
        <v>711</v>
      </c>
      <c r="X52" s="3052" t="s">
        <v>1722</v>
      </c>
      <c r="Y52" s="3035" t="s">
        <v>1738</v>
      </c>
      <c r="Z52" s="3046"/>
      <c r="AA52" s="3046"/>
      <c r="AB52" s="3046"/>
      <c r="AC52" s="3046"/>
      <c r="AD52" s="3046"/>
      <c r="AE52" s="3046"/>
      <c r="AF52" s="3046"/>
      <c r="AG52" s="3046"/>
      <c r="AH52" s="2680"/>
    </row>
    <row r="53" spans="1:36" ht="17.25">
      <c r="A53" s="942"/>
      <c r="B53" s="460" t="s">
        <v>689</v>
      </c>
      <c r="C53" s="36">
        <v>28</v>
      </c>
      <c r="D53" s="953" t="s">
        <v>934</v>
      </c>
      <c r="E53" s="330"/>
      <c r="F53" s="953"/>
      <c r="G53" s="953"/>
      <c r="H53" s="953"/>
      <c r="I53" s="34"/>
      <c r="J53" s="34"/>
      <c r="K53" s="35"/>
      <c r="L53" s="461" t="s">
        <v>313</v>
      </c>
      <c r="M53" s="1272"/>
      <c r="N53" s="2764"/>
      <c r="O53" s="1030"/>
      <c r="P53" s="1576"/>
      <c r="Q53" s="358"/>
      <c r="U53" s="3048"/>
      <c r="V53" s="3046"/>
      <c r="W53" s="3053" t="s">
        <v>1749</v>
      </c>
      <c r="X53" s="3046"/>
      <c r="Y53" s="3046"/>
      <c r="Z53" s="3046"/>
      <c r="AA53" s="3046"/>
      <c r="AB53" s="3046"/>
      <c r="AC53" s="3046"/>
      <c r="AD53" s="3046"/>
      <c r="AE53" s="3046"/>
      <c r="AF53" s="3046"/>
      <c r="AG53" s="3046"/>
      <c r="AH53" s="2680"/>
    </row>
    <row r="54" spans="1:36" ht="15.75" thickBot="1">
      <c r="A54" s="942"/>
      <c r="B54" s="460" t="s">
        <v>743</v>
      </c>
      <c r="C54" s="36"/>
      <c r="D54" s="4055"/>
      <c r="E54" s="4056"/>
      <c r="F54" s="4056"/>
      <c r="G54" s="4056"/>
      <c r="H54" s="4056"/>
      <c r="I54" s="4056"/>
      <c r="J54" s="4056"/>
      <c r="K54" s="4056"/>
      <c r="L54" s="4057"/>
      <c r="M54" s="1272"/>
      <c r="N54" s="32"/>
      <c r="O54" s="1030"/>
      <c r="P54" s="1576"/>
      <c r="Q54" s="358"/>
      <c r="U54" s="3048"/>
      <c r="V54" s="3046"/>
      <c r="W54" s="3046"/>
      <c r="X54" s="3046"/>
      <c r="Y54" s="3046"/>
      <c r="Z54" s="3046"/>
      <c r="AA54" s="3046"/>
      <c r="AB54" s="3046"/>
      <c r="AC54" s="3046"/>
      <c r="AD54" s="3046"/>
      <c r="AE54" s="3046"/>
      <c r="AF54" s="3046"/>
      <c r="AG54" s="3046"/>
      <c r="AH54" s="2680"/>
    </row>
    <row r="55" spans="1:36" ht="15.75" thickBot="1">
      <c r="A55" s="942"/>
      <c r="B55" s="299" t="s">
        <v>744</v>
      </c>
      <c r="C55" s="27"/>
      <c r="D55" s="4058"/>
      <c r="E55" s="4059"/>
      <c r="F55" s="4059"/>
      <c r="G55" s="4059"/>
      <c r="H55" s="4059"/>
      <c r="I55" s="4059"/>
      <c r="J55" s="4059"/>
      <c r="K55" s="4059"/>
      <c r="L55" s="4060"/>
      <c r="M55" s="458">
        <f>C53</f>
        <v>28</v>
      </c>
      <c r="N55" s="2583"/>
      <c r="O55" s="1030"/>
      <c r="P55" s="1576"/>
      <c r="Q55" s="358"/>
      <c r="U55" s="3048"/>
      <c r="V55" s="3345" t="str">
        <f>IF(AD48&lt;AD45,"X","")</f>
        <v/>
      </c>
      <c r="W55" s="3035" t="s">
        <v>1737</v>
      </c>
      <c r="X55" s="3046"/>
      <c r="Y55" s="3046"/>
      <c r="Z55" s="3046"/>
      <c r="AA55" s="3046"/>
      <c r="AB55" s="3046"/>
      <c r="AC55" s="3047" t="s">
        <v>126</v>
      </c>
      <c r="AD55" s="3059" t="str">
        <f>IF(V55&lt;&gt;"",SUM(AD45,-AD48),"")</f>
        <v/>
      </c>
      <c r="AE55" s="3046"/>
      <c r="AF55" s="3046"/>
      <c r="AG55" s="3046"/>
      <c r="AH55" s="2680"/>
    </row>
    <row r="56" spans="1:36" ht="15.75" thickBot="1">
      <c r="A56" s="942"/>
      <c r="B56" s="460" t="s">
        <v>349</v>
      </c>
      <c r="C56" s="36">
        <v>29</v>
      </c>
      <c r="D56" s="953" t="str">
        <f>"Is Form 1040, line 38, over "&amp;TEXT('1040'!AK78,"$0,000")&amp;"?"</f>
        <v>Is Form 1040, line 38, over $152,525?</v>
      </c>
      <c r="E56" s="330"/>
      <c r="F56" s="953"/>
      <c r="G56" s="953"/>
      <c r="H56" s="953"/>
      <c r="I56" s="192"/>
      <c r="J56" s="192"/>
      <c r="K56" s="36"/>
      <c r="L56" s="213"/>
      <c r="M56" s="1272"/>
      <c r="N56" s="32"/>
      <c r="O56" s="1030"/>
      <c r="P56" s="1576"/>
      <c r="Q56" s="358"/>
      <c r="U56" s="3048"/>
      <c r="V56" s="3046"/>
      <c r="W56" s="3046"/>
      <c r="X56" s="3046"/>
      <c r="Y56" s="3046"/>
      <c r="Z56" s="3046"/>
      <c r="AA56" s="3046"/>
      <c r="AB56" s="3046"/>
      <c r="AC56" s="3046"/>
      <c r="AD56" s="3046"/>
      <c r="AE56" s="3046"/>
      <c r="AF56" s="3046"/>
      <c r="AG56" s="3046"/>
      <c r="AH56" s="2680"/>
    </row>
    <row r="57" spans="1:36" ht="12" customHeight="1" thickBot="1">
      <c r="A57" s="942"/>
      <c r="B57" s="460" t="s">
        <v>783</v>
      </c>
      <c r="C57" s="36"/>
      <c r="D57" s="2928" t="str">
        <f>IF(Adj_Gross_Inc&gt;'1040'!AK78,"","X")</f>
        <v>X</v>
      </c>
      <c r="E57" s="893" t="s">
        <v>1734</v>
      </c>
      <c r="F57" s="953"/>
      <c r="G57" s="953"/>
      <c r="H57" s="953"/>
      <c r="I57" s="192"/>
      <c r="J57" s="192"/>
      <c r="K57" s="36"/>
      <c r="L57" s="213"/>
      <c r="M57" s="1272"/>
      <c r="N57" s="32"/>
      <c r="O57" s="1030"/>
      <c r="P57" s="1576"/>
      <c r="Q57" s="2900"/>
      <c r="U57" s="3045" t="s">
        <v>352</v>
      </c>
      <c r="V57" s="3035" t="str">
        <f>"Multiply line 7 by "&amp;TEXT(Z57,"0%")&amp;" ("&amp;TEXT(Z57,".00")&amp;")"</f>
        <v>Multiply line 7 by 3% (.03)</v>
      </c>
      <c r="W57" s="3046"/>
      <c r="X57" s="3046"/>
      <c r="Y57" s="3046"/>
      <c r="Z57" s="3054">
        <v>0.03</v>
      </c>
      <c r="AA57" s="3046"/>
      <c r="AB57" s="3046"/>
      <c r="AC57" s="3047" t="s">
        <v>352</v>
      </c>
      <c r="AD57" s="3059" t="str">
        <f>IF(V55&lt;&gt;"",ROUND(AD55*Z57,0),"")</f>
        <v/>
      </c>
      <c r="AE57" s="3046"/>
      <c r="AF57" s="3046"/>
      <c r="AG57" s="3046"/>
      <c r="AH57" s="2680"/>
      <c r="AJ57" s="1623"/>
    </row>
    <row r="58" spans="1:36" ht="12" customHeight="1" thickBot="1">
      <c r="A58" s="942"/>
      <c r="B58" s="460" t="s">
        <v>744</v>
      </c>
      <c r="C58" s="36"/>
      <c r="D58" s="953"/>
      <c r="E58" s="330" t="s">
        <v>1733</v>
      </c>
      <c r="F58" s="953"/>
      <c r="G58" s="953"/>
      <c r="H58" s="953"/>
      <c r="I58" s="192"/>
      <c r="J58" s="192"/>
      <c r="K58" s="36"/>
      <c r="L58" s="2585"/>
      <c r="M58" s="1272"/>
      <c r="N58" s="32"/>
      <c r="O58" s="1030"/>
      <c r="P58" s="1576"/>
      <c r="Q58" s="2900"/>
      <c r="U58" s="3048"/>
      <c r="V58" s="3046"/>
      <c r="W58" s="3046"/>
      <c r="X58" s="3046"/>
      <c r="Y58" s="3046"/>
      <c r="Z58" s="3046"/>
      <c r="AA58" s="3046"/>
      <c r="AB58" s="3046"/>
      <c r="AC58" s="3046"/>
      <c r="AD58" s="3046"/>
      <c r="AE58" s="3046"/>
      <c r="AF58" s="3046"/>
      <c r="AG58" s="3046"/>
      <c r="AH58" s="2680"/>
    </row>
    <row r="59" spans="1:36" ht="12" customHeight="1" thickBot="1">
      <c r="A59" s="942"/>
      <c r="B59" s="460"/>
      <c r="C59" s="36"/>
      <c r="D59" s="2928" t="str">
        <f>IF(Adj_Gross_Inc&gt;'1040'!AK78,"X","")</f>
        <v/>
      </c>
      <c r="E59" s="893" t="s">
        <v>1735</v>
      </c>
      <c r="F59" s="953"/>
      <c r="G59" s="953"/>
      <c r="H59" s="953"/>
      <c r="I59" s="192"/>
      <c r="J59" s="192"/>
      <c r="K59" s="36"/>
      <c r="L59" s="2585" t="s">
        <v>1064</v>
      </c>
      <c r="M59" s="458">
        <f>C56</f>
        <v>29</v>
      </c>
      <c r="N59" s="2930">
        <f>IF(P59&lt;&gt;"",P59,IF(D57&lt;&gt;"",SUM(N13,N22,N33,N39,N41,N52,N53,N55),IF(D59&lt;&gt;"",AG62,"")))</f>
        <v>0</v>
      </c>
      <c r="O59" s="1030"/>
      <c r="P59" s="1577"/>
      <c r="Q59" s="2900"/>
      <c r="U59" s="3045" t="s">
        <v>353</v>
      </c>
      <c r="V59" s="3055" t="s">
        <v>1747</v>
      </c>
      <c r="W59" s="3046"/>
      <c r="X59" s="3046"/>
      <c r="Y59" s="3046"/>
      <c r="Z59" s="3046"/>
      <c r="AA59" s="3046"/>
      <c r="AB59" s="3046"/>
      <c r="AC59" s="3046"/>
      <c r="AD59" s="3046"/>
      <c r="AE59" s="3046"/>
      <c r="AF59" s="3047" t="s">
        <v>353</v>
      </c>
      <c r="AG59" s="3059" t="str">
        <f>IF(V55&lt;&gt;"",MIN(AD43,AD57),"")</f>
        <v/>
      </c>
      <c r="AH59" s="2680"/>
    </row>
    <row r="60" spans="1:36" ht="12" customHeight="1">
      <c r="A60" s="942"/>
      <c r="B60" s="460"/>
      <c r="C60" s="36"/>
      <c r="D60" s="953"/>
      <c r="E60" s="330" t="s">
        <v>1736</v>
      </c>
      <c r="F60" s="953"/>
      <c r="G60" s="953"/>
      <c r="H60" s="953"/>
      <c r="I60" s="192"/>
      <c r="J60" s="192"/>
      <c r="K60" s="36"/>
      <c r="L60" s="213"/>
      <c r="M60" s="1272"/>
      <c r="N60" s="1538"/>
      <c r="O60" s="1030"/>
      <c r="P60" s="1576"/>
      <c r="Q60" s="2900"/>
      <c r="U60" s="3048"/>
      <c r="V60" s="3046"/>
      <c r="W60" s="3046"/>
      <c r="X60" s="3046"/>
      <c r="Y60" s="3046"/>
      <c r="Z60" s="3046"/>
      <c r="AA60" s="3046"/>
      <c r="AB60" s="3046"/>
      <c r="AC60" s="3046"/>
      <c r="AD60" s="3046"/>
      <c r="AE60" s="3046"/>
      <c r="AF60" s="3046"/>
      <c r="AG60" s="3046"/>
      <c r="AH60" s="2680"/>
    </row>
    <row r="61" spans="1:36" ht="12.75" customHeight="1" thickBot="1">
      <c r="A61" s="942"/>
      <c r="B61" s="460"/>
      <c r="C61" s="194">
        <v>30</v>
      </c>
      <c r="D61" s="893" t="s">
        <v>737</v>
      </c>
      <c r="E61" s="192"/>
      <c r="F61" s="545"/>
      <c r="G61" s="545"/>
      <c r="H61" s="545"/>
      <c r="I61" s="192"/>
      <c r="J61" s="192"/>
      <c r="K61" s="192"/>
      <c r="L61" s="964"/>
      <c r="M61" s="1272"/>
      <c r="N61" s="1538"/>
      <c r="O61" s="1030"/>
      <c r="P61" s="1576"/>
      <c r="Q61" s="358"/>
      <c r="U61" s="3045" t="s">
        <v>507</v>
      </c>
      <c r="V61" s="3035" t="s">
        <v>1748</v>
      </c>
      <c r="W61" s="3046"/>
      <c r="X61" s="3046"/>
      <c r="Y61" s="3046"/>
      <c r="Z61" s="3046"/>
      <c r="AA61" s="3046"/>
      <c r="AB61" s="3046"/>
      <c r="AC61" s="3046"/>
      <c r="AD61" s="3046"/>
      <c r="AE61" s="3046"/>
      <c r="AF61" s="3047" t="s">
        <v>507</v>
      </c>
      <c r="AG61" s="3059" t="str">
        <f>IF(V55&lt;&gt;"",SUM(AG26,-AG59),"")</f>
        <v/>
      </c>
      <c r="AH61" s="2680"/>
    </row>
    <row r="62" spans="1:36" ht="12.75" customHeight="1" thickBot="1">
      <c r="A62" s="942"/>
      <c r="B62" s="1274"/>
      <c r="C62" s="1274"/>
      <c r="D62" s="1616" t="s">
        <v>2</v>
      </c>
      <c r="E62" s="226"/>
      <c r="F62" s="956"/>
      <c r="G62" s="956"/>
      <c r="H62" s="956"/>
      <c r="I62" s="226"/>
      <c r="J62" s="226"/>
      <c r="K62" s="226"/>
      <c r="L62" s="1751" t="s">
        <v>1035</v>
      </c>
      <c r="M62" s="2584"/>
      <c r="N62" s="453"/>
      <c r="O62" s="1030"/>
      <c r="P62" s="1576"/>
      <c r="Q62" s="358"/>
      <c r="U62" s="3048"/>
      <c r="V62" s="3046"/>
      <c r="W62" s="3046"/>
      <c r="X62" s="3046"/>
      <c r="Y62" s="3046"/>
      <c r="Z62" s="3046"/>
      <c r="AA62" s="3046"/>
      <c r="AB62" s="3046"/>
      <c r="AC62" s="3046"/>
      <c r="AD62" s="3046"/>
      <c r="AE62" s="3046"/>
      <c r="AF62" s="3046"/>
      <c r="AG62" s="3056">
        <f>IF(OR(V38&lt;&gt;"",V52&lt;&gt;""),AG26,IF(V55&lt;&gt;"",SUM(AG26,-AG59),""))</f>
        <v>0</v>
      </c>
      <c r="AH62" s="2680"/>
    </row>
    <row r="63" spans="1:36" ht="13.5" customHeight="1" thickBot="1">
      <c r="B63" s="1752" t="s">
        <v>553</v>
      </c>
      <c r="C63" s="1744"/>
      <c r="D63" s="1745"/>
      <c r="E63" s="1744"/>
      <c r="F63" s="1745"/>
      <c r="G63" s="1745"/>
      <c r="H63" s="1745"/>
      <c r="I63" s="1744"/>
      <c r="J63" s="1746"/>
      <c r="K63" s="1750" t="s">
        <v>1126</v>
      </c>
      <c r="L63" s="1747"/>
      <c r="M63" s="1748"/>
      <c r="N63" s="1749" t="str">
        <f>"Schedule A (Form 1040) "&amp;TaxYear</f>
        <v>Schedule A (Form 1040) 2014</v>
      </c>
      <c r="O63" s="939"/>
      <c r="P63" s="1574"/>
      <c r="Q63" s="358"/>
      <c r="U63" s="3057"/>
      <c r="V63" s="3049"/>
      <c r="W63" s="3049"/>
      <c r="X63" s="3049"/>
      <c r="Y63" s="3049"/>
      <c r="Z63" s="3049"/>
      <c r="AA63" s="3049"/>
      <c r="AB63" s="3049"/>
      <c r="AC63" s="3049"/>
      <c r="AD63" s="3049"/>
      <c r="AE63" s="3049"/>
      <c r="AF63" s="3049"/>
      <c r="AG63" s="3049"/>
      <c r="AH63" s="3058"/>
    </row>
    <row r="64" spans="1:36">
      <c r="B64" s="885"/>
      <c r="C64" s="885"/>
      <c r="D64" s="885"/>
      <c r="E64" s="885"/>
      <c r="F64" s="885"/>
      <c r="G64" s="885"/>
      <c r="H64" s="885"/>
      <c r="I64" s="24"/>
      <c r="J64" s="24"/>
      <c r="K64" s="1"/>
      <c r="L64" s="2"/>
      <c r="M64" s="1273"/>
      <c r="N64" s="25"/>
      <c r="O64" s="25"/>
      <c r="P64" s="1574"/>
      <c r="T64" s="1265"/>
    </row>
    <row r="65" spans="2:16" ht="13.5" thickBot="1">
      <c r="B65" s="1"/>
      <c r="C65" s="1"/>
      <c r="D65" s="957"/>
      <c r="E65" s="4"/>
      <c r="F65" s="957"/>
      <c r="G65" s="957"/>
      <c r="H65" s="957"/>
      <c r="I65" s="24"/>
      <c r="J65" s="24"/>
      <c r="K65" s="1"/>
      <c r="L65" s="2"/>
      <c r="M65" s="1273"/>
      <c r="N65" s="26"/>
      <c r="O65" s="26"/>
      <c r="P65" s="1579"/>
    </row>
    <row r="66" spans="2:16" ht="14.25" thickTop="1" thickBot="1">
      <c r="B66" s="1"/>
      <c r="C66" s="4052" t="s">
        <v>662</v>
      </c>
      <c r="D66" s="4053"/>
      <c r="E66" s="4053"/>
      <c r="F66" s="4053"/>
      <c r="G66" s="4053"/>
      <c r="H66" s="4053"/>
      <c r="I66" s="4053"/>
      <c r="J66" s="4054"/>
      <c r="K66" s="1"/>
      <c r="L66" s="2"/>
      <c r="M66" s="1273"/>
      <c r="N66" s="25"/>
      <c r="O66" s="358"/>
      <c r="P66" s="1580" t="s">
        <v>1333</v>
      </c>
    </row>
    <row r="67" spans="2:16" ht="14.25" thickTop="1" thickBot="1">
      <c r="B67" s="1"/>
      <c r="C67" s="1"/>
      <c r="D67" s="957"/>
      <c r="E67" s="4"/>
      <c r="F67" s="957"/>
      <c r="G67" s="957"/>
      <c r="H67" s="957"/>
      <c r="I67" s="24"/>
      <c r="J67" s="24"/>
      <c r="K67" s="1"/>
      <c r="L67" s="2"/>
      <c r="M67" s="1273"/>
      <c r="N67" s="25"/>
      <c r="O67" s="358"/>
      <c r="P67" s="1581"/>
    </row>
    <row r="68" spans="2:16" ht="14.25" thickTop="1" thickBot="1">
      <c r="B68" s="1"/>
      <c r="C68" s="4052" t="s">
        <v>663</v>
      </c>
      <c r="D68" s="4053"/>
      <c r="E68" s="4053"/>
      <c r="F68" s="4053"/>
      <c r="G68" s="4053"/>
      <c r="H68" s="4053"/>
      <c r="I68" s="4053"/>
      <c r="J68" s="4054"/>
      <c r="K68" s="1"/>
      <c r="L68" s="2"/>
      <c r="M68" s="1273"/>
      <c r="N68" s="25"/>
      <c r="O68" s="358"/>
      <c r="P68" s="1574"/>
    </row>
    <row r="69" spans="2:16" ht="13.5" thickTop="1">
      <c r="P69" s="1574"/>
    </row>
    <row r="71" spans="2:16">
      <c r="F71" s="1251"/>
      <c r="G71" s="1251"/>
      <c r="H71" s="1251"/>
    </row>
    <row r="72" spans="2:16">
      <c r="B72" s="1"/>
      <c r="C72" s="1"/>
      <c r="D72" s="957"/>
      <c r="E72" s="4"/>
      <c r="F72" s="957"/>
      <c r="G72" s="957"/>
      <c r="H72" s="957"/>
      <c r="I72" s="24"/>
      <c r="J72" s="24"/>
      <c r="K72" s="1"/>
      <c r="L72" s="2"/>
      <c r="M72" s="1273"/>
      <c r="N72" s="26"/>
      <c r="O72" s="26"/>
      <c r="P72" s="1579"/>
    </row>
  </sheetData>
  <sheetProtection password="F07E" sheet="1" objects="1" scenarios="1"/>
  <mergeCells count="20">
    <mergeCell ref="M2:N2"/>
    <mergeCell ref="K15:K16"/>
    <mergeCell ref="L15:L16"/>
    <mergeCell ref="C40:L40"/>
    <mergeCell ref="M7:N7"/>
    <mergeCell ref="B7:L7"/>
    <mergeCell ref="I20:J20"/>
    <mergeCell ref="D21:J21"/>
    <mergeCell ref="D28:J28"/>
    <mergeCell ref="D27:J27"/>
    <mergeCell ref="N14:N16"/>
    <mergeCell ref="M6:N6"/>
    <mergeCell ref="D4:L4"/>
    <mergeCell ref="C68:J68"/>
    <mergeCell ref="D54:L54"/>
    <mergeCell ref="D55:L55"/>
    <mergeCell ref="D48:J48"/>
    <mergeCell ref="G44:J44"/>
    <mergeCell ref="G47:J47"/>
    <mergeCell ref="C66:J66"/>
  </mergeCells>
  <phoneticPr fontId="12" type="noConversion"/>
  <conditionalFormatting sqref="B7:L7">
    <cfRule type="expression" dxfId="941" priority="97">
      <formula>IF(NoColor,1,0)</formula>
    </cfRule>
  </conditionalFormatting>
  <conditionalFormatting sqref="M7:N7">
    <cfRule type="expression" dxfId="940" priority="96">
      <formula>IF(NoColor,1,0)</formula>
    </cfRule>
  </conditionalFormatting>
  <conditionalFormatting sqref="L9">
    <cfRule type="expression" dxfId="939" priority="95">
      <formula>IF(NoColor,1,0)</formula>
    </cfRule>
  </conditionalFormatting>
  <conditionalFormatting sqref="J10">
    <cfRule type="expression" dxfId="938" priority="94">
      <formula>IF(NoColor,1,0)</formula>
    </cfRule>
  </conditionalFormatting>
  <conditionalFormatting sqref="L44">
    <cfRule type="expression" dxfId="937" priority="75">
      <formula>IF(NoColor,1,0)</formula>
    </cfRule>
  </conditionalFormatting>
  <conditionalFormatting sqref="L18">
    <cfRule type="expression" dxfId="936" priority="92">
      <formula>IF(NoColor,1,0)</formula>
    </cfRule>
  </conditionalFormatting>
  <conditionalFormatting sqref="L19">
    <cfRule type="expression" dxfId="935" priority="91">
      <formula>IF(NoColor,1,0)</formula>
    </cfRule>
  </conditionalFormatting>
  <conditionalFormatting sqref="L15:L16">
    <cfRule type="expression" dxfId="934" priority="90">
      <formula>IF(NoColor,1,0)</formula>
    </cfRule>
  </conditionalFormatting>
  <conditionalFormatting sqref="E15">
    <cfRule type="expression" dxfId="933" priority="89">
      <formula>IF(NoColor,1,0)</formula>
    </cfRule>
  </conditionalFormatting>
  <conditionalFormatting sqref="I20:J20">
    <cfRule type="expression" dxfId="932" priority="88">
      <formula>IF(NoColor,1,0)</formula>
    </cfRule>
  </conditionalFormatting>
  <conditionalFormatting sqref="D21:J21">
    <cfRule type="expression" dxfId="931" priority="87">
      <formula>IF(NoColor,1,0)</formula>
    </cfRule>
  </conditionalFormatting>
  <conditionalFormatting sqref="L21">
    <cfRule type="expression" dxfId="930" priority="86">
      <formula>IF(NoColor,1,0)</formula>
    </cfRule>
  </conditionalFormatting>
  <conditionalFormatting sqref="L23">
    <cfRule type="expression" dxfId="929" priority="85">
      <formula>IF(NoColor,1,0)</formula>
    </cfRule>
  </conditionalFormatting>
  <conditionalFormatting sqref="L28">
    <cfRule type="expression" dxfId="928" priority="84">
      <formula>IF(NoColor,1,0)</formula>
    </cfRule>
  </conditionalFormatting>
  <conditionalFormatting sqref="L30">
    <cfRule type="expression" dxfId="927" priority="83">
      <formula>IF(NoColor,1,0)</formula>
    </cfRule>
  </conditionalFormatting>
  <conditionalFormatting sqref="L32">
    <cfRule type="expression" dxfId="926" priority="82">
      <formula>IF(NoColor,1,0)</formula>
    </cfRule>
  </conditionalFormatting>
  <conditionalFormatting sqref="D27:J28">
    <cfRule type="expression" dxfId="925" priority="81">
      <formula>IF(NoColor,1,0)</formula>
    </cfRule>
  </conditionalFormatting>
  <conditionalFormatting sqref="L35">
    <cfRule type="expression" dxfId="924" priority="80">
      <formula>IF(NoColor,1,0)</formula>
    </cfRule>
  </conditionalFormatting>
  <conditionalFormatting sqref="L37">
    <cfRule type="expression" dxfId="923" priority="79">
      <formula>IF(NoColor,1,0)</formula>
    </cfRule>
  </conditionalFormatting>
  <conditionalFormatting sqref="L38">
    <cfRule type="expression" dxfId="922" priority="78">
      <formula>IF(NoColor,1,0)</formula>
    </cfRule>
  </conditionalFormatting>
  <conditionalFormatting sqref="N41">
    <cfRule type="expression" dxfId="921" priority="76">
      <formula>IF(NoColor,1,0)</formula>
    </cfRule>
  </conditionalFormatting>
  <conditionalFormatting sqref="G44:J44">
    <cfRule type="expression" dxfId="920" priority="74">
      <formula>IF(NoColor,1,0)</formula>
    </cfRule>
  </conditionalFormatting>
  <conditionalFormatting sqref="G47:J47">
    <cfRule type="expression" dxfId="919" priority="73">
      <formula>IF(NoColor,1,0)</formula>
    </cfRule>
  </conditionalFormatting>
  <conditionalFormatting sqref="D48:J48">
    <cfRule type="expression" dxfId="918" priority="72">
      <formula>IF(NoColor,1,0)</formula>
    </cfRule>
  </conditionalFormatting>
  <conditionalFormatting sqref="J50">
    <cfRule type="expression" dxfId="917" priority="71">
      <formula>IF(NoColor,1,0)</formula>
    </cfRule>
  </conditionalFormatting>
  <conditionalFormatting sqref="M62">
    <cfRule type="expression" dxfId="916" priority="66">
      <formula>IF(NoColor,1,0)</formula>
    </cfRule>
  </conditionalFormatting>
  <conditionalFormatting sqref="D54:L55">
    <cfRule type="expression" dxfId="915" priority="69">
      <formula>IF(NoColor,1,0)</formula>
    </cfRule>
  </conditionalFormatting>
  <conditionalFormatting sqref="N55">
    <cfRule type="expression" dxfId="914" priority="68">
      <formula>IF(NoColor,1,0)</formula>
    </cfRule>
  </conditionalFormatting>
  <conditionalFormatting sqref="E17">
    <cfRule type="expression" dxfId="913" priority="65">
      <formula>IF(NoColor,1,0)</formula>
    </cfRule>
  </conditionalFormatting>
  <conditionalFormatting sqref="L31">
    <cfRule type="expression" dxfId="912" priority="64">
      <formula>IF(NoColor,1,0)</formula>
    </cfRule>
  </conditionalFormatting>
  <conditionalFormatting sqref="L48">
    <cfRule type="expression" dxfId="911" priority="63">
      <formula>IF(NoColor,1,0)</formula>
    </cfRule>
  </conditionalFormatting>
  <conditionalFormatting sqref="L45">
    <cfRule type="expression" dxfId="910" priority="62">
      <formula>IF(NoColor,1,0)</formula>
    </cfRule>
  </conditionalFormatting>
  <conditionalFormatting sqref="N53">
    <cfRule type="expression" dxfId="909" priority="59">
      <formula>IF(NoColor,1,0)</formula>
    </cfRule>
  </conditionalFormatting>
  <conditionalFormatting sqref="L12">
    <cfRule type="expression" dxfId="908" priority="57">
      <formula>IF(NoColor,1,0)</formula>
    </cfRule>
  </conditionalFormatting>
  <conditionalFormatting sqref="N13">
    <cfRule type="expression" dxfId="907" priority="55">
      <formula>IF(NoColor,1,0)</formula>
    </cfRule>
  </conditionalFormatting>
  <conditionalFormatting sqref="N22">
    <cfRule type="expression" dxfId="906" priority="53">
      <formula>IF(NoColor,1,0)</formula>
    </cfRule>
  </conditionalFormatting>
  <conditionalFormatting sqref="N33">
    <cfRule type="expression" dxfId="905" priority="51">
      <formula>IF(NoColor,1,0)</formula>
    </cfRule>
  </conditionalFormatting>
  <conditionalFormatting sqref="N39">
    <cfRule type="expression" dxfId="904" priority="49">
      <formula>IF(NoColor,1,0)</formula>
    </cfRule>
  </conditionalFormatting>
  <conditionalFormatting sqref="L49">
    <cfRule type="expression" dxfId="903" priority="47">
      <formula>IF(NoColor,1,0)</formula>
    </cfRule>
  </conditionalFormatting>
  <conditionalFormatting sqref="L51">
    <cfRule type="expression" dxfId="902" priority="45">
      <formula>IF(NoColor,1,0)</formula>
    </cfRule>
  </conditionalFormatting>
  <conditionalFormatting sqref="N52">
    <cfRule type="expression" dxfId="901" priority="43">
      <formula>IF(NoColor,1,0)</formula>
    </cfRule>
  </conditionalFormatting>
  <conditionalFormatting sqref="N59">
    <cfRule type="expression" dxfId="900" priority="41">
      <formula>IF(NoColor,1,0)</formula>
    </cfRule>
  </conditionalFormatting>
  <conditionalFormatting sqref="X52">
    <cfRule type="expression" dxfId="899" priority="39">
      <formula>IF($V$52&lt;&gt;"",1,0)</formula>
    </cfRule>
  </conditionalFormatting>
  <conditionalFormatting sqref="X38">
    <cfRule type="expression" dxfId="898" priority="38">
      <formula>IF($V$38&lt;&gt;"",1,0)</formula>
    </cfRule>
  </conditionalFormatting>
  <conditionalFormatting sqref="AG62">
    <cfRule type="expression" dxfId="897" priority="16">
      <formula>IF(NoColor,1,0)</formula>
    </cfRule>
    <cfRule type="expression" dxfId="896" priority="17">
      <formula>IF(NoColor,1,0)</formula>
    </cfRule>
  </conditionalFormatting>
  <conditionalFormatting sqref="AG26">
    <cfRule type="expression" dxfId="895" priority="15">
      <formula>IF(NoColor,1,0)</formula>
    </cfRule>
  </conditionalFormatting>
  <conditionalFormatting sqref="AG61">
    <cfRule type="expression" dxfId="894" priority="1">
      <formula>IF(NoColor,1,0)</formula>
    </cfRule>
  </conditionalFormatting>
  <conditionalFormatting sqref="AG28">
    <cfRule type="expression" dxfId="893" priority="13">
      <formula>IF(NoColor,1,0)</formula>
    </cfRule>
  </conditionalFormatting>
  <conditionalFormatting sqref="V38">
    <cfRule type="expression" dxfId="892" priority="12">
      <formula>IF(NoColor,1,0)</formula>
    </cfRule>
  </conditionalFormatting>
  <conditionalFormatting sqref="V41">
    <cfRule type="expression" dxfId="891" priority="11">
      <formula>IF(NoColor,1,0)</formula>
    </cfRule>
  </conditionalFormatting>
  <conditionalFormatting sqref="V52">
    <cfRule type="expression" dxfId="890" priority="10">
      <formula>IF(NoColor,1,0)</formula>
    </cfRule>
  </conditionalFormatting>
  <conditionalFormatting sqref="V55">
    <cfRule type="expression" dxfId="889" priority="9">
      <formula>IF(NoColor,1,0)</formula>
    </cfRule>
  </conditionalFormatting>
  <conditionalFormatting sqref="AG41">
    <cfRule type="expression" dxfId="888" priority="8">
      <formula>IF(NoColor,1,0)</formula>
    </cfRule>
  </conditionalFormatting>
  <conditionalFormatting sqref="AD43">
    <cfRule type="expression" dxfId="887" priority="7">
      <formula>IF(NoColor,1,0)</formula>
    </cfRule>
  </conditionalFormatting>
  <conditionalFormatting sqref="AD45">
    <cfRule type="expression" dxfId="886" priority="6">
      <formula>IF(NoColor,1,0)</formula>
    </cfRule>
  </conditionalFormatting>
  <conditionalFormatting sqref="AD48">
    <cfRule type="expression" dxfId="885" priority="5">
      <formula>IF(NoColor,1,0)</formula>
    </cfRule>
  </conditionalFormatting>
  <conditionalFormatting sqref="AD55">
    <cfRule type="expression" dxfId="884" priority="4">
      <formula>IF(NoColor,1,0)</formula>
    </cfRule>
  </conditionalFormatting>
  <conditionalFormatting sqref="AD57">
    <cfRule type="expression" dxfId="883" priority="3">
      <formula>IF(NoColor,1,0)</formula>
    </cfRule>
  </conditionalFormatting>
  <conditionalFormatting sqref="AG59">
    <cfRule type="expression" dxfId="882" priority="2">
      <formula>IF(NoColor,1,0)</formula>
    </cfRule>
  </conditionalFormatting>
  <hyperlinks>
    <hyperlink ref="C66:J66" r:id="rId1" display="Download Form 1040 Schedules A&amp;B"/>
    <hyperlink ref="C68:J68" r:id="rId2" display="Download Form 1040 Schedule A&amp;B Instructions"/>
  </hyperlinks>
  <printOptions horizontalCentered="1" verticalCentered="1"/>
  <pageMargins left="0.37" right="0.25" top="0.19" bottom="0.2" header="0.25" footer="0.21"/>
  <pageSetup scale="90" fitToHeight="0" orientation="portrait" horizontalDpi="120" verticalDpi="144" r:id="rId3"/>
  <headerFooter alignWithMargins="0"/>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W78"/>
  <sheetViews>
    <sheetView zoomScaleNormal="100" workbookViewId="0">
      <selection activeCell="I13" sqref="I13:O13"/>
    </sheetView>
  </sheetViews>
  <sheetFormatPr defaultRowHeight="12.75"/>
  <cols>
    <col min="1" max="1" width="1.85546875" style="68" customWidth="1"/>
    <col min="2" max="2" width="14.28515625" customWidth="1"/>
    <col min="3" max="3" width="2.7109375" customWidth="1"/>
    <col min="4" max="4" width="19.85546875" customWidth="1"/>
    <col min="5" max="5" width="19" customWidth="1"/>
    <col min="6" max="6" width="9.140625" customWidth="1"/>
    <col min="7" max="7" width="20" customWidth="1"/>
    <col min="8" max="8" width="3.140625" customWidth="1"/>
    <col min="9" max="9" width="3.42578125" customWidth="1"/>
    <col min="10" max="14" width="1.5703125" customWidth="1"/>
    <col min="15" max="15" width="2.85546875" customWidth="1"/>
    <col min="16" max="16" width="1.85546875" customWidth="1"/>
    <col min="17" max="17" width="2.5703125" customWidth="1"/>
    <col min="18" max="18" width="5.85546875" customWidth="1"/>
    <col min="19" max="19" width="6.42578125" customWidth="1"/>
    <col min="20" max="20" width="2.42578125" customWidth="1"/>
  </cols>
  <sheetData>
    <row r="1" spans="1:23" s="68" customFormat="1" ht="9.75" customHeight="1">
      <c r="A1" s="117"/>
      <c r="B1" s="117"/>
      <c r="C1" s="117"/>
      <c r="D1" s="117"/>
      <c r="E1" s="117"/>
      <c r="F1" s="117"/>
      <c r="G1" s="117"/>
      <c r="H1" s="117"/>
      <c r="I1" s="117"/>
      <c r="J1" s="117"/>
      <c r="K1" s="117"/>
      <c r="L1" s="117"/>
      <c r="M1" s="117"/>
      <c r="N1" s="117"/>
      <c r="O1" s="117"/>
      <c r="P1" s="117"/>
    </row>
    <row r="2" spans="1:23" s="68" customFormat="1" ht="8.25" customHeight="1">
      <c r="A2" s="117"/>
      <c r="B2" s="47"/>
      <c r="C2" s="354"/>
      <c r="D2" s="47"/>
      <c r="E2" s="47"/>
      <c r="F2" s="47"/>
      <c r="G2" s="47"/>
      <c r="H2" s="47"/>
      <c r="I2" s="43"/>
      <c r="J2" s="47"/>
      <c r="K2" s="47"/>
      <c r="L2" s="47"/>
      <c r="M2" s="47"/>
      <c r="N2" s="47"/>
      <c r="O2" s="47"/>
      <c r="P2" s="117"/>
    </row>
    <row r="3" spans="1:23" s="68" customFormat="1" ht="12.75" customHeight="1">
      <c r="A3" s="117"/>
      <c r="B3" s="418" t="s">
        <v>419</v>
      </c>
      <c r="C3" s="354"/>
      <c r="D3" s="47"/>
      <c r="E3" s="47"/>
      <c r="F3" s="47"/>
      <c r="G3" s="47"/>
      <c r="H3" s="47"/>
      <c r="I3" s="4139" t="s">
        <v>257</v>
      </c>
      <c r="J3" s="4140"/>
      <c r="K3" s="4140"/>
      <c r="L3" s="4140"/>
      <c r="M3" s="4140"/>
      <c r="N3" s="4140"/>
      <c r="O3" s="4140"/>
      <c r="P3" s="117"/>
    </row>
    <row r="4" spans="1:23" s="68" customFormat="1" ht="16.5" customHeight="1">
      <c r="A4" s="117"/>
      <c r="B4" s="47" t="s">
        <v>420</v>
      </c>
      <c r="C4" s="354"/>
      <c r="D4" s="47"/>
      <c r="E4" s="1601" t="s">
        <v>421</v>
      </c>
      <c r="F4" s="1601"/>
      <c r="G4" s="47"/>
      <c r="H4" s="47"/>
      <c r="I4" s="4097">
        <f>TaxYear</f>
        <v>2014</v>
      </c>
      <c r="J4" s="4098"/>
      <c r="K4" s="4098"/>
      <c r="L4" s="4098"/>
      <c r="M4" s="4098"/>
      <c r="N4" s="4098"/>
      <c r="O4" s="4098"/>
      <c r="P4" s="117"/>
    </row>
    <row r="5" spans="1:23" s="68" customFormat="1" ht="12" customHeight="1">
      <c r="A5" s="117"/>
      <c r="B5" s="1582" t="s">
        <v>303</v>
      </c>
      <c r="C5" s="354"/>
      <c r="D5" s="43"/>
      <c r="E5" s="2590" t="s">
        <v>1492</v>
      </c>
      <c r="F5" s="47"/>
      <c r="G5" s="47"/>
      <c r="H5" s="47"/>
      <c r="I5" s="4099"/>
      <c r="J5" s="4100"/>
      <c r="K5" s="4100"/>
      <c r="L5" s="4100"/>
      <c r="M5" s="4100"/>
      <c r="N5" s="4100"/>
      <c r="O5" s="4100"/>
      <c r="P5" s="117"/>
    </row>
    <row r="6" spans="1:23" s="68" customFormat="1" ht="10.5" customHeight="1">
      <c r="A6" s="117"/>
      <c r="B6" s="1582" t="s">
        <v>378</v>
      </c>
      <c r="C6" s="354"/>
      <c r="D6" s="4104" t="s">
        <v>2180</v>
      </c>
      <c r="E6" s="3832"/>
      <c r="F6" s="3832"/>
      <c r="G6" s="3832"/>
      <c r="H6" s="4105"/>
      <c r="I6" s="1776" t="s">
        <v>1672</v>
      </c>
      <c r="J6" s="469"/>
      <c r="K6" s="469"/>
      <c r="L6" s="469"/>
      <c r="M6" s="469"/>
      <c r="N6" s="469"/>
      <c r="O6" s="47"/>
      <c r="P6" s="117"/>
    </row>
    <row r="7" spans="1:23" ht="9" customHeight="1" thickBot="1">
      <c r="A7" s="117"/>
      <c r="B7" s="1583"/>
      <c r="C7" s="1403"/>
      <c r="D7" s="2589"/>
      <c r="E7" s="45"/>
      <c r="F7" s="45"/>
      <c r="G7" s="45"/>
      <c r="H7" s="45"/>
      <c r="I7" s="1777" t="s">
        <v>1673</v>
      </c>
      <c r="J7" s="1753"/>
      <c r="K7" s="1753"/>
      <c r="L7" s="1753"/>
      <c r="M7" s="1753"/>
      <c r="N7" s="1753"/>
      <c r="O7" s="45"/>
      <c r="P7" s="942"/>
    </row>
    <row r="8" spans="1:23" ht="11.25" customHeight="1">
      <c r="A8" s="117"/>
      <c r="B8" s="876" t="s">
        <v>100</v>
      </c>
      <c r="C8" s="230"/>
      <c r="D8" s="877"/>
      <c r="E8" s="877"/>
      <c r="F8" s="877"/>
      <c r="G8" s="878"/>
      <c r="H8" s="4106" t="s">
        <v>151</v>
      </c>
      <c r="I8" s="4107"/>
      <c r="J8" s="4107"/>
      <c r="K8" s="4107"/>
      <c r="L8" s="4107"/>
      <c r="M8" s="4107"/>
      <c r="N8" s="4107"/>
      <c r="O8" s="4108"/>
      <c r="P8" s="942"/>
    </row>
    <row r="9" spans="1:23" ht="17.25" customHeight="1">
      <c r="A9" s="117"/>
      <c r="B9" s="2842" t="str">
        <f>Names</f>
        <v/>
      </c>
      <c r="C9" s="2843"/>
      <c r="D9" s="2844"/>
      <c r="E9" s="2844"/>
      <c r="F9" s="2844"/>
      <c r="G9" s="2844"/>
      <c r="H9" s="4109">
        <f>SS_Yours</f>
        <v>0</v>
      </c>
      <c r="I9" s="4110"/>
      <c r="J9" s="4110"/>
      <c r="K9" s="4110"/>
      <c r="L9" s="4110"/>
      <c r="M9" s="4110"/>
      <c r="N9" s="4110"/>
      <c r="O9" s="4111"/>
      <c r="P9" s="942"/>
    </row>
    <row r="10" spans="1:23" ht="13.5" customHeight="1">
      <c r="A10" s="117"/>
      <c r="B10" s="36" t="s">
        <v>93</v>
      </c>
      <c r="C10" s="36">
        <v>1</v>
      </c>
      <c r="D10" s="330" t="s">
        <v>101</v>
      </c>
      <c r="E10" s="208"/>
      <c r="F10" s="208"/>
      <c r="G10" s="208"/>
      <c r="H10" s="462"/>
      <c r="I10" s="4125" t="s">
        <v>67</v>
      </c>
      <c r="J10" s="4126"/>
      <c r="K10" s="4126"/>
      <c r="L10" s="4126"/>
      <c r="M10" s="4126"/>
      <c r="N10" s="4126"/>
      <c r="O10" s="4127"/>
      <c r="P10" s="942"/>
      <c r="W10" t="s">
        <v>1333</v>
      </c>
    </row>
    <row r="11" spans="1:23" ht="12" customHeight="1">
      <c r="A11" s="117"/>
      <c r="B11" s="36" t="s">
        <v>665</v>
      </c>
      <c r="C11" s="36"/>
      <c r="D11" s="330" t="s">
        <v>102</v>
      </c>
      <c r="E11" s="208"/>
      <c r="F11" s="208"/>
      <c r="G11" s="208"/>
      <c r="H11" s="463"/>
      <c r="I11" s="4128"/>
      <c r="J11" s="4129"/>
      <c r="K11" s="4129"/>
      <c r="L11" s="4129"/>
      <c r="M11" s="4129"/>
      <c r="N11" s="4129"/>
      <c r="O11" s="4130"/>
      <c r="P11" s="942"/>
    </row>
    <row r="12" spans="1:23" ht="12.75" customHeight="1">
      <c r="A12" s="117"/>
      <c r="B12" s="208"/>
      <c r="C12" s="36"/>
      <c r="D12" s="330" t="s">
        <v>107</v>
      </c>
      <c r="E12" s="208"/>
      <c r="F12" s="208"/>
      <c r="G12" s="336"/>
      <c r="H12" s="463"/>
      <c r="I12" s="4131"/>
      <c r="J12" s="4132"/>
      <c r="K12" s="4132"/>
      <c r="L12" s="4132"/>
      <c r="M12" s="4132"/>
      <c r="N12" s="4132"/>
      <c r="O12" s="4133"/>
      <c r="P12" s="942"/>
    </row>
    <row r="13" spans="1:23" ht="12.75" customHeight="1">
      <c r="A13" s="117"/>
      <c r="B13" s="330" t="s">
        <v>103</v>
      </c>
      <c r="C13" s="36"/>
      <c r="D13" s="4055"/>
      <c r="E13" s="4092"/>
      <c r="F13" s="4092"/>
      <c r="G13" s="4093"/>
      <c r="H13" s="2838"/>
      <c r="I13" s="4101"/>
      <c r="J13" s="4102"/>
      <c r="K13" s="4102"/>
      <c r="L13" s="4102"/>
      <c r="M13" s="4102"/>
      <c r="N13" s="4102"/>
      <c r="O13" s="4103"/>
      <c r="P13" s="942"/>
    </row>
    <row r="14" spans="1:23" ht="12.75" customHeight="1">
      <c r="A14" s="117"/>
      <c r="B14" s="330" t="s">
        <v>104</v>
      </c>
      <c r="C14" s="36"/>
      <c r="D14" s="4055"/>
      <c r="E14" s="4092"/>
      <c r="F14" s="4092"/>
      <c r="G14" s="4093"/>
      <c r="H14" s="463"/>
      <c r="I14" s="4134"/>
      <c r="J14" s="4135"/>
      <c r="K14" s="4135"/>
      <c r="L14" s="4135"/>
      <c r="M14" s="4135"/>
      <c r="N14" s="4135"/>
      <c r="O14" s="4136"/>
      <c r="P14" s="942"/>
    </row>
    <row r="15" spans="1:23" ht="12.75" customHeight="1">
      <c r="A15" s="117"/>
      <c r="B15" s="330" t="s">
        <v>768</v>
      </c>
      <c r="C15" s="36"/>
      <c r="D15" s="4094"/>
      <c r="E15" s="4095"/>
      <c r="F15" s="4095"/>
      <c r="G15" s="4096"/>
      <c r="H15" s="463"/>
      <c r="I15" s="4101"/>
      <c r="J15" s="4102"/>
      <c r="K15" s="4102"/>
      <c r="L15" s="4102"/>
      <c r="M15" s="4102"/>
      <c r="N15" s="4102"/>
      <c r="O15" s="4103"/>
      <c r="P15" s="942"/>
    </row>
    <row r="16" spans="1:23" ht="12.75" customHeight="1">
      <c r="A16" s="117"/>
      <c r="B16" s="330" t="s">
        <v>105</v>
      </c>
      <c r="C16" s="36"/>
      <c r="D16" s="4094"/>
      <c r="E16" s="4095"/>
      <c r="F16" s="4095"/>
      <c r="G16" s="4096"/>
      <c r="H16" s="463"/>
      <c r="I16" s="4101"/>
      <c r="J16" s="4102"/>
      <c r="K16" s="4102"/>
      <c r="L16" s="4102"/>
      <c r="M16" s="4102"/>
      <c r="N16" s="4102"/>
      <c r="O16" s="4103"/>
      <c r="P16" s="942"/>
    </row>
    <row r="17" spans="1:16" ht="12.75" customHeight="1">
      <c r="A17" s="117"/>
      <c r="B17" s="330" t="s">
        <v>769</v>
      </c>
      <c r="C17" s="36"/>
      <c r="D17" s="4094"/>
      <c r="E17" s="4095"/>
      <c r="F17" s="4095"/>
      <c r="G17" s="4096"/>
      <c r="H17" s="463"/>
      <c r="I17" s="4101"/>
      <c r="J17" s="4102"/>
      <c r="K17" s="4102"/>
      <c r="L17" s="4102"/>
      <c r="M17" s="4102"/>
      <c r="N17" s="4102"/>
      <c r="O17" s="4103"/>
      <c r="P17" s="942"/>
    </row>
    <row r="18" spans="1:16" ht="12.75" customHeight="1">
      <c r="A18" s="117"/>
      <c r="B18" s="330" t="s">
        <v>770</v>
      </c>
      <c r="C18" s="36"/>
      <c r="D18" s="4094"/>
      <c r="E18" s="4095"/>
      <c r="F18" s="4095"/>
      <c r="G18" s="4096"/>
      <c r="H18" s="463"/>
      <c r="I18" s="4101"/>
      <c r="J18" s="4102"/>
      <c r="K18" s="4102"/>
      <c r="L18" s="4102"/>
      <c r="M18" s="4102"/>
      <c r="N18" s="4102"/>
      <c r="O18" s="4103"/>
      <c r="P18" s="942"/>
    </row>
    <row r="19" spans="1:16" ht="12.75" customHeight="1">
      <c r="A19" s="117"/>
      <c r="B19" s="219"/>
      <c r="C19" s="36"/>
      <c r="D19" s="4094"/>
      <c r="E19" s="4095"/>
      <c r="F19" s="4095"/>
      <c r="G19" s="4096"/>
      <c r="H19" s="463"/>
      <c r="I19" s="4101"/>
      <c r="J19" s="4102"/>
      <c r="K19" s="4102"/>
      <c r="L19" s="4102"/>
      <c r="M19" s="4102"/>
      <c r="N19" s="4102"/>
      <c r="O19" s="4103"/>
      <c r="P19" s="942"/>
    </row>
    <row r="20" spans="1:16" ht="12.75" customHeight="1">
      <c r="A20" s="117"/>
      <c r="B20" s="325" t="s">
        <v>1675</v>
      </c>
      <c r="C20" s="36"/>
      <c r="D20" s="4094"/>
      <c r="E20" s="4095"/>
      <c r="F20" s="4095"/>
      <c r="G20" s="4096"/>
      <c r="H20" s="463"/>
      <c r="I20" s="4101"/>
      <c r="J20" s="4102"/>
      <c r="K20" s="4102"/>
      <c r="L20" s="4102"/>
      <c r="M20" s="4102"/>
      <c r="N20" s="4102"/>
      <c r="O20" s="4103"/>
      <c r="P20" s="942"/>
    </row>
    <row r="21" spans="1:16" ht="12.75" customHeight="1">
      <c r="A21" s="117"/>
      <c r="B21" s="4137" t="s">
        <v>1493</v>
      </c>
      <c r="C21" s="36"/>
      <c r="D21" s="4094"/>
      <c r="E21" s="4095"/>
      <c r="F21" s="4095"/>
      <c r="G21" s="4096"/>
      <c r="H21" s="463">
        <v>1</v>
      </c>
      <c r="I21" s="4101"/>
      <c r="J21" s="4102"/>
      <c r="K21" s="4102"/>
      <c r="L21" s="4102"/>
      <c r="M21" s="4102"/>
      <c r="N21" s="4102"/>
      <c r="O21" s="4103"/>
      <c r="P21" s="942"/>
    </row>
    <row r="22" spans="1:16" ht="12.75" customHeight="1">
      <c r="A22" s="117"/>
      <c r="B22" s="4138"/>
      <c r="C22" s="36"/>
      <c r="D22" s="4094"/>
      <c r="E22" s="4095"/>
      <c r="F22" s="4095"/>
      <c r="G22" s="4096"/>
      <c r="H22" s="463"/>
      <c r="I22" s="4101"/>
      <c r="J22" s="4102"/>
      <c r="K22" s="4102"/>
      <c r="L22" s="4102"/>
      <c r="M22" s="4102"/>
      <c r="N22" s="4102"/>
      <c r="O22" s="4103"/>
      <c r="P22" s="942"/>
    </row>
    <row r="23" spans="1:16" ht="12.75" customHeight="1">
      <c r="A23" s="117"/>
      <c r="B23" s="4138"/>
      <c r="C23" s="36"/>
      <c r="D23" s="4094"/>
      <c r="E23" s="4095"/>
      <c r="F23" s="4095"/>
      <c r="G23" s="4096"/>
      <c r="H23" s="463"/>
      <c r="I23" s="4101"/>
      <c r="J23" s="4102"/>
      <c r="K23" s="4102"/>
      <c r="L23" s="4102"/>
      <c r="M23" s="4102"/>
      <c r="N23" s="4102"/>
      <c r="O23" s="4103"/>
      <c r="P23" s="942"/>
    </row>
    <row r="24" spans="1:16" ht="12.75" customHeight="1">
      <c r="A24" s="117"/>
      <c r="B24" s="4138"/>
      <c r="C24" s="36"/>
      <c r="D24" s="4094"/>
      <c r="E24" s="4095"/>
      <c r="F24" s="4095"/>
      <c r="G24" s="4096"/>
      <c r="H24" s="463"/>
      <c r="I24" s="4101"/>
      <c r="J24" s="4102"/>
      <c r="K24" s="4102"/>
      <c r="L24" s="4102"/>
      <c r="M24" s="4102"/>
      <c r="N24" s="4102"/>
      <c r="O24" s="4103"/>
      <c r="P24" s="942"/>
    </row>
    <row r="25" spans="1:16" ht="12.75" customHeight="1">
      <c r="A25" s="117"/>
      <c r="B25" s="4138"/>
      <c r="C25" s="36"/>
      <c r="D25" s="4094"/>
      <c r="E25" s="4095"/>
      <c r="F25" s="4095"/>
      <c r="G25" s="4096"/>
      <c r="H25" s="463"/>
      <c r="I25" s="4101"/>
      <c r="J25" s="4102"/>
      <c r="K25" s="4102"/>
      <c r="L25" s="4102"/>
      <c r="M25" s="4102"/>
      <c r="N25" s="4102"/>
      <c r="O25" s="4103"/>
      <c r="P25" s="942"/>
    </row>
    <row r="26" spans="1:16" ht="12.75" customHeight="1">
      <c r="A26" s="117"/>
      <c r="B26" s="4138"/>
      <c r="C26" s="36"/>
      <c r="D26" s="4094"/>
      <c r="E26" s="4095"/>
      <c r="F26" s="4095"/>
      <c r="G26" s="4096"/>
      <c r="H26" s="463"/>
      <c r="I26" s="4101"/>
      <c r="J26" s="4102"/>
      <c r="K26" s="4102"/>
      <c r="L26" s="4102"/>
      <c r="M26" s="4102"/>
      <c r="N26" s="4102"/>
      <c r="O26" s="4103"/>
      <c r="P26" s="942"/>
    </row>
    <row r="27" spans="1:16" ht="12.75" customHeight="1">
      <c r="A27" s="117"/>
      <c r="B27" s="4138"/>
      <c r="C27" s="36"/>
      <c r="D27" s="4094"/>
      <c r="E27" s="4095"/>
      <c r="F27" s="4095"/>
      <c r="G27" s="4096"/>
      <c r="H27" s="459"/>
      <c r="I27" s="4101"/>
      <c r="J27" s="4102"/>
      <c r="K27" s="4102"/>
      <c r="L27" s="4102"/>
      <c r="M27" s="4102"/>
      <c r="N27" s="4102"/>
      <c r="O27" s="4103"/>
      <c r="P27" s="942"/>
    </row>
    <row r="28" spans="1:16" ht="12.75" customHeight="1">
      <c r="A28" s="117"/>
      <c r="B28" s="4138"/>
      <c r="C28" s="36">
        <v>2</v>
      </c>
      <c r="D28" s="330" t="s">
        <v>68</v>
      </c>
      <c r="E28" s="208"/>
      <c r="F28" s="208"/>
      <c r="G28" s="208"/>
      <c r="H28" s="464">
        <v>2</v>
      </c>
      <c r="I28" s="4141">
        <f>ROUND(SUM(I13:I27),0)</f>
        <v>0</v>
      </c>
      <c r="J28" s="4142"/>
      <c r="K28" s="4142"/>
      <c r="L28" s="4142"/>
      <c r="M28" s="4142"/>
      <c r="N28" s="4142"/>
      <c r="O28" s="4143"/>
      <c r="P28" s="942"/>
    </row>
    <row r="29" spans="1:16" ht="12.75" customHeight="1">
      <c r="A29" s="117"/>
      <c r="B29" s="4138"/>
      <c r="C29" s="36">
        <v>3</v>
      </c>
      <c r="D29" s="330" t="s">
        <v>426</v>
      </c>
      <c r="E29" s="208"/>
      <c r="F29" s="208"/>
      <c r="G29" s="208"/>
      <c r="H29" s="462"/>
      <c r="I29" s="223"/>
      <c r="J29" s="223"/>
      <c r="K29" s="223"/>
      <c r="L29" s="223"/>
      <c r="M29" s="223"/>
      <c r="N29" s="223"/>
      <c r="O29" s="220"/>
      <c r="P29" s="942"/>
    </row>
    <row r="30" spans="1:16" ht="12.75" customHeight="1">
      <c r="A30" s="117"/>
      <c r="B30" s="4138"/>
      <c r="C30" s="36"/>
      <c r="D30" s="330" t="s">
        <v>108</v>
      </c>
      <c r="E30" s="208"/>
      <c r="F30" s="208"/>
      <c r="G30" s="1586" t="s">
        <v>400</v>
      </c>
      <c r="H30" s="459">
        <v>3</v>
      </c>
      <c r="I30" s="4144"/>
      <c r="J30" s="4145"/>
      <c r="K30" s="4145"/>
      <c r="L30" s="4145"/>
      <c r="M30" s="4145"/>
      <c r="N30" s="4145"/>
      <c r="O30" s="4146"/>
      <c r="P30" s="942"/>
    </row>
    <row r="31" spans="1:16" ht="12.75" customHeight="1">
      <c r="A31" s="117"/>
      <c r="B31" s="4138"/>
      <c r="C31" s="36">
        <v>4</v>
      </c>
      <c r="D31" s="330" t="s">
        <v>106</v>
      </c>
      <c r="E31" s="208"/>
      <c r="F31" s="208"/>
      <c r="G31" s="208"/>
      <c r="H31" s="462"/>
      <c r="I31" s="2586"/>
      <c r="J31" s="1584"/>
      <c r="K31" s="1584"/>
      <c r="L31" s="1584"/>
      <c r="M31" s="1584"/>
      <c r="N31" s="1584"/>
      <c r="O31" s="1585"/>
      <c r="P31" s="942"/>
    </row>
    <row r="32" spans="1:16" ht="12.75" customHeight="1">
      <c r="A32" s="117"/>
      <c r="B32" s="4138"/>
      <c r="C32" s="36"/>
      <c r="D32" s="330" t="s">
        <v>109</v>
      </c>
      <c r="E32" s="208"/>
      <c r="F32" s="208"/>
      <c r="G32" s="1586" t="s">
        <v>110</v>
      </c>
      <c r="H32" s="459">
        <f>C31</f>
        <v>4</v>
      </c>
      <c r="I32" s="4117">
        <f>(I28)-ROUND(I30,0)</f>
        <v>0</v>
      </c>
      <c r="J32" s="4118"/>
      <c r="K32" s="4118"/>
      <c r="L32" s="4118"/>
      <c r="M32" s="4118"/>
      <c r="N32" s="4118"/>
      <c r="O32" s="4119"/>
      <c r="P32" s="942"/>
    </row>
    <row r="33" spans="1:16">
      <c r="A33" s="117"/>
      <c r="B33" s="27"/>
      <c r="C33" s="1685" t="s">
        <v>47</v>
      </c>
      <c r="D33" s="1603" t="str">
        <f>"If line 4 is over "&amp;TEXT(H33,"$0,000")&amp;", you must complete Part III."</f>
        <v>If line 4 is over $1,500, you must complete Part III.</v>
      </c>
      <c r="E33" s="222"/>
      <c r="F33" s="222"/>
      <c r="G33" s="2287">
        <f>IF(AND($I$32&gt;$H$33,OR(AND(K61="",N61=""),AND(K65="",N65=""),AND(K70="",N70=""))),1,0)</f>
        <v>0</v>
      </c>
      <c r="H33" s="1684">
        <v>1500</v>
      </c>
      <c r="I33" s="4125" t="s">
        <v>67</v>
      </c>
      <c r="J33" s="4126"/>
      <c r="K33" s="4126"/>
      <c r="L33" s="4126"/>
      <c r="M33" s="4126"/>
      <c r="N33" s="4126"/>
      <c r="O33" s="4127"/>
      <c r="P33" s="942"/>
    </row>
    <row r="34" spans="1:16" ht="12.75" customHeight="1">
      <c r="A34" s="117"/>
      <c r="B34" s="221" t="s">
        <v>197</v>
      </c>
      <c r="C34" s="36">
        <v>5</v>
      </c>
      <c r="D34" s="2592" t="s">
        <v>82</v>
      </c>
      <c r="E34" s="4094"/>
      <c r="F34" s="4095"/>
      <c r="G34" s="4095"/>
      <c r="H34" s="463"/>
      <c r="I34" s="4101"/>
      <c r="J34" s="4102"/>
      <c r="K34" s="4102"/>
      <c r="L34" s="4102"/>
      <c r="M34" s="4102"/>
      <c r="N34" s="4102"/>
      <c r="O34" s="4103"/>
      <c r="P34" s="942"/>
    </row>
    <row r="35" spans="1:16" ht="12.75" customHeight="1">
      <c r="A35" s="117"/>
      <c r="B35" s="36" t="s">
        <v>607</v>
      </c>
      <c r="C35" s="36"/>
      <c r="D35" s="4055"/>
      <c r="E35" s="4095"/>
      <c r="F35" s="4095"/>
      <c r="G35" s="4096"/>
      <c r="H35" s="463"/>
      <c r="I35" s="4101"/>
      <c r="J35" s="4102"/>
      <c r="K35" s="4102"/>
      <c r="L35" s="4102"/>
      <c r="M35" s="4102"/>
      <c r="N35" s="4102"/>
      <c r="O35" s="4103"/>
      <c r="P35" s="942"/>
    </row>
    <row r="36" spans="1:16" ht="12.75" customHeight="1">
      <c r="A36" s="117"/>
      <c r="B36" s="36" t="s">
        <v>608</v>
      </c>
      <c r="C36" s="36"/>
      <c r="D36" s="4094"/>
      <c r="E36" s="4095"/>
      <c r="F36" s="4095"/>
      <c r="G36" s="4096"/>
      <c r="H36" s="463"/>
      <c r="I36" s="4101"/>
      <c r="J36" s="4102"/>
      <c r="K36" s="4102"/>
      <c r="L36" s="4102"/>
      <c r="M36" s="4102"/>
      <c r="N36" s="4102"/>
      <c r="O36" s="4103"/>
      <c r="P36" s="942"/>
    </row>
    <row r="37" spans="1:16" ht="12.75" customHeight="1">
      <c r="A37" s="117"/>
      <c r="B37" s="36"/>
      <c r="C37" s="36"/>
      <c r="D37" s="4094"/>
      <c r="E37" s="4095"/>
      <c r="F37" s="4095"/>
      <c r="G37" s="4096"/>
      <c r="H37" s="463"/>
      <c r="I37" s="4101"/>
      <c r="J37" s="4102"/>
      <c r="K37" s="4102"/>
      <c r="L37" s="4102"/>
      <c r="M37" s="4102"/>
      <c r="N37" s="4102"/>
      <c r="O37" s="4103"/>
      <c r="P37" s="942"/>
    </row>
    <row r="38" spans="1:16" ht="12.75" customHeight="1">
      <c r="A38" s="117"/>
      <c r="B38" s="330" t="s">
        <v>103</v>
      </c>
      <c r="C38" s="36"/>
      <c r="D38" s="4094"/>
      <c r="E38" s="4095"/>
      <c r="F38" s="4095"/>
      <c r="G38" s="4096"/>
      <c r="H38" s="463"/>
      <c r="I38" s="4101"/>
      <c r="J38" s="4102"/>
      <c r="K38" s="4102"/>
      <c r="L38" s="4102"/>
      <c r="M38" s="4102"/>
      <c r="N38" s="4102"/>
      <c r="O38" s="4103"/>
      <c r="P38" s="942"/>
    </row>
    <row r="39" spans="1:16" ht="12.75" customHeight="1">
      <c r="A39" s="117"/>
      <c r="B39" s="330" t="s">
        <v>104</v>
      </c>
      <c r="C39" s="36"/>
      <c r="D39" s="4094"/>
      <c r="E39" s="4095"/>
      <c r="F39" s="4095"/>
      <c r="G39" s="4096"/>
      <c r="H39" s="463"/>
      <c r="I39" s="4101"/>
      <c r="J39" s="4102"/>
      <c r="K39" s="4102"/>
      <c r="L39" s="4102"/>
      <c r="M39" s="4102"/>
      <c r="N39" s="4102"/>
      <c r="O39" s="4103"/>
      <c r="P39" s="942"/>
    </row>
    <row r="40" spans="1:16" ht="12.75" customHeight="1">
      <c r="A40" s="117"/>
      <c r="B40" s="330" t="s">
        <v>768</v>
      </c>
      <c r="C40" s="36"/>
      <c r="D40" s="4094"/>
      <c r="E40" s="4095"/>
      <c r="F40" s="4095"/>
      <c r="G40" s="4096"/>
      <c r="H40" s="463"/>
      <c r="I40" s="4101"/>
      <c r="J40" s="4102"/>
      <c r="K40" s="4102"/>
      <c r="L40" s="4102"/>
      <c r="M40" s="4102"/>
      <c r="N40" s="4102"/>
      <c r="O40" s="4103"/>
      <c r="P40" s="942"/>
    </row>
    <row r="41" spans="1:16" ht="12.75" customHeight="1">
      <c r="A41" s="117"/>
      <c r="B41" s="330" t="s">
        <v>105</v>
      </c>
      <c r="C41" s="36"/>
      <c r="D41" s="4094"/>
      <c r="E41" s="4095"/>
      <c r="F41" s="4095"/>
      <c r="G41" s="4096"/>
      <c r="H41" s="463"/>
      <c r="I41" s="4101"/>
      <c r="J41" s="4102"/>
      <c r="K41" s="4102"/>
      <c r="L41" s="4102"/>
      <c r="M41" s="4102"/>
      <c r="N41" s="4102"/>
      <c r="O41" s="4103"/>
      <c r="P41" s="942"/>
    </row>
    <row r="42" spans="1:16" ht="12.75" customHeight="1">
      <c r="A42" s="117"/>
      <c r="B42" s="330" t="s">
        <v>1689</v>
      </c>
      <c r="C42" s="36"/>
      <c r="D42" s="4094"/>
      <c r="E42" s="4095"/>
      <c r="F42" s="4095"/>
      <c r="G42" s="4096"/>
      <c r="H42" s="463">
        <v>5</v>
      </c>
      <c r="I42" s="4101"/>
      <c r="J42" s="4102"/>
      <c r="K42" s="4102"/>
      <c r="L42" s="4102"/>
      <c r="M42" s="4102"/>
      <c r="N42" s="4102"/>
      <c r="O42" s="4103"/>
      <c r="P42" s="942"/>
    </row>
    <row r="43" spans="1:16" ht="12.75" customHeight="1">
      <c r="A43" s="117"/>
      <c r="B43" s="219"/>
      <c r="C43" s="36"/>
      <c r="D43" s="4094"/>
      <c r="E43" s="4095"/>
      <c r="F43" s="4095"/>
      <c r="G43" s="4096"/>
      <c r="H43" s="463"/>
      <c r="I43" s="4101"/>
      <c r="J43" s="4102"/>
      <c r="K43" s="4102"/>
      <c r="L43" s="4102"/>
      <c r="M43" s="4102"/>
      <c r="N43" s="4102"/>
      <c r="O43" s="4103"/>
      <c r="P43" s="942"/>
    </row>
    <row r="44" spans="1:16" ht="12.75" customHeight="1">
      <c r="A44" s="117"/>
      <c r="B44" s="325" t="s">
        <v>1674</v>
      </c>
      <c r="C44" s="36"/>
      <c r="D44" s="4094"/>
      <c r="E44" s="4095"/>
      <c r="F44" s="4095"/>
      <c r="G44" s="4096"/>
      <c r="H44" s="463"/>
      <c r="I44" s="4101"/>
      <c r="J44" s="4102"/>
      <c r="K44" s="4102"/>
      <c r="L44" s="4102"/>
      <c r="M44" s="4102"/>
      <c r="N44" s="4102"/>
      <c r="O44" s="4103"/>
      <c r="P44" s="942"/>
    </row>
    <row r="45" spans="1:16" ht="12.75" customHeight="1">
      <c r="A45" s="117"/>
      <c r="B45" s="330" t="s">
        <v>771</v>
      </c>
      <c r="C45" s="36"/>
      <c r="D45" s="4094"/>
      <c r="E45" s="4095"/>
      <c r="F45" s="4095"/>
      <c r="G45" s="4096"/>
      <c r="H45" s="463"/>
      <c r="I45" s="4101"/>
      <c r="J45" s="4102"/>
      <c r="K45" s="4102"/>
      <c r="L45" s="4102"/>
      <c r="M45" s="4102"/>
      <c r="N45" s="4102"/>
      <c r="O45" s="4103"/>
      <c r="P45" s="942"/>
    </row>
    <row r="46" spans="1:16" ht="12.75" customHeight="1">
      <c r="A46" s="117"/>
      <c r="B46" s="330" t="s">
        <v>15</v>
      </c>
      <c r="C46" s="36"/>
      <c r="D46" s="4094"/>
      <c r="E46" s="4095"/>
      <c r="F46" s="4095"/>
      <c r="G46" s="4096"/>
      <c r="H46" s="463"/>
      <c r="I46" s="4101"/>
      <c r="J46" s="4102"/>
      <c r="K46" s="4102"/>
      <c r="L46" s="4102"/>
      <c r="M46" s="4102"/>
      <c r="N46" s="4102"/>
      <c r="O46" s="4103"/>
      <c r="P46" s="942"/>
    </row>
    <row r="47" spans="1:16" ht="12.75" customHeight="1">
      <c r="A47" s="117"/>
      <c r="B47" s="330" t="s">
        <v>772</v>
      </c>
      <c r="C47" s="36"/>
      <c r="D47" s="4094"/>
      <c r="E47" s="4095"/>
      <c r="F47" s="4095"/>
      <c r="G47" s="4096"/>
      <c r="H47" s="463"/>
      <c r="I47" s="4101"/>
      <c r="J47" s="4102"/>
      <c r="K47" s="4102"/>
      <c r="L47" s="4102"/>
      <c r="M47" s="4102"/>
      <c r="N47" s="4102"/>
      <c r="O47" s="4103"/>
      <c r="P47" s="942"/>
    </row>
    <row r="48" spans="1:16" ht="12.75" customHeight="1">
      <c r="A48" s="117"/>
      <c r="B48" s="330" t="s">
        <v>773</v>
      </c>
      <c r="C48" s="36"/>
      <c r="D48" s="4094"/>
      <c r="E48" s="4095"/>
      <c r="F48" s="4095"/>
      <c r="G48" s="4096"/>
      <c r="H48" s="463"/>
      <c r="I48" s="4101"/>
      <c r="J48" s="4102"/>
      <c r="K48" s="4102"/>
      <c r="L48" s="4102"/>
      <c r="M48" s="4102"/>
      <c r="N48" s="4102"/>
      <c r="O48" s="4103"/>
      <c r="P48" s="942"/>
    </row>
    <row r="49" spans="1:16" ht="12.75" customHeight="1">
      <c r="A49" s="117"/>
      <c r="B49" s="330" t="s">
        <v>774</v>
      </c>
      <c r="C49" s="36"/>
      <c r="D49" s="4094"/>
      <c r="E49" s="4095"/>
      <c r="F49" s="4095"/>
      <c r="G49" s="4096"/>
      <c r="H49" s="463"/>
      <c r="I49" s="4101"/>
      <c r="J49" s="4102"/>
      <c r="K49" s="4102"/>
      <c r="L49" s="4102"/>
      <c r="M49" s="4102"/>
      <c r="N49" s="4102"/>
      <c r="O49" s="4103"/>
      <c r="P49" s="942"/>
    </row>
    <row r="50" spans="1:16" ht="12.75" customHeight="1">
      <c r="A50" s="117"/>
      <c r="B50" s="330" t="s">
        <v>370</v>
      </c>
      <c r="C50" s="36"/>
      <c r="D50" s="4094"/>
      <c r="E50" s="4095"/>
      <c r="F50" s="4095"/>
      <c r="G50" s="4096"/>
      <c r="H50" s="463"/>
      <c r="I50" s="4101"/>
      <c r="J50" s="4102"/>
      <c r="K50" s="4102"/>
      <c r="L50" s="4102"/>
      <c r="M50" s="4102"/>
      <c r="N50" s="4102"/>
      <c r="O50" s="4103"/>
      <c r="P50" s="942"/>
    </row>
    <row r="51" spans="1:16" ht="12.75" customHeight="1">
      <c r="A51" s="117"/>
      <c r="B51" s="330" t="s">
        <v>359</v>
      </c>
      <c r="C51" s="36"/>
      <c r="D51" s="4094"/>
      <c r="E51" s="4095"/>
      <c r="F51" s="4095"/>
      <c r="G51" s="4096"/>
      <c r="H51" s="463"/>
      <c r="I51" s="4101"/>
      <c r="J51" s="4102"/>
      <c r="K51" s="4102"/>
      <c r="L51" s="4102"/>
      <c r="M51" s="4102"/>
      <c r="N51" s="4102"/>
      <c r="O51" s="4103"/>
      <c r="P51" s="942"/>
    </row>
    <row r="52" spans="1:16" ht="12.75" customHeight="1">
      <c r="A52" s="117"/>
      <c r="B52" s="330" t="s">
        <v>123</v>
      </c>
      <c r="C52" s="36"/>
      <c r="D52" s="4094"/>
      <c r="E52" s="4095"/>
      <c r="F52" s="4095"/>
      <c r="G52" s="4096"/>
      <c r="H52" s="463"/>
      <c r="I52" s="4101"/>
      <c r="J52" s="4102"/>
      <c r="K52" s="4102"/>
      <c r="L52" s="4102"/>
      <c r="M52" s="4102"/>
      <c r="N52" s="4102"/>
      <c r="O52" s="4103"/>
      <c r="P52" s="942"/>
    </row>
    <row r="53" spans="1:16" ht="12.75" customHeight="1">
      <c r="A53" s="117"/>
      <c r="B53" s="330" t="s">
        <v>360</v>
      </c>
      <c r="C53" s="36"/>
      <c r="D53" s="4094"/>
      <c r="E53" s="4095"/>
      <c r="F53" s="4095"/>
      <c r="G53" s="4096"/>
      <c r="H53" s="459"/>
      <c r="I53" s="4101"/>
      <c r="J53" s="4102"/>
      <c r="K53" s="4102"/>
      <c r="L53" s="4102"/>
      <c r="M53" s="4102"/>
      <c r="N53" s="4102"/>
      <c r="O53" s="4103"/>
      <c r="P53" s="942"/>
    </row>
    <row r="54" spans="1:16" ht="12.75" customHeight="1">
      <c r="A54" s="117"/>
      <c r="B54" s="330" t="s">
        <v>52</v>
      </c>
      <c r="C54" s="36">
        <v>6</v>
      </c>
      <c r="D54" s="330" t="s">
        <v>593</v>
      </c>
      <c r="E54" s="1587"/>
      <c r="F54" s="1587"/>
      <c r="G54" s="1587"/>
      <c r="H54" s="462"/>
      <c r="I54" s="1763"/>
      <c r="J54" s="1764"/>
      <c r="K54" s="1764"/>
      <c r="L54" s="1764"/>
      <c r="M54" s="1764"/>
      <c r="N54" s="1764"/>
      <c r="O54" s="1765"/>
      <c r="P54" s="942"/>
    </row>
    <row r="55" spans="1:16" ht="12.75" customHeight="1">
      <c r="A55" s="117"/>
      <c r="B55" s="330" t="s">
        <v>53</v>
      </c>
      <c r="C55" s="36"/>
      <c r="D55" s="330" t="s">
        <v>594</v>
      </c>
      <c r="E55" s="208"/>
      <c r="F55" s="208"/>
      <c r="G55" s="1586" t="s">
        <v>110</v>
      </c>
      <c r="H55" s="459">
        <v>6</v>
      </c>
      <c r="I55" s="4117">
        <f>ROUND(SUM(I34:I53),0)</f>
        <v>0</v>
      </c>
      <c r="J55" s="4118"/>
      <c r="K55" s="4118"/>
      <c r="L55" s="4118"/>
      <c r="M55" s="4118"/>
      <c r="N55" s="4118"/>
      <c r="O55" s="4119"/>
      <c r="P55" s="942"/>
    </row>
    <row r="56" spans="1:16" ht="12.75" customHeight="1" thickBot="1">
      <c r="A56" s="117"/>
      <c r="B56" s="226"/>
      <c r="C56" s="1770" t="s">
        <v>47</v>
      </c>
      <c r="D56" s="1771" t="str">
        <f>"If line 6 is over "&amp;TEXT(H33,"$0,000")&amp;", you must complete Part III."</f>
        <v>If line 6 is over $1,500, you must complete Part III.</v>
      </c>
      <c r="E56" s="1772"/>
      <c r="F56" s="1772"/>
      <c r="G56" s="2288">
        <f>IF(AND($I$55&gt;$H$33,OR(AND(K61="",N61=""),AND(K65="",N65=""),AND(K70="",N70=""))),1,0)</f>
        <v>0</v>
      </c>
      <c r="H56" s="1773"/>
      <c r="I56" s="1774"/>
      <c r="J56" s="1774"/>
      <c r="K56" s="1774"/>
      <c r="L56" s="1774"/>
      <c r="M56" s="1774"/>
      <c r="N56" s="1774"/>
      <c r="O56" s="1775"/>
      <c r="P56" s="942"/>
    </row>
    <row r="57" spans="1:16" ht="11.25" customHeight="1">
      <c r="A57" s="117"/>
      <c r="B57" s="192"/>
      <c r="C57" s="234" t="str">
        <f>"You must complete this part if you (a) had over "&amp;TEXT(H33,"$0,000")&amp;" of interest or dividends; (b) had a foreign"</f>
        <v>You must complete this part if you (a) had over $1,500 of interest or dividends; (b) had a foreign</v>
      </c>
      <c r="D57" s="34"/>
      <c r="E57" s="34"/>
      <c r="F57" s="34"/>
      <c r="G57" s="34"/>
      <c r="H57" s="192"/>
      <c r="I57" s="198"/>
      <c r="J57" s="4112" t="s">
        <v>460</v>
      </c>
      <c r="K57" s="4113"/>
      <c r="L57" s="4114"/>
      <c r="M57" s="4112" t="s">
        <v>461</v>
      </c>
      <c r="N57" s="4113"/>
      <c r="O57" s="4114"/>
      <c r="P57" s="942"/>
    </row>
    <row r="58" spans="1:16" ht="11.25" customHeight="1">
      <c r="A58" s="117"/>
      <c r="B58" s="366" t="s">
        <v>546</v>
      </c>
      <c r="C58" s="334" t="s">
        <v>1135</v>
      </c>
      <c r="D58" s="210"/>
      <c r="E58" s="210"/>
      <c r="F58" s="210"/>
      <c r="G58" s="210"/>
      <c r="H58" s="27"/>
      <c r="I58" s="879"/>
      <c r="J58" s="4115"/>
      <c r="K58" s="4116"/>
      <c r="L58" s="4114"/>
      <c r="M58" s="4115"/>
      <c r="N58" s="4116"/>
      <c r="O58" s="4114"/>
      <c r="P58" s="942"/>
    </row>
    <row r="59" spans="1:16" ht="11.25" customHeight="1">
      <c r="A59" s="117"/>
      <c r="B59" s="366" t="s">
        <v>767</v>
      </c>
      <c r="C59" s="224" t="s">
        <v>448</v>
      </c>
      <c r="D59" s="34" t="str">
        <f>"At any time during "&amp;TaxYear&amp;", did you have interest in or a signature or other authority over a financial"</f>
        <v>At any time during 2014, did you have interest in or a signature or other authority over a financial</v>
      </c>
      <c r="E59" s="34"/>
      <c r="F59" s="34"/>
      <c r="G59" s="34"/>
      <c r="H59" s="192"/>
      <c r="I59" s="241"/>
      <c r="J59" s="1757"/>
      <c r="K59" s="1756"/>
      <c r="L59" s="1758"/>
      <c r="M59" s="1757"/>
      <c r="N59" s="1756"/>
      <c r="O59" s="1758"/>
      <c r="P59" s="942"/>
    </row>
    <row r="60" spans="1:16" ht="9.75" customHeight="1">
      <c r="A60" s="117"/>
      <c r="B60" s="366" t="s">
        <v>447</v>
      </c>
      <c r="C60" s="197"/>
      <c r="D60" s="208" t="s">
        <v>1129</v>
      </c>
      <c r="E60" s="208"/>
      <c r="F60" s="208"/>
      <c r="G60" s="208"/>
      <c r="H60" s="192"/>
      <c r="I60" s="241"/>
      <c r="J60" s="1759"/>
      <c r="K60" s="198"/>
      <c r="L60" s="241"/>
      <c r="M60" s="1759"/>
      <c r="N60" s="198"/>
      <c r="O60" s="241"/>
      <c r="P60" s="942"/>
    </row>
    <row r="61" spans="1:16" ht="9.75" customHeight="1">
      <c r="A61" s="117"/>
      <c r="B61" s="366" t="s">
        <v>1133</v>
      </c>
      <c r="C61" s="197"/>
      <c r="D61" s="208" t="s">
        <v>1130</v>
      </c>
      <c r="E61" s="208"/>
      <c r="F61" s="208"/>
      <c r="G61" s="208"/>
      <c r="H61" s="192"/>
      <c r="I61" s="1754" t="s">
        <v>1131</v>
      </c>
      <c r="J61" s="1759"/>
      <c r="K61" s="2591"/>
      <c r="L61" s="241"/>
      <c r="M61" s="1759"/>
      <c r="N61" s="3091"/>
      <c r="O61" s="241"/>
      <c r="P61" s="942"/>
    </row>
    <row r="62" spans="1:16" ht="3.75" customHeight="1">
      <c r="A62" s="117"/>
      <c r="B62" s="192"/>
      <c r="C62" s="197"/>
      <c r="D62" s="208"/>
      <c r="E62" s="208"/>
      <c r="F62" s="208"/>
      <c r="G62" s="208"/>
      <c r="H62" s="192"/>
      <c r="I62" s="1754"/>
      <c r="J62" s="1759"/>
      <c r="K62" s="1762"/>
      <c r="L62" s="241"/>
      <c r="M62" s="1759"/>
      <c r="N62" s="1762"/>
      <c r="O62" s="241"/>
      <c r="P62" s="942"/>
    </row>
    <row r="63" spans="1:16" ht="10.5" customHeight="1">
      <c r="A63" s="117"/>
      <c r="B63" s="208" t="s">
        <v>748</v>
      </c>
      <c r="C63" s="197"/>
      <c r="D63" s="208" t="s">
        <v>1676</v>
      </c>
      <c r="E63" s="208"/>
      <c r="F63" s="208"/>
      <c r="G63" s="208"/>
      <c r="H63" s="36"/>
      <c r="I63" s="1754"/>
      <c r="J63" s="1766"/>
      <c r="K63" s="1767"/>
      <c r="L63" s="1768"/>
      <c r="M63" s="1766"/>
      <c r="N63" s="1767"/>
      <c r="O63" s="1768"/>
      <c r="P63" s="942"/>
    </row>
    <row r="64" spans="1:16" ht="9.75" customHeight="1">
      <c r="A64" s="117"/>
      <c r="B64" s="208" t="s">
        <v>414</v>
      </c>
      <c r="C64" s="197"/>
      <c r="D64" s="208" t="s">
        <v>2181</v>
      </c>
      <c r="E64" s="208"/>
      <c r="F64" s="208"/>
      <c r="G64" s="208"/>
      <c r="H64" s="36"/>
      <c r="I64" s="1754"/>
      <c r="J64" s="1759"/>
      <c r="K64" s="198"/>
      <c r="L64" s="241"/>
      <c r="M64" s="1759"/>
      <c r="N64" s="198"/>
      <c r="O64" s="241"/>
      <c r="P64" s="942"/>
    </row>
    <row r="65" spans="1:16" ht="9.75" customHeight="1">
      <c r="A65" s="117"/>
      <c r="B65" s="34" t="s">
        <v>415</v>
      </c>
      <c r="C65" s="197"/>
      <c r="D65" s="208" t="s">
        <v>2182</v>
      </c>
      <c r="E65" s="208"/>
      <c r="F65" s="208"/>
      <c r="G65" s="208"/>
      <c r="H65" s="36"/>
      <c r="I65" s="1754" t="s">
        <v>2183</v>
      </c>
      <c r="J65" s="1759"/>
      <c r="K65" s="2591"/>
      <c r="L65" s="241"/>
      <c r="M65" s="1759"/>
      <c r="N65" s="3091"/>
      <c r="O65" s="241"/>
      <c r="P65" s="942"/>
    </row>
    <row r="66" spans="1:16" ht="3" customHeight="1">
      <c r="A66" s="117"/>
      <c r="B66" s="208" t="s">
        <v>414</v>
      </c>
      <c r="C66" s="197"/>
      <c r="D66" s="208"/>
      <c r="E66" s="208"/>
      <c r="F66" s="208"/>
      <c r="G66" s="208"/>
      <c r="H66" s="36"/>
      <c r="I66" s="1754"/>
      <c r="J66" s="1759"/>
      <c r="K66" s="1762"/>
      <c r="L66" s="241"/>
      <c r="M66" s="1759"/>
      <c r="N66" s="1762"/>
      <c r="O66" s="241"/>
      <c r="P66" s="942"/>
    </row>
    <row r="67" spans="1:16" ht="12.75" customHeight="1">
      <c r="A67" s="117"/>
      <c r="B67" s="34"/>
      <c r="C67" s="225" t="s">
        <v>85</v>
      </c>
      <c r="D67" s="208" t="s">
        <v>1677</v>
      </c>
      <c r="E67" s="208"/>
      <c r="F67" s="208"/>
      <c r="G67" s="208"/>
      <c r="H67" s="36"/>
      <c r="I67" s="1754"/>
      <c r="J67" s="1766"/>
      <c r="K67" s="1767"/>
      <c r="L67" s="1768"/>
      <c r="M67" s="1766"/>
      <c r="N67" s="1767"/>
      <c r="O67" s="1768"/>
      <c r="P67" s="942"/>
    </row>
    <row r="68" spans="1:16" ht="12" customHeight="1">
      <c r="A68" s="117"/>
      <c r="B68" s="208"/>
      <c r="C68" s="225"/>
      <c r="D68" s="1760" t="s">
        <v>1132</v>
      </c>
      <c r="E68" s="4124"/>
      <c r="F68" s="4124"/>
      <c r="G68" s="4064"/>
      <c r="H68" s="4064"/>
      <c r="I68" s="4065"/>
      <c r="J68" s="1757"/>
      <c r="K68" s="1756"/>
      <c r="L68" s="1758"/>
      <c r="M68" s="1757"/>
      <c r="N68" s="1756"/>
      <c r="O68" s="1758"/>
      <c r="P68" s="942"/>
    </row>
    <row r="69" spans="1:16" ht="9" customHeight="1">
      <c r="A69" s="117"/>
      <c r="B69" s="34"/>
      <c r="C69" s="4122">
        <v>8</v>
      </c>
      <c r="D69" s="208" t="str">
        <f>"During "&amp;TaxYear&amp;", did you receive a distribution from, or were you the grantor of, or transferor to, a"</f>
        <v>During 2014, did you receive a distribution from, or were you the grantor of, or transferor to, a</v>
      </c>
      <c r="E69" s="208"/>
      <c r="F69" s="208"/>
      <c r="G69" s="208"/>
      <c r="H69" s="36"/>
      <c r="I69" s="241"/>
      <c r="J69" s="2283"/>
      <c r="K69" s="2284"/>
      <c r="L69" s="2285"/>
      <c r="M69" s="2283"/>
      <c r="N69" s="2284"/>
      <c r="O69" s="2285"/>
      <c r="P69" s="942"/>
    </row>
    <row r="70" spans="1:16" ht="9.75" customHeight="1">
      <c r="A70" s="117"/>
      <c r="B70" s="34"/>
      <c r="C70" s="4123"/>
      <c r="D70" s="34" t="s">
        <v>412</v>
      </c>
      <c r="E70" s="34"/>
      <c r="F70" s="34"/>
      <c r="G70" s="34"/>
      <c r="H70" s="192"/>
      <c r="I70" s="1754" t="s">
        <v>2036</v>
      </c>
      <c r="J70" s="1759"/>
      <c r="K70" s="2591"/>
      <c r="L70" s="241"/>
      <c r="M70" s="1759"/>
      <c r="N70" s="3091"/>
      <c r="O70" s="241"/>
      <c r="P70" s="942"/>
    </row>
    <row r="71" spans="1:16" ht="4.5" customHeight="1" thickBot="1">
      <c r="A71" s="117"/>
      <c r="B71" s="228"/>
      <c r="C71" s="2279"/>
      <c r="D71" s="228"/>
      <c r="E71" s="228"/>
      <c r="F71" s="228"/>
      <c r="G71" s="228"/>
      <c r="H71" s="226"/>
      <c r="I71" s="2280"/>
      <c r="J71" s="2281"/>
      <c r="K71" s="2282"/>
      <c r="L71" s="2286"/>
      <c r="M71" s="2281"/>
      <c r="N71" s="2278"/>
      <c r="O71" s="2286"/>
      <c r="P71" s="942"/>
    </row>
    <row r="72" spans="1:16" ht="13.5" customHeight="1">
      <c r="A72" s="135"/>
      <c r="B72" s="352" t="s">
        <v>825</v>
      </c>
      <c r="C72" s="230"/>
      <c r="D72" s="230"/>
      <c r="E72" s="230"/>
      <c r="F72" s="1778" t="s">
        <v>1134</v>
      </c>
      <c r="G72" s="230"/>
      <c r="H72" s="230"/>
      <c r="I72" s="363"/>
      <c r="J72" s="578"/>
      <c r="K72" s="1761"/>
      <c r="L72" s="578"/>
      <c r="M72" s="578"/>
      <c r="N72" s="578"/>
      <c r="O72" s="1769" t="str">
        <f>"Schedule B (Form 1040A or Form 1040)  "&amp;TaxYear</f>
        <v>Schedule B (Form 1040A or Form 1040)  2014</v>
      </c>
      <c r="P72" s="942"/>
    </row>
    <row r="73" spans="1:16" ht="9.75" customHeight="1">
      <c r="A73" s="117"/>
      <c r="B73" s="1027"/>
      <c r="C73" s="1027"/>
      <c r="D73" s="1028"/>
      <c r="E73" s="1028"/>
      <c r="F73" s="1028"/>
      <c r="G73" s="1028"/>
      <c r="H73" s="1027"/>
      <c r="I73" s="1029"/>
      <c r="J73" s="1029"/>
      <c r="K73" s="1029"/>
      <c r="L73" s="1029"/>
      <c r="M73" s="1029"/>
      <c r="N73" s="1029"/>
      <c r="O73" s="1029"/>
      <c r="P73" s="942"/>
    </row>
    <row r="74" spans="1:16" ht="15" customHeight="1">
      <c r="A74" s="882"/>
      <c r="B74" s="882"/>
      <c r="C74" s="882"/>
      <c r="D74" s="883"/>
      <c r="E74" s="883"/>
      <c r="F74" s="883"/>
      <c r="G74" s="883"/>
      <c r="H74" s="882"/>
      <c r="I74" s="881"/>
      <c r="J74" s="881"/>
      <c r="K74" s="881"/>
      <c r="L74" s="881"/>
      <c r="M74" s="881"/>
      <c r="N74" s="881"/>
      <c r="O74" s="881"/>
    </row>
    <row r="75" spans="1:16">
      <c r="B75" s="5"/>
      <c r="C75" s="882"/>
      <c r="D75" s="883"/>
      <c r="E75" s="883"/>
      <c r="F75" s="883"/>
      <c r="G75" s="883"/>
      <c r="H75" s="882"/>
      <c r="I75" s="881"/>
      <c r="J75" s="881"/>
      <c r="K75" s="881"/>
      <c r="L75" s="881"/>
      <c r="M75" s="881"/>
      <c r="N75" s="881"/>
      <c r="O75" s="881"/>
    </row>
    <row r="76" spans="1:16" ht="13.5" thickBot="1">
      <c r="B76" s="882"/>
      <c r="C76" s="882"/>
      <c r="D76" s="883"/>
      <c r="E76" s="883"/>
      <c r="F76" s="883"/>
      <c r="G76" s="883"/>
      <c r="H76" s="882"/>
      <c r="I76" s="881"/>
      <c r="J76" s="881"/>
      <c r="K76" s="881"/>
      <c r="L76" s="881"/>
      <c r="M76" s="881"/>
      <c r="N76" s="881"/>
      <c r="O76" s="881"/>
    </row>
    <row r="77" spans="1:16" ht="14.25" thickTop="1" thickBot="1">
      <c r="B77" s="882"/>
      <c r="C77" s="4052" t="s">
        <v>263</v>
      </c>
      <c r="D77" s="4120"/>
      <c r="E77" s="4120"/>
      <c r="F77" s="4120"/>
      <c r="G77" s="4121"/>
      <c r="H77" s="882"/>
      <c r="I77" s="881"/>
      <c r="J77" s="881"/>
      <c r="K77" s="881"/>
      <c r="L77" s="881"/>
      <c r="M77" s="881"/>
      <c r="N77" s="881"/>
      <c r="O77" s="881"/>
    </row>
    <row r="78" spans="1:16" ht="13.5" thickTop="1">
      <c r="B78" s="6"/>
      <c r="C78" s="6"/>
      <c r="D78" s="9"/>
      <c r="E78" s="9"/>
      <c r="F78" s="9"/>
      <c r="G78" s="9"/>
      <c r="H78" s="6"/>
      <c r="I78" s="8"/>
      <c r="J78" s="8"/>
      <c r="K78" s="8"/>
      <c r="L78" s="8"/>
      <c r="M78" s="8"/>
      <c r="N78" s="8"/>
      <c r="O78" s="8"/>
    </row>
  </sheetData>
  <sheetProtection password="F07E" sheet="1" objects="1" scenarios="1"/>
  <mergeCells count="89">
    <mergeCell ref="D39:G39"/>
    <mergeCell ref="I36:O36"/>
    <mergeCell ref="D44:G44"/>
    <mergeCell ref="D41:G41"/>
    <mergeCell ref="D43:G43"/>
    <mergeCell ref="I38:O38"/>
    <mergeCell ref="I39:O39"/>
    <mergeCell ref="I44:O44"/>
    <mergeCell ref="D42:G42"/>
    <mergeCell ref="D26:G26"/>
    <mergeCell ref="D27:G27"/>
    <mergeCell ref="D35:G35"/>
    <mergeCell ref="D37:G37"/>
    <mergeCell ref="D38:G38"/>
    <mergeCell ref="D36:G36"/>
    <mergeCell ref="E34:G34"/>
    <mergeCell ref="B21:B32"/>
    <mergeCell ref="I3:O3"/>
    <mergeCell ref="I22:O22"/>
    <mergeCell ref="I26:O26"/>
    <mergeCell ref="I27:O27"/>
    <mergeCell ref="I28:O28"/>
    <mergeCell ref="I32:O32"/>
    <mergeCell ref="I25:O25"/>
    <mergeCell ref="D19:G19"/>
    <mergeCell ref="I30:O30"/>
    <mergeCell ref="D24:G24"/>
    <mergeCell ref="D25:G25"/>
    <mergeCell ref="D15:G15"/>
    <mergeCell ref="D21:G21"/>
    <mergeCell ref="D22:G22"/>
    <mergeCell ref="D23:G23"/>
    <mergeCell ref="I10:O10"/>
    <mergeCell ref="I11:O11"/>
    <mergeCell ref="I12:O12"/>
    <mergeCell ref="I14:O14"/>
    <mergeCell ref="I15:O15"/>
    <mergeCell ref="I16:O16"/>
    <mergeCell ref="I17:O17"/>
    <mergeCell ref="I18:O18"/>
    <mergeCell ref="I19:O19"/>
    <mergeCell ref="I20:O20"/>
    <mergeCell ref="I21:O21"/>
    <mergeCell ref="I23:O23"/>
    <mergeCell ref="I24:O24"/>
    <mergeCell ref="I45:O45"/>
    <mergeCell ref="I40:O40"/>
    <mergeCell ref="I33:O33"/>
    <mergeCell ref="I34:O34"/>
    <mergeCell ref="I35:O35"/>
    <mergeCell ref="I37:O37"/>
    <mergeCell ref="C77:G77"/>
    <mergeCell ref="C69:C70"/>
    <mergeCell ref="E68:I68"/>
    <mergeCell ref="I43:O43"/>
    <mergeCell ref="D51:G51"/>
    <mergeCell ref="D53:G53"/>
    <mergeCell ref="I46:O46"/>
    <mergeCell ref="I47:O47"/>
    <mergeCell ref="I52:O52"/>
    <mergeCell ref="I53:O53"/>
    <mergeCell ref="I48:O48"/>
    <mergeCell ref="D47:G47"/>
    <mergeCell ref="D49:G49"/>
    <mergeCell ref="D50:G50"/>
    <mergeCell ref="I49:O49"/>
    <mergeCell ref="I50:O50"/>
    <mergeCell ref="D48:G48"/>
    <mergeCell ref="I51:O51"/>
    <mergeCell ref="D52:G52"/>
    <mergeCell ref="J57:L58"/>
    <mergeCell ref="M57:O58"/>
    <mergeCell ref="I55:O55"/>
    <mergeCell ref="D14:G14"/>
    <mergeCell ref="D45:G45"/>
    <mergeCell ref="D46:G46"/>
    <mergeCell ref="D40:G40"/>
    <mergeCell ref="I4:O5"/>
    <mergeCell ref="D13:G13"/>
    <mergeCell ref="I13:O13"/>
    <mergeCell ref="D6:H6"/>
    <mergeCell ref="H8:O8"/>
    <mergeCell ref="H9:O9"/>
    <mergeCell ref="D16:G16"/>
    <mergeCell ref="D17:G17"/>
    <mergeCell ref="D18:G18"/>
    <mergeCell ref="D20:G20"/>
    <mergeCell ref="I42:O42"/>
    <mergeCell ref="I41:O41"/>
  </mergeCells>
  <phoneticPr fontId="12" type="noConversion"/>
  <conditionalFormatting sqref="C33">
    <cfRule type="expression" dxfId="881" priority="22" stopIfTrue="1">
      <formula>$G$33</formula>
    </cfRule>
  </conditionalFormatting>
  <conditionalFormatting sqref="D33">
    <cfRule type="expression" dxfId="880" priority="21" stopIfTrue="1">
      <formula>IF($G$33,1,0)</formula>
    </cfRule>
  </conditionalFormatting>
  <conditionalFormatting sqref="C56">
    <cfRule type="expression" dxfId="879" priority="20" stopIfTrue="1">
      <formula>IF($G$56,1,0)</formula>
    </cfRule>
  </conditionalFormatting>
  <conditionalFormatting sqref="D56">
    <cfRule type="expression" dxfId="878" priority="19" stopIfTrue="1">
      <formula>IF($G$56,1,0)</formula>
    </cfRule>
  </conditionalFormatting>
  <conditionalFormatting sqref="B9:O9 D14:G27 I14:O28">
    <cfRule type="expression" dxfId="877" priority="18">
      <formula>IF(NoColor,1,0)</formula>
    </cfRule>
  </conditionalFormatting>
  <conditionalFormatting sqref="I32:O32">
    <cfRule type="expression" dxfId="876" priority="15">
      <formula>IF(NoColor,1,0)</formula>
    </cfRule>
  </conditionalFormatting>
  <conditionalFormatting sqref="I30:O30">
    <cfRule type="expression" dxfId="875" priority="14">
      <formula>IF(NoColor,1,0)</formula>
    </cfRule>
  </conditionalFormatting>
  <conditionalFormatting sqref="D35:G53">
    <cfRule type="expression" dxfId="874" priority="13">
      <formula>IF(NoColor,1,0)</formula>
    </cfRule>
  </conditionalFormatting>
  <conditionalFormatting sqref="E34:G34">
    <cfRule type="expression" dxfId="873" priority="12">
      <formula>IF(NoColor,1,0)</formula>
    </cfRule>
  </conditionalFormatting>
  <conditionalFormatting sqref="I34:O53">
    <cfRule type="expression" dxfId="872" priority="11">
      <formula>IF(NoColor,1,0)</formula>
    </cfRule>
  </conditionalFormatting>
  <conditionalFormatting sqref="I55:O55">
    <cfRule type="expression" dxfId="871" priority="10">
      <formula>IF(NoColor,1,0)</formula>
    </cfRule>
  </conditionalFormatting>
  <conditionalFormatting sqref="E68:I68">
    <cfRule type="expression" dxfId="870" priority="3">
      <formula>IF(NoColor,1,0)</formula>
    </cfRule>
  </conditionalFormatting>
  <conditionalFormatting sqref="K61">
    <cfRule type="expression" dxfId="869" priority="9">
      <formula>IF(NoColor,1,0)</formula>
    </cfRule>
  </conditionalFormatting>
  <conditionalFormatting sqref="N61">
    <cfRule type="expression" dxfId="868" priority="8">
      <formula>IF(NoColor,1,0)</formula>
    </cfRule>
  </conditionalFormatting>
  <conditionalFormatting sqref="K65">
    <cfRule type="expression" dxfId="867" priority="7">
      <formula>IF(NoColor,1,0)</formula>
    </cfRule>
  </conditionalFormatting>
  <conditionalFormatting sqref="N65">
    <cfRule type="expression" dxfId="866" priority="6">
      <formula>IF(NoColor,1,0)</formula>
    </cfRule>
  </conditionalFormatting>
  <conditionalFormatting sqref="K70">
    <cfRule type="expression" dxfId="865" priority="5">
      <formula>IF(NoColor,1,0)</formula>
    </cfRule>
  </conditionalFormatting>
  <conditionalFormatting sqref="N70">
    <cfRule type="expression" dxfId="864" priority="4">
      <formula>IF(NoColor,1,0)</formula>
    </cfRule>
  </conditionalFormatting>
  <conditionalFormatting sqref="D13:G13">
    <cfRule type="expression" dxfId="863" priority="2">
      <formula>IF(NoColor,1,0)</formula>
    </cfRule>
  </conditionalFormatting>
  <conditionalFormatting sqref="I13:O13">
    <cfRule type="expression" dxfId="862" priority="1">
      <formula>IF(NoColor,1,0)</formula>
    </cfRule>
  </conditionalFormatting>
  <hyperlinks>
    <hyperlink ref="C77:G77" r:id="rId1" display="Download Form 1040 Schedules A&amp;B"/>
  </hyperlinks>
  <printOptions horizontalCentered="1"/>
  <pageMargins left="0.48" right="0.25" top="0.33" bottom="0.2" header="0.25" footer="0.2"/>
  <pageSetup scale="90" orientation="portrait" horizontalDpi="120" verticalDpi="144" r:id="rId2"/>
  <headerFooter alignWithMargins="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X124"/>
  <sheetViews>
    <sheetView zoomScaleNormal="100" workbookViewId="0">
      <selection activeCell="E17" sqref="E17"/>
    </sheetView>
  </sheetViews>
  <sheetFormatPr defaultRowHeight="12.75"/>
  <cols>
    <col min="1" max="1" width="2" customWidth="1"/>
    <col min="2" max="2" width="6.140625" customWidth="1"/>
    <col min="3" max="3" width="12.7109375" customWidth="1"/>
    <col min="4" max="4" width="11.42578125" customWidth="1"/>
    <col min="5" max="5" width="3" customWidth="1"/>
    <col min="6" max="6" width="6.28515625" customWidth="1"/>
    <col min="7" max="7" width="3.5703125" customWidth="1"/>
    <col min="8" max="8" width="4" customWidth="1"/>
    <col min="9" max="9" width="10.7109375" customWidth="1"/>
    <col min="10" max="10" width="3" customWidth="1"/>
    <col min="11" max="11" width="2.42578125" customWidth="1"/>
    <col min="12" max="12" width="10.28515625" customWidth="1"/>
    <col min="13" max="19" width="4.5703125" customWidth="1"/>
    <col min="20" max="20" width="4.42578125" customWidth="1"/>
    <col min="21" max="21" width="7" customWidth="1"/>
    <col min="22" max="22" width="1.7109375" customWidth="1"/>
    <col min="23" max="23" width="11.5703125" style="68" customWidth="1"/>
    <col min="24" max="24" width="1.7109375" customWidth="1"/>
  </cols>
  <sheetData>
    <row r="1" spans="1:24" ht="15.75" customHeight="1">
      <c r="A1" s="117"/>
      <c r="B1" s="117"/>
      <c r="C1" s="1657"/>
      <c r="D1" s="117"/>
      <c r="E1" s="117"/>
      <c r="F1" s="117"/>
      <c r="G1" s="117"/>
      <c r="H1" s="117"/>
      <c r="I1" s="117"/>
      <c r="J1" s="117"/>
      <c r="K1" s="117"/>
      <c r="L1" s="117"/>
      <c r="M1" s="117"/>
      <c r="N1" s="117"/>
      <c r="O1" s="117"/>
      <c r="P1" s="117"/>
      <c r="Q1" s="117"/>
      <c r="R1" s="117"/>
      <c r="S1" s="117"/>
      <c r="T1" s="117"/>
      <c r="U1" s="117"/>
      <c r="V1" s="942"/>
      <c r="W1" s="551"/>
      <c r="X1" s="942"/>
    </row>
    <row r="2" spans="1:24">
      <c r="A2" s="117"/>
      <c r="B2" s="117"/>
      <c r="C2" s="117"/>
      <c r="D2" s="117"/>
      <c r="E2" s="117"/>
      <c r="F2" s="117"/>
      <c r="G2" s="117"/>
      <c r="H2" s="117"/>
      <c r="I2" s="117"/>
      <c r="J2" s="117"/>
      <c r="K2" s="117"/>
      <c r="L2" s="117"/>
      <c r="M2" s="117"/>
      <c r="N2" s="117"/>
      <c r="O2" s="117"/>
      <c r="P2" s="117"/>
      <c r="Q2" s="117"/>
      <c r="R2" s="117"/>
      <c r="S2" s="117"/>
      <c r="T2" s="117"/>
      <c r="U2" s="117"/>
      <c r="V2" s="942"/>
      <c r="W2" s="551"/>
      <c r="X2" s="942"/>
    </row>
    <row r="3" spans="1:24" ht="15.75" customHeight="1">
      <c r="A3" s="117"/>
      <c r="B3" s="117"/>
      <c r="C3" s="117"/>
      <c r="D3" s="117"/>
      <c r="E3" s="117"/>
      <c r="F3" s="117"/>
      <c r="G3" s="117"/>
      <c r="H3" s="117"/>
      <c r="I3" s="117"/>
      <c r="J3" s="117"/>
      <c r="K3" s="117"/>
      <c r="L3" s="117"/>
      <c r="M3" s="117"/>
      <c r="N3" s="117"/>
      <c r="O3" s="117"/>
      <c r="P3" s="117"/>
      <c r="Q3" s="117"/>
      <c r="R3" s="117"/>
      <c r="S3" s="117"/>
      <c r="T3" s="117"/>
      <c r="U3" s="117"/>
      <c r="V3" s="942"/>
      <c r="W3" s="551"/>
      <c r="X3" s="942"/>
    </row>
    <row r="4" spans="1:24" s="3" customFormat="1" ht="20.25" customHeight="1">
      <c r="A4" s="1023"/>
      <c r="B4" s="192" t="s">
        <v>617</v>
      </c>
      <c r="C4" s="1314"/>
      <c r="D4" s="231"/>
      <c r="E4" s="231"/>
      <c r="F4" s="963" t="s">
        <v>618</v>
      </c>
      <c r="G4" s="364"/>
      <c r="H4" s="364"/>
      <c r="I4" s="198"/>
      <c r="J4" s="198"/>
      <c r="K4" s="198"/>
      <c r="L4" s="192"/>
      <c r="M4" s="198"/>
      <c r="N4" s="364"/>
      <c r="O4" s="364"/>
      <c r="P4" s="235"/>
      <c r="Q4" s="364"/>
      <c r="R4" s="4181" t="s">
        <v>257</v>
      </c>
      <c r="S4" s="3967"/>
      <c r="T4" s="3967"/>
      <c r="U4" s="3967"/>
      <c r="V4" s="1023"/>
      <c r="W4" s="551"/>
      <c r="X4" s="1023"/>
    </row>
    <row r="5" spans="1:24" ht="18.75" customHeight="1">
      <c r="A5" s="942"/>
      <c r="B5" s="1779" t="s">
        <v>302</v>
      </c>
      <c r="C5" s="1314"/>
      <c r="D5" s="231"/>
      <c r="E5" s="231"/>
      <c r="F5" s="231"/>
      <c r="G5" s="231"/>
      <c r="H5" s="232"/>
      <c r="I5" s="1588" t="s">
        <v>619</v>
      </c>
      <c r="J5" s="233"/>
      <c r="K5" s="233"/>
      <c r="L5" s="231"/>
      <c r="M5" s="234"/>
      <c r="N5" s="232"/>
      <c r="O5" s="232"/>
      <c r="P5" s="235"/>
      <c r="Q5" s="231"/>
      <c r="R5" s="4182">
        <f>TaxYear</f>
        <v>2014</v>
      </c>
      <c r="S5" s="4183"/>
      <c r="T5" s="4184"/>
      <c r="U5" s="4185"/>
      <c r="V5" s="942"/>
      <c r="W5" s="551"/>
      <c r="X5" s="942"/>
    </row>
    <row r="6" spans="1:24" ht="12" customHeight="1">
      <c r="A6" s="942"/>
      <c r="B6" s="4198" t="s">
        <v>1138</v>
      </c>
      <c r="C6" s="4199"/>
      <c r="D6" s="4217" t="s">
        <v>1136</v>
      </c>
      <c r="E6" s="3889"/>
      <c r="F6" s="3889"/>
      <c r="G6" s="3889"/>
      <c r="H6" s="3889"/>
      <c r="I6" s="3889"/>
      <c r="J6" s="3889"/>
      <c r="K6" s="3889"/>
      <c r="L6" s="3889"/>
      <c r="M6" s="3889"/>
      <c r="N6" s="3889"/>
      <c r="O6" s="3889"/>
      <c r="P6" s="3889"/>
      <c r="Q6" s="4218"/>
      <c r="R6" s="237"/>
      <c r="S6" s="34" t="s">
        <v>304</v>
      </c>
      <c r="T6" s="231"/>
      <c r="U6" s="231"/>
      <c r="V6" s="942"/>
      <c r="W6" s="551"/>
      <c r="X6" s="942"/>
    </row>
    <row r="7" spans="1:24" ht="10.5" customHeight="1">
      <c r="A7" s="942"/>
      <c r="B7" s="4200"/>
      <c r="C7" s="4201"/>
      <c r="D7" s="4204" t="s">
        <v>1137</v>
      </c>
      <c r="E7" s="3967"/>
      <c r="F7" s="3967"/>
      <c r="G7" s="3967"/>
      <c r="H7" s="3967"/>
      <c r="I7" s="3967"/>
      <c r="J7" s="3967"/>
      <c r="K7" s="3967"/>
      <c r="L7" s="3967"/>
      <c r="M7" s="3967"/>
      <c r="N7" s="3967"/>
      <c r="O7" s="3967"/>
      <c r="P7" s="3967"/>
      <c r="Q7" s="4205"/>
      <c r="R7" s="240"/>
      <c r="S7" s="800" t="s">
        <v>620</v>
      </c>
      <c r="T7" s="239"/>
      <c r="U7" s="239"/>
      <c r="V7" s="942"/>
      <c r="W7" s="551"/>
      <c r="X7" s="942"/>
    </row>
    <row r="8" spans="1:24" ht="12" customHeight="1">
      <c r="A8" s="942"/>
      <c r="B8" s="234" t="s">
        <v>621</v>
      </c>
      <c r="C8" s="231"/>
      <c r="D8" s="231"/>
      <c r="E8" s="231"/>
      <c r="F8" s="196"/>
      <c r="G8" s="196"/>
      <c r="H8" s="198"/>
      <c r="I8" s="212"/>
      <c r="J8" s="212"/>
      <c r="K8" s="212"/>
      <c r="L8" s="241"/>
      <c r="M8" s="244" t="s">
        <v>241</v>
      </c>
      <c r="N8" s="198"/>
      <c r="O8" s="198"/>
      <c r="P8" s="198"/>
      <c r="Q8" s="196"/>
      <c r="R8" s="196"/>
      <c r="S8" s="196"/>
      <c r="T8" s="196"/>
      <c r="U8" s="196"/>
      <c r="V8" s="942"/>
      <c r="W8" s="551"/>
      <c r="X8" s="942"/>
    </row>
    <row r="9" spans="1:24" ht="14.25" customHeight="1" thickBot="1">
      <c r="A9" s="942"/>
      <c r="B9" s="4206"/>
      <c r="C9" s="3910"/>
      <c r="D9" s="3910"/>
      <c r="E9" s="3910"/>
      <c r="F9" s="3910"/>
      <c r="G9" s="3910"/>
      <c r="H9" s="3910"/>
      <c r="I9" s="3910"/>
      <c r="J9" s="3910"/>
      <c r="K9" s="3910"/>
      <c r="L9" s="4207"/>
      <c r="M9" s="4211"/>
      <c r="N9" s="4212"/>
      <c r="O9" s="4212"/>
      <c r="P9" s="4212"/>
      <c r="Q9" s="4212"/>
      <c r="R9" s="4212"/>
      <c r="S9" s="4212"/>
      <c r="T9" s="4212"/>
      <c r="U9" s="2595"/>
      <c r="V9" s="942"/>
      <c r="W9" s="551"/>
      <c r="X9" s="942"/>
    </row>
    <row r="10" spans="1:24" ht="12.75" customHeight="1" thickTop="1">
      <c r="A10" s="942"/>
      <c r="B10" s="205" t="s">
        <v>242</v>
      </c>
      <c r="C10" s="234" t="s">
        <v>2155</v>
      </c>
      <c r="D10" s="243"/>
      <c r="E10" s="231"/>
      <c r="F10" s="196"/>
      <c r="G10" s="196"/>
      <c r="H10" s="198"/>
      <c r="I10" s="212"/>
      <c r="J10" s="212"/>
      <c r="K10" s="212"/>
      <c r="L10" s="198"/>
      <c r="M10" s="1634" t="s">
        <v>1139</v>
      </c>
      <c r="N10" s="91"/>
      <c r="O10" s="91"/>
      <c r="P10" s="91"/>
      <c r="Q10" s="92"/>
      <c r="R10" s="92"/>
      <c r="S10" s="92"/>
      <c r="T10" s="92"/>
      <c r="U10" s="534"/>
      <c r="V10" s="942"/>
      <c r="W10" s="551"/>
      <c r="X10" s="942"/>
    </row>
    <row r="11" spans="1:24" ht="12.75" customHeight="1" thickBot="1">
      <c r="A11" s="942"/>
      <c r="B11" s="4208"/>
      <c r="C11" s="4209"/>
      <c r="D11" s="4209"/>
      <c r="E11" s="4209"/>
      <c r="F11" s="4209"/>
      <c r="G11" s="4209"/>
      <c r="H11" s="4209"/>
      <c r="I11" s="4209"/>
      <c r="J11" s="4209"/>
      <c r="K11" s="4209"/>
      <c r="L11" s="4210"/>
      <c r="M11" s="1635"/>
      <c r="N11" s="1448"/>
      <c r="O11" s="1447"/>
      <c r="P11" s="2593"/>
      <c r="Q11" s="2593"/>
      <c r="R11" s="2593"/>
      <c r="S11" s="2593"/>
      <c r="T11" s="2593"/>
      <c r="U11" s="2594"/>
      <c r="V11" s="942"/>
      <c r="W11" s="551"/>
      <c r="X11" s="942"/>
    </row>
    <row r="12" spans="1:24" ht="12" customHeight="1" thickTop="1">
      <c r="A12" s="942"/>
      <c r="B12" s="205" t="s">
        <v>243</v>
      </c>
      <c r="C12" s="234" t="s">
        <v>592</v>
      </c>
      <c r="D12" s="234"/>
      <c r="E12" s="231"/>
      <c r="F12" s="196"/>
      <c r="G12" s="196"/>
      <c r="H12" s="198"/>
      <c r="I12" s="212"/>
      <c r="J12" s="212"/>
      <c r="K12" s="212"/>
      <c r="L12" s="241"/>
      <c r="M12" s="244" t="s">
        <v>1140</v>
      </c>
      <c r="N12" s="198"/>
      <c r="O12" s="198"/>
      <c r="P12" s="198"/>
      <c r="Q12" s="196"/>
      <c r="R12" s="196"/>
      <c r="S12" s="196"/>
      <c r="T12" s="196"/>
      <c r="U12" s="196"/>
      <c r="V12" s="942"/>
      <c r="W12" s="551"/>
      <c r="X12" s="942"/>
    </row>
    <row r="13" spans="1:24" ht="14.25" customHeight="1">
      <c r="A13" s="942"/>
      <c r="B13" s="4208"/>
      <c r="C13" s="4209"/>
      <c r="D13" s="4209"/>
      <c r="E13" s="4209"/>
      <c r="F13" s="4209"/>
      <c r="G13" s="4209"/>
      <c r="H13" s="4209"/>
      <c r="I13" s="4209"/>
      <c r="J13" s="4209"/>
      <c r="K13" s="4209"/>
      <c r="L13" s="4209"/>
      <c r="M13" s="2596"/>
      <c r="N13" s="2597"/>
      <c r="O13" s="2598"/>
      <c r="P13" s="2596"/>
      <c r="Q13" s="2596"/>
      <c r="R13" s="2596"/>
      <c r="S13" s="2596"/>
      <c r="T13" s="2599"/>
      <c r="U13" s="2599"/>
      <c r="V13" s="942"/>
      <c r="W13" s="551"/>
      <c r="X13" s="942"/>
    </row>
    <row r="14" spans="1:24" ht="11.25" customHeight="1">
      <c r="A14" s="942"/>
      <c r="B14" s="205" t="s">
        <v>629</v>
      </c>
      <c r="C14" s="234" t="s">
        <v>1141</v>
      </c>
      <c r="D14" s="243"/>
      <c r="E14" s="231"/>
      <c r="F14" s="196"/>
      <c r="G14" s="196"/>
      <c r="H14" s="236">
        <v>4</v>
      </c>
      <c r="I14" s="4213"/>
      <c r="J14" s="4214"/>
      <c r="K14" s="4214"/>
      <c r="L14" s="4214"/>
      <c r="M14" s="4214"/>
      <c r="N14" s="4214"/>
      <c r="O14" s="4214"/>
      <c r="P14" s="4214"/>
      <c r="Q14" s="4214"/>
      <c r="R14" s="4214"/>
      <c r="S14" s="4214"/>
      <c r="T14" s="4214"/>
      <c r="U14" s="4214"/>
      <c r="V14" s="942"/>
      <c r="W14" s="551"/>
      <c r="X14" s="942"/>
    </row>
    <row r="15" spans="1:24" ht="11.25" customHeight="1">
      <c r="A15" s="942"/>
      <c r="B15" s="811"/>
      <c r="C15" s="245" t="s">
        <v>630</v>
      </c>
      <c r="D15" s="245"/>
      <c r="E15" s="218"/>
      <c r="F15" s="28"/>
      <c r="G15" s="28"/>
      <c r="H15" s="28"/>
      <c r="I15" s="4186"/>
      <c r="J15" s="4187"/>
      <c r="K15" s="4188"/>
      <c r="L15" s="4187"/>
      <c r="M15" s="4187"/>
      <c r="N15" s="4187"/>
      <c r="O15" s="4187"/>
      <c r="P15" s="4187"/>
      <c r="Q15" s="4187"/>
      <c r="R15" s="4187"/>
      <c r="S15" s="4187"/>
      <c r="T15" s="4187"/>
      <c r="U15" s="4187"/>
      <c r="V15" s="942"/>
      <c r="W15" s="551"/>
      <c r="X15" s="942"/>
    </row>
    <row r="16" spans="1:24" ht="3" customHeight="1" thickBot="1">
      <c r="A16" s="942"/>
      <c r="B16" s="1780"/>
      <c r="C16" s="243"/>
      <c r="D16" s="243"/>
      <c r="E16" s="231"/>
      <c r="F16" s="196"/>
      <c r="G16" s="196"/>
      <c r="H16" s="196"/>
      <c r="I16" s="1781"/>
      <c r="J16" s="1782"/>
      <c r="K16" s="1784"/>
      <c r="L16" s="1785"/>
      <c r="M16" s="1785"/>
      <c r="N16" s="1785"/>
      <c r="O16" s="1785"/>
      <c r="P16" s="1785"/>
      <c r="Q16" s="1785"/>
      <c r="R16" s="1785"/>
      <c r="S16" s="1785"/>
      <c r="T16" s="1785"/>
      <c r="U16" s="1785"/>
      <c r="V16" s="942"/>
      <c r="W16" s="551"/>
      <c r="X16" s="942"/>
    </row>
    <row r="17" spans="1:24" ht="14.25" customHeight="1" thickBot="1">
      <c r="A17" s="942"/>
      <c r="B17" s="205" t="s">
        <v>631</v>
      </c>
      <c r="C17" s="243" t="s">
        <v>222</v>
      </c>
      <c r="D17" s="243"/>
      <c r="E17" s="2600"/>
      <c r="F17" s="1783" t="s">
        <v>223</v>
      </c>
      <c r="G17" s="246" t="str">
        <f>"(2)"</f>
        <v>(2)</v>
      </c>
      <c r="H17" s="2600"/>
      <c r="I17" s="243" t="s">
        <v>224</v>
      </c>
      <c r="J17" s="247" t="str">
        <f>"(3)"</f>
        <v>(3)</v>
      </c>
      <c r="K17" s="2600"/>
      <c r="L17" s="234" t="s">
        <v>1142</v>
      </c>
      <c r="M17" s="243"/>
      <c r="N17" s="4202"/>
      <c r="O17" s="4203"/>
      <c r="P17" s="4203"/>
      <c r="Q17" s="4203"/>
      <c r="R17" s="4203"/>
      <c r="S17" s="4203"/>
      <c r="T17" s="4203"/>
      <c r="U17" s="4203"/>
      <c r="V17" s="942"/>
      <c r="W17" s="551"/>
      <c r="X17" s="942"/>
    </row>
    <row r="18" spans="1:24" ht="3.75" customHeight="1" thickBot="1">
      <c r="A18" s="942"/>
      <c r="B18" s="205"/>
      <c r="C18" s="243"/>
      <c r="D18" s="243"/>
      <c r="E18" s="1275"/>
      <c r="F18" s="196"/>
      <c r="G18" s="246"/>
      <c r="H18" s="1276"/>
      <c r="I18" s="243"/>
      <c r="J18" s="247"/>
      <c r="K18" s="1276"/>
      <c r="L18" s="243"/>
      <c r="M18" s="243"/>
      <c r="N18" s="964"/>
      <c r="O18" s="1277"/>
      <c r="P18" s="1277"/>
      <c r="Q18" s="1277"/>
      <c r="R18" s="1277"/>
      <c r="S18" s="1277"/>
      <c r="T18" s="1277"/>
      <c r="U18" s="1277"/>
      <c r="V18" s="942"/>
      <c r="W18" s="551"/>
      <c r="X18" s="942"/>
    </row>
    <row r="19" spans="1:24" ht="12.75" customHeight="1" thickBot="1">
      <c r="A19" s="942"/>
      <c r="B19" s="205" t="s">
        <v>225</v>
      </c>
      <c r="C19" s="34" t="str">
        <f>"Did you “materially participate” in the operation of this business during "&amp;TaxYear&amp;"? If “No,” see instructions for limit on losses."</f>
        <v>Did you “materially participate” in the operation of this business during 2014? If “No,” see instructions for limit on losses.</v>
      </c>
      <c r="D19" s="34"/>
      <c r="E19" s="196"/>
      <c r="F19" s="196"/>
      <c r="G19" s="246"/>
      <c r="H19" s="196"/>
      <c r="I19" s="243"/>
      <c r="J19" s="247"/>
      <c r="K19" s="247"/>
      <c r="L19" s="196"/>
      <c r="M19" s="243"/>
      <c r="N19" s="196"/>
      <c r="O19" s="196"/>
      <c r="P19" s="196"/>
      <c r="Q19" s="196"/>
      <c r="R19" s="2600"/>
      <c r="S19" s="233" t="s">
        <v>460</v>
      </c>
      <c r="T19" s="2600"/>
      <c r="U19" s="233" t="s">
        <v>461</v>
      </c>
      <c r="V19" s="942"/>
      <c r="W19" s="551"/>
      <c r="X19" s="942"/>
    </row>
    <row r="20" spans="1:24" ht="12.75" customHeight="1" thickBot="1">
      <c r="A20" s="942"/>
      <c r="B20" s="205" t="s">
        <v>112</v>
      </c>
      <c r="C20" s="243" t="str">
        <f>"If you started or acquired this business during "&amp;TaxYear&amp;", check here"</f>
        <v>If you started or acquired this business during 2014, check here</v>
      </c>
      <c r="D20" s="243"/>
      <c r="E20" s="231"/>
      <c r="F20" s="196"/>
      <c r="G20" s="196"/>
      <c r="H20" s="964"/>
      <c r="I20" s="1786"/>
      <c r="J20" s="1786"/>
      <c r="K20" s="1786"/>
      <c r="L20" s="964"/>
      <c r="M20" s="1786"/>
      <c r="N20" s="964"/>
      <c r="O20" s="964"/>
      <c r="P20" s="964"/>
      <c r="Q20" s="910" t="s">
        <v>1146</v>
      </c>
      <c r="R20" s="2600"/>
      <c r="S20" s="910"/>
      <c r="T20" s="1787"/>
      <c r="U20" s="196"/>
      <c r="V20" s="942"/>
      <c r="W20" s="551"/>
      <c r="X20" s="942"/>
    </row>
    <row r="21" spans="1:24" ht="12.75" customHeight="1" thickBot="1">
      <c r="A21" s="942"/>
      <c r="B21" s="233" t="s">
        <v>1143</v>
      </c>
      <c r="C21" s="234" t="str">
        <f>"Did you make any payments in "&amp;TaxYear&amp;" that would require you to file Form(s) 1099? (see instructions) "</f>
        <v xml:space="preserve">Did you make any payments in 2014 that would require you to file Form(s) 1099? (see instructions) </v>
      </c>
      <c r="D21" s="34"/>
      <c r="E21" s="196"/>
      <c r="F21" s="196"/>
      <c r="G21" s="246"/>
      <c r="H21" s="196"/>
      <c r="I21" s="243"/>
      <c r="J21" s="247"/>
      <c r="K21" s="247"/>
      <c r="L21" s="196"/>
      <c r="M21" s="243"/>
      <c r="N21" s="196"/>
      <c r="O21" s="196"/>
      <c r="P21" s="196"/>
      <c r="Q21" s="910" t="s">
        <v>964</v>
      </c>
      <c r="R21" s="2600"/>
      <c r="S21" s="233" t="s">
        <v>460</v>
      </c>
      <c r="T21" s="2600"/>
      <c r="U21" s="233" t="s">
        <v>461</v>
      </c>
      <c r="V21" s="942"/>
      <c r="W21" s="551"/>
      <c r="X21" s="942"/>
    </row>
    <row r="22" spans="1:24" ht="12.75" customHeight="1" thickBot="1">
      <c r="A22" s="942"/>
      <c r="B22" s="233" t="s">
        <v>1144</v>
      </c>
      <c r="C22" s="234" t="s">
        <v>1145</v>
      </c>
      <c r="D22" s="34"/>
      <c r="E22" s="196"/>
      <c r="F22" s="196"/>
      <c r="G22" s="246"/>
      <c r="H22" s="196"/>
      <c r="I22" s="243"/>
      <c r="J22" s="247"/>
      <c r="K22" s="247"/>
      <c r="L22" s="196"/>
      <c r="M22" s="243"/>
      <c r="N22" s="196"/>
      <c r="O22" s="196"/>
      <c r="P22" s="196"/>
      <c r="Q22" s="910" t="s">
        <v>1147</v>
      </c>
      <c r="R22" s="2600"/>
      <c r="S22" s="233" t="s">
        <v>460</v>
      </c>
      <c r="T22" s="2600"/>
      <c r="U22" s="233" t="s">
        <v>461</v>
      </c>
      <c r="V22" s="942"/>
      <c r="W22" s="315" t="s">
        <v>152</v>
      </c>
      <c r="X22" s="942"/>
    </row>
    <row r="23" spans="1:24" ht="15" customHeight="1">
      <c r="A23" s="942"/>
      <c r="B23" s="531" t="s">
        <v>93</v>
      </c>
      <c r="C23" s="248" t="s">
        <v>505</v>
      </c>
      <c r="D23" s="248"/>
      <c r="E23" s="249"/>
      <c r="F23" s="250"/>
      <c r="G23" s="250"/>
      <c r="H23" s="250"/>
      <c r="I23" s="251"/>
      <c r="J23" s="251"/>
      <c r="K23" s="251"/>
      <c r="L23" s="251"/>
      <c r="M23" s="251"/>
      <c r="N23" s="250"/>
      <c r="O23" s="250"/>
      <c r="P23" s="252"/>
      <c r="Q23" s="250"/>
      <c r="R23" s="250"/>
      <c r="S23" s="250"/>
      <c r="T23" s="250"/>
      <c r="U23" s="250"/>
      <c r="V23" s="942"/>
      <c r="W23" s="217" t="s">
        <v>706</v>
      </c>
      <c r="X23" s="942"/>
    </row>
    <row r="24" spans="1:24" ht="13.5" customHeight="1" thickBot="1">
      <c r="A24" s="942"/>
      <c r="B24" s="232">
        <v>1</v>
      </c>
      <c r="C24" s="535" t="s">
        <v>1494</v>
      </c>
      <c r="D24" s="535"/>
      <c r="E24" s="254"/>
      <c r="F24" s="254"/>
      <c r="G24" s="254"/>
      <c r="H24" s="254"/>
      <c r="I24" s="255"/>
      <c r="J24" s="255"/>
      <c r="K24" s="255"/>
      <c r="L24" s="255"/>
      <c r="M24" s="910"/>
      <c r="N24" s="254"/>
      <c r="O24" s="254"/>
      <c r="P24" s="254"/>
      <c r="Q24" s="801"/>
      <c r="R24" s="910"/>
      <c r="S24" s="1487"/>
      <c r="T24" s="1486"/>
      <c r="U24" s="1486"/>
      <c r="V24" s="942"/>
      <c r="W24" s="551"/>
      <c r="X24" s="942"/>
    </row>
    <row r="25" spans="1:24" ht="12" customHeight="1" thickBot="1">
      <c r="A25" s="942"/>
      <c r="B25" s="232"/>
      <c r="C25" s="535" t="s">
        <v>1495</v>
      </c>
      <c r="D25" s="535"/>
      <c r="E25" s="254"/>
      <c r="F25" s="254"/>
      <c r="G25" s="254"/>
      <c r="H25" s="254"/>
      <c r="I25" s="255"/>
      <c r="J25" s="255"/>
      <c r="K25" s="255"/>
      <c r="L25" s="255"/>
      <c r="M25" s="910"/>
      <c r="N25" s="254"/>
      <c r="O25" s="910" t="s">
        <v>1701</v>
      </c>
      <c r="P25" s="254"/>
      <c r="Q25" s="2600"/>
      <c r="R25" s="910"/>
      <c r="S25" s="1788">
        <v>1</v>
      </c>
      <c r="T25" s="4215"/>
      <c r="U25" s="4216"/>
      <c r="V25" s="942"/>
      <c r="W25" s="551"/>
      <c r="X25" s="942"/>
    </row>
    <row r="26" spans="1:24" ht="12" customHeight="1">
      <c r="A26" s="942"/>
      <c r="B26" s="274">
        <v>2</v>
      </c>
      <c r="C26" s="535" t="s">
        <v>1702</v>
      </c>
      <c r="D26" s="258"/>
      <c r="E26" s="254"/>
      <c r="F26" s="254"/>
      <c r="G26" s="254"/>
      <c r="H26" s="254"/>
      <c r="I26" s="255"/>
      <c r="J26" s="255"/>
      <c r="K26" s="255"/>
      <c r="L26" s="255"/>
      <c r="M26" s="255"/>
      <c r="N26" s="254"/>
      <c r="O26" s="254"/>
      <c r="P26" s="256"/>
      <c r="Q26" s="254"/>
      <c r="R26" s="967" t="s">
        <v>1149</v>
      </c>
      <c r="S26" s="536">
        <v>2</v>
      </c>
      <c r="T26" s="4194"/>
      <c r="U26" s="4195"/>
      <c r="V26" s="942"/>
      <c r="W26" s="551"/>
      <c r="X26" s="942"/>
    </row>
    <row r="27" spans="1:24" ht="12" customHeight="1">
      <c r="A27" s="942"/>
      <c r="B27" s="274">
        <v>3</v>
      </c>
      <c r="C27" s="1636" t="s">
        <v>1496</v>
      </c>
      <c r="D27" s="259"/>
      <c r="E27" s="259"/>
      <c r="F27" s="256"/>
      <c r="G27" s="256"/>
      <c r="H27" s="256"/>
      <c r="I27" s="259"/>
      <c r="J27" s="259"/>
      <c r="K27" s="259"/>
      <c r="L27" s="259"/>
      <c r="M27" s="259"/>
      <c r="N27" s="256"/>
      <c r="O27" s="256"/>
      <c r="P27" s="259"/>
      <c r="Q27" s="256"/>
      <c r="R27" s="967" t="s">
        <v>1149</v>
      </c>
      <c r="S27" s="257">
        <v>3</v>
      </c>
      <c r="T27" s="4165">
        <f>SUM(T25,-T26)</f>
        <v>0</v>
      </c>
      <c r="U27" s="4166"/>
      <c r="V27" s="942"/>
      <c r="W27" s="551"/>
      <c r="X27" s="942"/>
    </row>
    <row r="28" spans="1:24" ht="12" customHeight="1">
      <c r="A28" s="942"/>
      <c r="B28" s="274">
        <v>4</v>
      </c>
      <c r="C28" s="1636" t="s">
        <v>1148</v>
      </c>
      <c r="D28" s="259"/>
      <c r="E28" s="259"/>
      <c r="F28" s="256"/>
      <c r="G28" s="256"/>
      <c r="H28" s="256"/>
      <c r="I28" s="259"/>
      <c r="J28" s="259"/>
      <c r="K28" s="259"/>
      <c r="L28" s="259"/>
      <c r="M28" s="259"/>
      <c r="N28" s="256"/>
      <c r="O28" s="256"/>
      <c r="P28" s="259"/>
      <c r="Q28" s="256"/>
      <c r="R28" s="256"/>
      <c r="S28" s="257">
        <v>4</v>
      </c>
      <c r="T28" s="4165">
        <f>IF(W28&lt;&gt;"",W28,T88)</f>
        <v>0</v>
      </c>
      <c r="U28" s="4166"/>
      <c r="V28" s="942"/>
      <c r="W28" s="926"/>
      <c r="X28" s="942"/>
    </row>
    <row r="29" spans="1:24" ht="12" customHeight="1">
      <c r="A29" s="942"/>
      <c r="B29" s="274">
        <v>5</v>
      </c>
      <c r="C29" s="261" t="s">
        <v>671</v>
      </c>
      <c r="D29" s="261"/>
      <c r="E29" s="259"/>
      <c r="F29" s="256"/>
      <c r="G29" s="256"/>
      <c r="H29" s="256"/>
      <c r="I29" s="259"/>
      <c r="J29" s="259"/>
      <c r="K29" s="259"/>
      <c r="L29" s="259"/>
      <c r="M29" s="259"/>
      <c r="N29" s="256"/>
      <c r="O29" s="256"/>
      <c r="P29" s="259"/>
      <c r="Q29" s="256"/>
      <c r="R29" s="256"/>
      <c r="S29" s="257">
        <v>5</v>
      </c>
      <c r="T29" s="4165">
        <f>T27-T28</f>
        <v>0</v>
      </c>
      <c r="U29" s="4166"/>
      <c r="V29" s="942"/>
      <c r="W29" s="551"/>
      <c r="X29" s="942"/>
    </row>
    <row r="30" spans="1:24" ht="12" customHeight="1">
      <c r="A30" s="942"/>
      <c r="B30" s="274">
        <v>6</v>
      </c>
      <c r="C30" s="1636" t="s">
        <v>1703</v>
      </c>
      <c r="D30" s="259"/>
      <c r="E30" s="259"/>
      <c r="F30" s="256"/>
      <c r="G30" s="256"/>
      <c r="H30" s="256"/>
      <c r="I30" s="259"/>
      <c r="J30" s="259"/>
      <c r="K30" s="259"/>
      <c r="L30" s="259"/>
      <c r="M30" s="259"/>
      <c r="N30" s="256"/>
      <c r="O30" s="256"/>
      <c r="P30" s="259"/>
      <c r="Q30" s="256"/>
      <c r="R30" s="256"/>
      <c r="S30" s="257">
        <v>6</v>
      </c>
      <c r="T30" s="4153"/>
      <c r="U30" s="4154"/>
      <c r="V30" s="942"/>
      <c r="W30" s="551"/>
      <c r="X30" s="942"/>
    </row>
    <row r="31" spans="1:24" ht="12" customHeight="1">
      <c r="A31" s="942"/>
      <c r="B31" s="274">
        <v>7</v>
      </c>
      <c r="C31" s="265" t="s">
        <v>549</v>
      </c>
      <c r="D31" s="265"/>
      <c r="E31" s="243"/>
      <c r="F31" s="254"/>
      <c r="G31" s="254"/>
      <c r="H31" s="262"/>
      <c r="I31" s="259"/>
      <c r="J31" s="259"/>
      <c r="K31" s="259"/>
      <c r="L31" s="263"/>
      <c r="M31" s="259"/>
      <c r="N31" s="262"/>
      <c r="O31" s="262"/>
      <c r="P31" s="259"/>
      <c r="Q31" s="254"/>
      <c r="R31" s="254"/>
      <c r="S31" s="257">
        <v>7</v>
      </c>
      <c r="T31" s="4165">
        <f>SUM(T29,T30)</f>
        <v>0</v>
      </c>
      <c r="U31" s="4166"/>
      <c r="V31" s="942"/>
      <c r="W31" s="551"/>
      <c r="X31" s="942"/>
    </row>
    <row r="32" spans="1:24" ht="15">
      <c r="A32" s="942"/>
      <c r="B32" s="531" t="s">
        <v>197</v>
      </c>
      <c r="C32" s="250" t="s">
        <v>1497</v>
      </c>
      <c r="D32" s="3159" t="s">
        <v>2156</v>
      </c>
      <c r="E32" s="250"/>
      <c r="F32" s="250"/>
      <c r="G32" s="250"/>
      <c r="H32" s="249"/>
      <c r="I32" s="250"/>
      <c r="J32" s="250"/>
      <c r="K32" s="250"/>
      <c r="L32" s="250"/>
      <c r="M32" s="250"/>
      <c r="N32" s="250"/>
      <c r="O32" s="250"/>
      <c r="P32" s="250"/>
      <c r="Q32" s="250"/>
      <c r="R32" s="250"/>
      <c r="S32" s="250"/>
      <c r="T32" s="549"/>
      <c r="U32" s="549"/>
      <c r="V32" s="942"/>
      <c r="W32" s="551"/>
      <c r="X32" s="942"/>
    </row>
    <row r="33" spans="1:24" ht="12" customHeight="1">
      <c r="A33" s="942"/>
      <c r="B33" s="274">
        <v>8</v>
      </c>
      <c r="C33" s="266" t="s">
        <v>83</v>
      </c>
      <c r="D33" s="266"/>
      <c r="E33" s="254"/>
      <c r="F33" s="254"/>
      <c r="G33" s="262"/>
      <c r="H33" s="536">
        <f>B33</f>
        <v>8</v>
      </c>
      <c r="I33" s="2602"/>
      <c r="J33" s="247">
        <v>18</v>
      </c>
      <c r="K33" s="441"/>
      <c r="L33" s="580" t="s">
        <v>1153</v>
      </c>
      <c r="M33" s="441"/>
      <c r="N33" s="441"/>
      <c r="O33" s="441"/>
      <c r="P33" s="441"/>
      <c r="Q33" s="441"/>
      <c r="R33" s="910" t="s">
        <v>1499</v>
      </c>
      <c r="S33" s="257">
        <f>J33</f>
        <v>18</v>
      </c>
      <c r="T33" s="4150"/>
      <c r="U33" s="4151"/>
      <c r="V33" s="942"/>
      <c r="W33" s="551"/>
      <c r="X33" s="942"/>
    </row>
    <row r="34" spans="1:24" ht="11.25" customHeight="1">
      <c r="A34" s="942"/>
      <c r="B34" s="274">
        <v>9</v>
      </c>
      <c r="C34" s="266" t="s">
        <v>532</v>
      </c>
      <c r="D34" s="266"/>
      <c r="E34" s="254"/>
      <c r="F34" s="254"/>
      <c r="G34" s="262"/>
      <c r="H34" s="537"/>
      <c r="I34" s="2109"/>
      <c r="J34" s="247">
        <v>19</v>
      </c>
      <c r="K34" s="205"/>
      <c r="L34" s="267" t="s">
        <v>84</v>
      </c>
      <c r="M34" s="268"/>
      <c r="N34" s="266"/>
      <c r="O34" s="266"/>
      <c r="P34" s="269"/>
      <c r="Q34" s="270"/>
      <c r="R34" s="270"/>
      <c r="S34" s="257">
        <f>J34</f>
        <v>19</v>
      </c>
      <c r="T34" s="4150"/>
      <c r="U34" s="4151"/>
      <c r="V34" s="942"/>
      <c r="W34" s="551"/>
      <c r="X34" s="942"/>
    </row>
    <row r="35" spans="1:24" ht="11.25" customHeight="1">
      <c r="A35" s="942"/>
      <c r="B35" s="274"/>
      <c r="C35" s="1683" t="s">
        <v>1498</v>
      </c>
      <c r="D35" s="266"/>
      <c r="E35" s="254"/>
      <c r="F35" s="254"/>
      <c r="G35" s="262"/>
      <c r="H35" s="536">
        <f>B34</f>
        <v>9</v>
      </c>
      <c r="I35" s="2603"/>
      <c r="J35" s="247">
        <v>20</v>
      </c>
      <c r="K35" s="205"/>
      <c r="L35" s="1789" t="s">
        <v>1154</v>
      </c>
      <c r="M35" s="268"/>
      <c r="N35" s="271"/>
      <c r="O35" s="271"/>
      <c r="P35" s="269"/>
      <c r="Q35" s="270"/>
      <c r="R35" s="270"/>
      <c r="S35" s="538"/>
      <c r="T35" s="2100"/>
      <c r="U35" s="2111"/>
      <c r="V35" s="942"/>
      <c r="W35" s="551"/>
      <c r="X35" s="942"/>
    </row>
    <row r="36" spans="1:24" ht="11.25" customHeight="1">
      <c r="A36" s="942"/>
      <c r="B36" s="274">
        <v>10</v>
      </c>
      <c r="C36" s="266" t="s">
        <v>335</v>
      </c>
      <c r="D36" s="266"/>
      <c r="E36" s="254"/>
      <c r="F36" s="254"/>
      <c r="G36" s="262"/>
      <c r="H36" s="802">
        <f>B36</f>
        <v>10</v>
      </c>
      <c r="I36" s="2602"/>
      <c r="J36" s="247"/>
      <c r="K36" s="205" t="s">
        <v>62</v>
      </c>
      <c r="L36" s="267" t="s">
        <v>538</v>
      </c>
      <c r="M36" s="268"/>
      <c r="N36" s="266"/>
      <c r="O36" s="266"/>
      <c r="P36" s="269"/>
      <c r="Q36" s="270"/>
      <c r="R36" s="910" t="s">
        <v>1462</v>
      </c>
      <c r="S36" s="257" t="s">
        <v>367</v>
      </c>
      <c r="T36" s="3955"/>
      <c r="U36" s="4152"/>
      <c r="V36" s="942"/>
      <c r="W36" s="551"/>
      <c r="X36" s="942"/>
    </row>
    <row r="37" spans="1:24" ht="11.25" customHeight="1">
      <c r="A37" s="942"/>
      <c r="B37" s="274">
        <v>11</v>
      </c>
      <c r="C37" s="1683" t="s">
        <v>1159</v>
      </c>
      <c r="D37" s="266"/>
      <c r="E37" s="254"/>
      <c r="F37" s="254"/>
      <c r="G37" s="910" t="s">
        <v>1184</v>
      </c>
      <c r="H37" s="536">
        <f>B37</f>
        <v>11</v>
      </c>
      <c r="I37" s="2603"/>
      <c r="J37" s="247"/>
      <c r="K37" s="205" t="s">
        <v>85</v>
      </c>
      <c r="L37" s="253" t="s">
        <v>533</v>
      </c>
      <c r="M37" s="269"/>
      <c r="N37" s="266"/>
      <c r="O37" s="266"/>
      <c r="P37" s="269"/>
      <c r="Q37" s="270"/>
      <c r="R37" s="910" t="s">
        <v>1500</v>
      </c>
      <c r="S37" s="257" t="s">
        <v>368</v>
      </c>
      <c r="T37" s="4150"/>
      <c r="U37" s="4151"/>
      <c r="V37" s="942"/>
      <c r="W37" s="551"/>
      <c r="X37" s="942"/>
    </row>
    <row r="38" spans="1:24" ht="11.25" customHeight="1">
      <c r="A38" s="942"/>
      <c r="B38" s="274">
        <v>12</v>
      </c>
      <c r="C38" s="266" t="s">
        <v>843</v>
      </c>
      <c r="D38" s="266"/>
      <c r="E38" s="254"/>
      <c r="F38" s="254"/>
      <c r="G38" s="262"/>
      <c r="H38" s="536">
        <f>B38</f>
        <v>12</v>
      </c>
      <c r="I38" s="2602"/>
      <c r="J38" s="247">
        <v>21</v>
      </c>
      <c r="K38" s="205"/>
      <c r="L38" s="253" t="s">
        <v>43</v>
      </c>
      <c r="M38" s="253"/>
      <c r="N38" s="253"/>
      <c r="O38" s="253"/>
      <c r="P38" s="253"/>
      <c r="Q38" s="253"/>
      <c r="R38" s="910" t="s">
        <v>991</v>
      </c>
      <c r="S38" s="257">
        <f>J38</f>
        <v>21</v>
      </c>
      <c r="T38" s="4150"/>
      <c r="U38" s="4151"/>
      <c r="V38" s="942"/>
      <c r="W38" s="551"/>
      <c r="X38" s="942"/>
    </row>
    <row r="39" spans="1:24" ht="11.25" customHeight="1">
      <c r="A39" s="942"/>
      <c r="B39" s="274">
        <v>13</v>
      </c>
      <c r="C39" s="266" t="s">
        <v>729</v>
      </c>
      <c r="D39" s="266"/>
      <c r="E39" s="254"/>
      <c r="F39" s="254"/>
      <c r="G39" s="262"/>
      <c r="H39" s="537"/>
      <c r="I39" s="2109"/>
      <c r="J39" s="247">
        <v>22</v>
      </c>
      <c r="K39" s="205"/>
      <c r="L39" s="253" t="s">
        <v>336</v>
      </c>
      <c r="M39" s="253"/>
      <c r="N39" s="253"/>
      <c r="O39" s="253"/>
      <c r="P39" s="253"/>
      <c r="Q39" s="253"/>
      <c r="R39" s="910" t="s">
        <v>1499</v>
      </c>
      <c r="S39" s="257">
        <v>22</v>
      </c>
      <c r="T39" s="4150"/>
      <c r="U39" s="4151"/>
      <c r="V39" s="942"/>
      <c r="W39" s="551"/>
      <c r="X39" s="942"/>
    </row>
    <row r="40" spans="1:24" ht="11.25" customHeight="1">
      <c r="A40" s="942"/>
      <c r="B40" s="274"/>
      <c r="C40" s="266" t="s">
        <v>624</v>
      </c>
      <c r="D40" s="266"/>
      <c r="E40" s="254"/>
      <c r="F40" s="254"/>
      <c r="G40" s="262"/>
      <c r="H40" s="537"/>
      <c r="I40" s="2110"/>
      <c r="J40" s="247">
        <v>23</v>
      </c>
      <c r="K40" s="205"/>
      <c r="L40" s="253" t="s">
        <v>844</v>
      </c>
      <c r="M40" s="253"/>
      <c r="N40" s="253"/>
      <c r="O40" s="253"/>
      <c r="P40" s="253"/>
      <c r="Q40" s="253"/>
      <c r="R40" s="910" t="s">
        <v>1463</v>
      </c>
      <c r="S40" s="257">
        <v>23</v>
      </c>
      <c r="T40" s="4150"/>
      <c r="U40" s="4151"/>
      <c r="V40" s="942"/>
      <c r="W40" s="551"/>
      <c r="X40" s="942"/>
    </row>
    <row r="41" spans="1:24" ht="11.25" customHeight="1">
      <c r="A41" s="942"/>
      <c r="B41" s="274"/>
      <c r="C41" s="1683" t="s">
        <v>1151</v>
      </c>
      <c r="D41" s="266"/>
      <c r="E41" s="254"/>
      <c r="F41" s="254"/>
      <c r="G41" s="910" t="s">
        <v>1152</v>
      </c>
      <c r="H41" s="536">
        <f>B39</f>
        <v>13</v>
      </c>
      <c r="I41" s="2603"/>
      <c r="J41" s="247">
        <v>24</v>
      </c>
      <c r="K41" s="205"/>
      <c r="L41" s="253" t="s">
        <v>55</v>
      </c>
      <c r="M41" s="253"/>
      <c r="N41" s="253"/>
      <c r="O41" s="253"/>
      <c r="P41" s="253"/>
      <c r="Q41" s="253"/>
      <c r="R41" s="253"/>
      <c r="S41" s="538"/>
      <c r="T41" s="2100"/>
      <c r="U41" s="2111"/>
      <c r="V41" s="942"/>
      <c r="W41" s="551"/>
      <c r="X41" s="942"/>
    </row>
    <row r="42" spans="1:24" ht="11.25" customHeight="1">
      <c r="A42" s="942"/>
      <c r="B42" s="274">
        <v>14</v>
      </c>
      <c r="C42" s="266" t="s">
        <v>435</v>
      </c>
      <c r="D42" s="266"/>
      <c r="E42" s="254"/>
      <c r="F42" s="254"/>
      <c r="G42" s="262"/>
      <c r="H42" s="537"/>
      <c r="I42" s="2109"/>
      <c r="J42" s="247"/>
      <c r="K42" s="205" t="s">
        <v>62</v>
      </c>
      <c r="L42" s="580" t="s">
        <v>1501</v>
      </c>
      <c r="M42" s="253"/>
      <c r="N42" s="253"/>
      <c r="O42" s="253"/>
      <c r="P42" s="253"/>
      <c r="Q42" s="253"/>
      <c r="R42" s="910" t="s">
        <v>466</v>
      </c>
      <c r="S42" s="257" t="s">
        <v>296</v>
      </c>
      <c r="T42" s="3955"/>
      <c r="U42" s="4152"/>
      <c r="V42" s="942"/>
      <c r="W42" s="551"/>
      <c r="X42" s="942"/>
    </row>
    <row r="43" spans="1:24" ht="11.25" customHeight="1">
      <c r="A43" s="942"/>
      <c r="B43" s="274"/>
      <c r="C43" s="266" t="s">
        <v>436</v>
      </c>
      <c r="D43" s="266"/>
      <c r="E43" s="254"/>
      <c r="F43" s="254"/>
      <c r="G43" s="262"/>
      <c r="H43" s="536">
        <f>B42</f>
        <v>14</v>
      </c>
      <c r="I43" s="2603"/>
      <c r="J43" s="247"/>
      <c r="K43" s="205" t="s">
        <v>85</v>
      </c>
      <c r="L43" s="580" t="s">
        <v>2728</v>
      </c>
      <c r="M43" s="253"/>
      <c r="N43" s="253"/>
      <c r="O43" s="253"/>
      <c r="P43" s="253"/>
      <c r="Q43" s="253"/>
      <c r="R43" s="1279"/>
      <c r="S43" s="260"/>
      <c r="T43" s="2100"/>
      <c r="U43" s="2111"/>
      <c r="V43" s="942"/>
      <c r="W43" s="551"/>
      <c r="X43" s="942"/>
    </row>
    <row r="44" spans="1:24" ht="11.25" customHeight="1">
      <c r="A44" s="942"/>
      <c r="B44" s="274">
        <v>15</v>
      </c>
      <c r="C44" s="266" t="s">
        <v>437</v>
      </c>
      <c r="D44" s="266"/>
      <c r="E44" s="254"/>
      <c r="F44" s="254"/>
      <c r="G44" s="262"/>
      <c r="H44" s="536">
        <f>B44</f>
        <v>15</v>
      </c>
      <c r="I44" s="2602"/>
      <c r="J44" s="247"/>
      <c r="K44" s="205"/>
      <c r="L44" s="4147" t="s">
        <v>941</v>
      </c>
      <c r="M44" s="3889"/>
      <c r="N44" s="3889"/>
      <c r="O44" s="3889"/>
      <c r="P44" s="3889"/>
      <c r="Q44" s="3889"/>
      <c r="R44" s="3893"/>
      <c r="S44" s="257" t="s">
        <v>113</v>
      </c>
      <c r="T44" s="3955"/>
      <c r="U44" s="4152"/>
      <c r="V44" s="942"/>
      <c r="W44" s="551"/>
      <c r="X44" s="942"/>
    </row>
    <row r="45" spans="1:24" ht="11.25" customHeight="1">
      <c r="A45" s="942"/>
      <c r="B45" s="274">
        <v>16</v>
      </c>
      <c r="C45" s="266" t="s">
        <v>440</v>
      </c>
      <c r="D45" s="266"/>
      <c r="E45" s="254"/>
      <c r="F45" s="254"/>
      <c r="G45" s="262"/>
      <c r="H45" s="538"/>
      <c r="I45" s="2109"/>
      <c r="J45" s="247">
        <v>25</v>
      </c>
      <c r="K45" s="205"/>
      <c r="L45" s="253" t="s">
        <v>89</v>
      </c>
      <c r="M45" s="253"/>
      <c r="N45" s="253"/>
      <c r="O45" s="253"/>
      <c r="P45" s="253"/>
      <c r="Q45" s="253"/>
      <c r="R45" s="1279"/>
      <c r="S45" s="257">
        <v>25</v>
      </c>
      <c r="T45" s="4150"/>
      <c r="U45" s="4151"/>
      <c r="V45" s="942"/>
      <c r="W45" s="551"/>
      <c r="X45" s="942"/>
    </row>
    <row r="46" spans="1:24" ht="11.25" customHeight="1">
      <c r="A46" s="942"/>
      <c r="B46" s="247" t="s">
        <v>62</v>
      </c>
      <c r="C46" s="266" t="s">
        <v>606</v>
      </c>
      <c r="D46" s="266"/>
      <c r="E46" s="254"/>
      <c r="F46" s="254"/>
      <c r="G46" s="262"/>
      <c r="H46" s="536" t="s">
        <v>365</v>
      </c>
      <c r="I46" s="2603"/>
      <c r="J46" s="247">
        <v>26</v>
      </c>
      <c r="K46" s="205"/>
      <c r="L46" s="253" t="s">
        <v>90</v>
      </c>
      <c r="M46" s="253"/>
      <c r="N46" s="253"/>
      <c r="O46" s="253"/>
      <c r="P46" s="253"/>
      <c r="Q46" s="253"/>
      <c r="R46" s="253"/>
      <c r="S46" s="257">
        <v>26</v>
      </c>
      <c r="T46" s="4150"/>
      <c r="U46" s="4151"/>
      <c r="V46" s="942"/>
      <c r="W46" s="551"/>
      <c r="X46" s="942"/>
    </row>
    <row r="47" spans="1:24" ht="11.25" customHeight="1">
      <c r="A47" s="942"/>
      <c r="B47" s="247" t="s">
        <v>85</v>
      </c>
      <c r="C47" s="266" t="s">
        <v>88</v>
      </c>
      <c r="D47" s="266"/>
      <c r="E47" s="254"/>
      <c r="F47" s="254"/>
      <c r="G47" s="262"/>
      <c r="H47" s="536" t="s">
        <v>366</v>
      </c>
      <c r="I47" s="2604"/>
      <c r="J47" s="1278">
        <v>27</v>
      </c>
      <c r="K47" s="233" t="s">
        <v>62</v>
      </c>
      <c r="L47" s="580" t="s">
        <v>1155</v>
      </c>
      <c r="M47" s="253"/>
      <c r="N47" s="253"/>
      <c r="O47" s="253"/>
      <c r="P47" s="253"/>
      <c r="Q47" s="253"/>
      <c r="R47" s="1279"/>
      <c r="S47" s="1790" t="s">
        <v>1157</v>
      </c>
      <c r="T47" s="4148">
        <f>IF(W47&lt;&gt;"",W47,T116)</f>
        <v>0</v>
      </c>
      <c r="U47" s="4149"/>
      <c r="V47" s="942"/>
      <c r="W47" s="926"/>
      <c r="X47" s="942"/>
    </row>
    <row r="48" spans="1:24" ht="11.25" customHeight="1" thickBot="1">
      <c r="A48" s="942"/>
      <c r="B48" s="283">
        <v>17</v>
      </c>
      <c r="C48" s="1791" t="s">
        <v>1150</v>
      </c>
      <c r="D48" s="971"/>
      <c r="E48" s="279"/>
      <c r="F48" s="279"/>
      <c r="G48" s="1792"/>
      <c r="H48" s="298">
        <v>17</v>
      </c>
      <c r="I48" s="2605"/>
      <c r="J48" s="1793"/>
      <c r="K48" s="1794" t="s">
        <v>85</v>
      </c>
      <c r="L48" s="972" t="s">
        <v>1156</v>
      </c>
      <c r="M48" s="971"/>
      <c r="N48" s="971"/>
      <c r="O48" s="971"/>
      <c r="P48" s="971"/>
      <c r="Q48" s="971"/>
      <c r="R48" s="2601" t="s">
        <v>991</v>
      </c>
      <c r="S48" s="1795" t="s">
        <v>1158</v>
      </c>
      <c r="T48" s="4196"/>
      <c r="U48" s="4197"/>
      <c r="V48" s="942"/>
      <c r="W48" s="551"/>
      <c r="X48" s="942"/>
    </row>
    <row r="49" spans="1:24" ht="15" customHeight="1">
      <c r="A49" s="942"/>
      <c r="B49" s="274">
        <v>28</v>
      </c>
      <c r="C49" s="1786" t="s">
        <v>2157</v>
      </c>
      <c r="D49" s="261"/>
      <c r="E49" s="259"/>
      <c r="F49" s="256"/>
      <c r="G49" s="256"/>
      <c r="H49" s="256"/>
      <c r="I49" s="259"/>
      <c r="J49" s="259"/>
      <c r="K49" s="259"/>
      <c r="L49" s="259"/>
      <c r="M49" s="259"/>
      <c r="N49" s="256"/>
      <c r="O49" s="256"/>
      <c r="P49" s="259"/>
      <c r="Q49" s="256"/>
      <c r="R49" s="967" t="s">
        <v>2159</v>
      </c>
      <c r="S49" s="257">
        <v>28</v>
      </c>
      <c r="T49" s="4165">
        <f>IF(W49&lt;&gt;"",W49,ROUND(SUM(I33:I48,T33:T48),0))</f>
        <v>0</v>
      </c>
      <c r="U49" s="4166"/>
      <c r="V49" s="942"/>
      <c r="W49" s="926"/>
      <c r="X49" s="942"/>
    </row>
    <row r="50" spans="1:24" ht="12.75" customHeight="1">
      <c r="A50" s="942"/>
      <c r="B50" s="274">
        <v>29</v>
      </c>
      <c r="C50" s="1636" t="s">
        <v>2158</v>
      </c>
      <c r="D50" s="259"/>
      <c r="E50" s="259"/>
      <c r="F50" s="256"/>
      <c r="G50" s="256"/>
      <c r="H50" s="256"/>
      <c r="I50" s="259"/>
      <c r="J50" s="259"/>
      <c r="K50" s="259"/>
      <c r="L50" s="259"/>
      <c r="M50" s="259"/>
      <c r="N50" s="256"/>
      <c r="O50" s="256"/>
      <c r="P50" s="259"/>
      <c r="Q50" s="256"/>
      <c r="R50" s="967" t="s">
        <v>2160</v>
      </c>
      <c r="S50" s="257">
        <v>29</v>
      </c>
      <c r="T50" s="4165">
        <f>SUM(T31,-T49)</f>
        <v>0</v>
      </c>
      <c r="U50" s="4166"/>
      <c r="V50" s="942"/>
      <c r="W50" s="551"/>
      <c r="X50" s="942"/>
    </row>
    <row r="51" spans="1:24" ht="14.25" customHeight="1">
      <c r="A51" s="942"/>
      <c r="B51" s="274">
        <v>30</v>
      </c>
      <c r="C51" s="2893" t="s">
        <v>1704</v>
      </c>
      <c r="D51" s="259"/>
      <c r="E51" s="259"/>
      <c r="F51" s="256"/>
      <c r="G51" s="256"/>
      <c r="H51" s="256"/>
      <c r="I51" s="259"/>
      <c r="J51" s="259"/>
      <c r="K51" s="259"/>
      <c r="L51" s="259"/>
      <c r="M51" s="259"/>
      <c r="N51" s="256"/>
      <c r="O51" s="256"/>
      <c r="P51" s="259"/>
      <c r="Q51" s="256"/>
      <c r="R51" s="256"/>
      <c r="S51" s="2891"/>
      <c r="T51" s="4219"/>
      <c r="U51" s="4220"/>
      <c r="V51" s="942"/>
      <c r="W51" s="551"/>
      <c r="X51" s="942"/>
    </row>
    <row r="52" spans="1:24" ht="14.25" customHeight="1">
      <c r="A52" s="942"/>
      <c r="B52" s="274"/>
      <c r="C52" s="2893" t="s">
        <v>1705</v>
      </c>
      <c r="D52" s="259"/>
      <c r="E52" s="259"/>
      <c r="F52" s="256"/>
      <c r="G52" s="256"/>
      <c r="H52" s="256"/>
      <c r="I52" s="259"/>
      <c r="J52" s="259"/>
      <c r="K52" s="259"/>
      <c r="L52" s="259"/>
      <c r="M52" s="259"/>
      <c r="N52" s="256"/>
      <c r="O52" s="256"/>
      <c r="P52" s="259"/>
      <c r="Q52" s="256"/>
      <c r="R52" s="256"/>
      <c r="S52" s="2892"/>
      <c r="T52" s="4221"/>
      <c r="U52" s="4222"/>
      <c r="V52" s="942"/>
      <c r="W52" s="551"/>
      <c r="X52" s="942"/>
    </row>
    <row r="53" spans="1:24" ht="14.25" customHeight="1">
      <c r="A53" s="942"/>
      <c r="B53" s="274"/>
      <c r="C53" s="2893" t="s">
        <v>1707</v>
      </c>
      <c r="D53" s="259"/>
      <c r="E53" s="259"/>
      <c r="F53" s="256"/>
      <c r="G53" s="256"/>
      <c r="H53" s="256"/>
      <c r="I53" s="259"/>
      <c r="J53" s="259"/>
      <c r="K53" s="259"/>
      <c r="L53" s="259"/>
      <c r="M53" s="4223"/>
      <c r="N53" s="4224"/>
      <c r="O53" s="4224"/>
      <c r="P53" s="4224"/>
      <c r="Q53" s="4224"/>
      <c r="R53" s="256"/>
      <c r="S53" s="2892"/>
      <c r="T53" s="3132"/>
      <c r="U53" s="3133"/>
      <c r="V53" s="942"/>
      <c r="W53" s="551"/>
      <c r="X53" s="942"/>
    </row>
    <row r="54" spans="1:24" ht="14.25" customHeight="1">
      <c r="A54" s="942"/>
      <c r="B54" s="274"/>
      <c r="C54" s="1636" t="s">
        <v>1706</v>
      </c>
      <c r="D54" s="259"/>
      <c r="E54" s="259"/>
      <c r="F54" s="256"/>
      <c r="G54" s="256"/>
      <c r="H54" s="4223"/>
      <c r="I54" s="4225"/>
      <c r="J54" s="4225"/>
      <c r="K54" s="4225"/>
      <c r="L54" s="2893"/>
      <c r="M54" s="259"/>
      <c r="N54" s="256"/>
      <c r="O54" s="256"/>
      <c r="P54" s="259"/>
      <c r="Q54" s="256"/>
      <c r="R54" s="256"/>
      <c r="S54" s="2892"/>
      <c r="T54" s="3132"/>
      <c r="U54" s="3133"/>
      <c r="V54" s="942"/>
      <c r="W54" s="551"/>
      <c r="X54" s="942"/>
    </row>
    <row r="55" spans="1:24" ht="14.25" customHeight="1">
      <c r="A55" s="942"/>
      <c r="B55" s="274"/>
      <c r="C55" s="2893" t="s">
        <v>1708</v>
      </c>
      <c r="D55" s="259"/>
      <c r="E55" s="259"/>
      <c r="F55" s="256"/>
      <c r="G55" s="256"/>
      <c r="H55" s="256"/>
      <c r="I55" s="259"/>
      <c r="J55" s="259"/>
      <c r="K55" s="259"/>
      <c r="L55" s="259"/>
      <c r="M55" s="259"/>
      <c r="N55" s="256"/>
      <c r="O55" s="256"/>
      <c r="P55" s="259"/>
      <c r="Q55" s="256"/>
      <c r="R55" s="3221" t="s">
        <v>991</v>
      </c>
      <c r="S55" s="257">
        <v>30</v>
      </c>
      <c r="T55" s="3955"/>
      <c r="U55" s="4152"/>
      <c r="V55" s="942"/>
      <c r="W55" s="551"/>
      <c r="X55" s="942"/>
    </row>
    <row r="56" spans="1:24" ht="12.75" customHeight="1">
      <c r="A56" s="942"/>
      <c r="B56" s="274">
        <v>31</v>
      </c>
      <c r="C56" s="265" t="s">
        <v>341</v>
      </c>
      <c r="D56" s="265"/>
      <c r="E56" s="243"/>
      <c r="F56" s="254"/>
      <c r="G56" s="254"/>
      <c r="H56" s="262"/>
      <c r="I56" s="263"/>
      <c r="J56" s="263"/>
      <c r="K56" s="263"/>
      <c r="L56" s="263"/>
      <c r="M56" s="263"/>
      <c r="N56" s="262"/>
      <c r="O56" s="262"/>
      <c r="P56" s="259"/>
      <c r="Q56" s="254"/>
      <c r="R56" s="254"/>
      <c r="S56" s="264"/>
      <c r="T56" s="2105"/>
      <c r="U56" s="2106"/>
      <c r="V56" s="942"/>
      <c r="W56" s="551"/>
      <c r="X56" s="942"/>
    </row>
    <row r="57" spans="1:24" ht="12.75" customHeight="1">
      <c r="A57" s="942"/>
      <c r="B57" s="274"/>
      <c r="C57" s="234" t="s">
        <v>2161</v>
      </c>
      <c r="D57" s="273"/>
      <c r="E57" s="243"/>
      <c r="F57" s="254"/>
      <c r="G57" s="254"/>
      <c r="H57" s="262"/>
      <c r="I57" s="259"/>
      <c r="J57" s="259"/>
      <c r="K57" s="259"/>
      <c r="L57" s="263"/>
      <c r="M57" s="259"/>
      <c r="N57" s="262"/>
      <c r="O57" s="262"/>
      <c r="P57" s="259"/>
      <c r="Q57" s="254"/>
      <c r="R57" s="254"/>
      <c r="S57" s="260"/>
      <c r="T57" s="2107"/>
      <c r="U57" s="2108"/>
      <c r="V57" s="942"/>
      <c r="W57" s="551"/>
      <c r="X57" s="942"/>
    </row>
    <row r="58" spans="1:24" ht="12.75" customHeight="1">
      <c r="A58" s="942"/>
      <c r="B58" s="247"/>
      <c r="C58" s="234" t="s">
        <v>2162</v>
      </c>
      <c r="D58" s="243"/>
      <c r="E58" s="243"/>
      <c r="F58" s="254"/>
      <c r="G58" s="254"/>
      <c r="H58" s="254"/>
      <c r="I58" s="243"/>
      <c r="J58" s="243"/>
      <c r="K58" s="243"/>
      <c r="L58" s="263"/>
      <c r="M58" s="243"/>
      <c r="N58" s="254"/>
      <c r="O58" s="254"/>
      <c r="P58" s="259"/>
      <c r="Q58" s="254"/>
      <c r="R58" s="254"/>
      <c r="S58" s="257">
        <v>31</v>
      </c>
      <c r="T58" s="4167">
        <f>IF(W58&lt;&gt;"",W58,ROUND(SUM(T50,-T55),0))</f>
        <v>0</v>
      </c>
      <c r="U58" s="4166"/>
      <c r="V58" s="942"/>
      <c r="W58" s="2895"/>
      <c r="X58" s="942"/>
    </row>
    <row r="59" spans="1:24" ht="12.75" customHeight="1">
      <c r="A59" s="942"/>
      <c r="B59" s="247"/>
      <c r="C59" s="234" t="s">
        <v>2166</v>
      </c>
      <c r="D59" s="273"/>
      <c r="E59" s="243"/>
      <c r="F59" s="254"/>
      <c r="G59" s="254"/>
      <c r="H59" s="254"/>
      <c r="I59" s="243"/>
      <c r="J59" s="243"/>
      <c r="K59" s="243"/>
      <c r="L59" s="263"/>
      <c r="M59" s="243"/>
      <c r="N59" s="254"/>
      <c r="O59" s="254"/>
      <c r="P59" s="259"/>
      <c r="Q59" s="254"/>
      <c r="R59" s="2894" t="str">
        <f>IF(AND(R61&lt;&gt;"",R62&lt;&gt;""),"",IF(AND(T58&gt;=0,OR(R61&lt;&gt;"",R62&lt;&gt;"")),"Check only if Line 31",""))</f>
        <v/>
      </c>
      <c r="S59" s="274"/>
      <c r="T59" s="528"/>
      <c r="U59" s="528"/>
      <c r="V59" s="942"/>
      <c r="W59" s="551"/>
      <c r="X59" s="942"/>
    </row>
    <row r="60" spans="1:24" ht="12.75" customHeight="1" thickBot="1">
      <c r="A60" s="942"/>
      <c r="B60" s="274">
        <v>32</v>
      </c>
      <c r="C60" s="266" t="s">
        <v>942</v>
      </c>
      <c r="D60" s="266"/>
      <c r="E60" s="266"/>
      <c r="F60" s="270"/>
      <c r="G60" s="270"/>
      <c r="H60" s="270"/>
      <c r="I60" s="266"/>
      <c r="J60" s="266"/>
      <c r="K60" s="266"/>
      <c r="L60" s="268"/>
      <c r="M60" s="266"/>
      <c r="N60" s="270"/>
      <c r="O60" s="270"/>
      <c r="P60" s="259"/>
      <c r="Q60" s="254"/>
      <c r="R60" s="2894" t="str">
        <f>IF(AND(R61&lt;&gt;"",R62&lt;&gt;""),"Check ONLY one.",IF(AND(T58&gt;=0,OR(R61&lt;&gt;"",R62&lt;&gt;"")),"is a loss.",""))</f>
        <v/>
      </c>
      <c r="S60" s="274"/>
      <c r="T60" s="528"/>
      <c r="U60" s="528"/>
      <c r="V60" s="942"/>
      <c r="W60" s="551"/>
      <c r="X60" s="942"/>
    </row>
    <row r="61" spans="1:24" ht="12.75" customHeight="1" thickBot="1">
      <c r="A61" s="942"/>
      <c r="B61" s="247"/>
      <c r="C61" s="234" t="s">
        <v>2163</v>
      </c>
      <c r="D61" s="273"/>
      <c r="E61" s="243"/>
      <c r="F61" s="254"/>
      <c r="G61" s="254"/>
      <c r="H61" s="254"/>
      <c r="I61" s="243"/>
      <c r="J61" s="243"/>
      <c r="K61" s="243"/>
      <c r="L61" s="263"/>
      <c r="M61" s="243"/>
      <c r="N61" s="254"/>
      <c r="O61" s="254"/>
      <c r="P61" s="259"/>
      <c r="Q61" s="803" t="s">
        <v>218</v>
      </c>
      <c r="R61" s="2584"/>
      <c r="S61" s="275" t="s">
        <v>519</v>
      </c>
      <c r="T61" s="529"/>
      <c r="U61" s="529"/>
      <c r="V61" s="942"/>
      <c r="W61" s="551"/>
      <c r="X61" s="942"/>
    </row>
    <row r="62" spans="1:24" ht="12.75" customHeight="1" thickBot="1">
      <c r="A62" s="942"/>
      <c r="B62" s="247"/>
      <c r="C62" s="234" t="s">
        <v>2164</v>
      </c>
      <c r="D62" s="243"/>
      <c r="E62" s="243"/>
      <c r="F62" s="254"/>
      <c r="G62" s="254"/>
      <c r="H62" s="254"/>
      <c r="I62" s="243"/>
      <c r="J62" s="243"/>
      <c r="K62" s="243"/>
      <c r="L62" s="263"/>
      <c r="M62" s="243"/>
      <c r="N62" s="254"/>
      <c r="O62" s="254"/>
      <c r="P62" s="259"/>
      <c r="Q62" s="803" t="s">
        <v>520</v>
      </c>
      <c r="R62" s="2584"/>
      <c r="S62" s="276" t="s">
        <v>38</v>
      </c>
      <c r="T62" s="528"/>
      <c r="U62" s="528"/>
      <c r="V62" s="942"/>
      <c r="W62" s="551"/>
      <c r="X62" s="942"/>
    </row>
    <row r="63" spans="1:24" ht="12.75" customHeight="1">
      <c r="A63" s="942"/>
      <c r="B63" s="247"/>
      <c r="C63" s="234" t="s">
        <v>1709</v>
      </c>
      <c r="D63" s="243"/>
      <c r="E63" s="243"/>
      <c r="F63" s="254"/>
      <c r="G63" s="254"/>
      <c r="H63" s="254"/>
      <c r="I63" s="243"/>
      <c r="J63" s="243"/>
      <c r="K63" s="243"/>
      <c r="L63" s="263"/>
      <c r="M63" s="243"/>
      <c r="N63" s="254"/>
      <c r="O63" s="254"/>
      <c r="P63" s="259"/>
      <c r="Q63" s="528"/>
      <c r="R63" s="528"/>
      <c r="S63" s="1078" t="s">
        <v>39</v>
      </c>
      <c r="T63" s="528"/>
      <c r="U63" s="528"/>
      <c r="V63" s="942"/>
      <c r="W63" s="551"/>
      <c r="X63" s="942"/>
    </row>
    <row r="64" spans="1:24" ht="12.75" customHeight="1" thickBot="1">
      <c r="A64" s="942"/>
      <c r="B64" s="533"/>
      <c r="C64" s="3222" t="s">
        <v>2165</v>
      </c>
      <c r="D64" s="277"/>
      <c r="E64" s="278"/>
      <c r="F64" s="279"/>
      <c r="G64" s="279"/>
      <c r="H64" s="279"/>
      <c r="I64" s="278"/>
      <c r="J64" s="278"/>
      <c r="K64" s="278"/>
      <c r="L64" s="280"/>
      <c r="M64" s="278"/>
      <c r="N64" s="279"/>
      <c r="O64" s="279"/>
      <c r="P64" s="281"/>
      <c r="Q64" s="279"/>
      <c r="R64" s="279"/>
      <c r="S64" s="282"/>
      <c r="T64" s="530"/>
      <c r="U64" s="530"/>
      <c r="V64" s="942"/>
      <c r="W64" s="551"/>
      <c r="X64" s="942"/>
    </row>
    <row r="65" spans="1:24" ht="22.5" customHeight="1">
      <c r="A65" s="942"/>
      <c r="B65" s="804" t="s">
        <v>943</v>
      </c>
      <c r="C65" s="805"/>
      <c r="D65" s="805"/>
      <c r="E65" s="805"/>
      <c r="F65" s="806"/>
      <c r="G65" s="806"/>
      <c r="H65" s="806"/>
      <c r="I65" s="805"/>
      <c r="J65" s="805"/>
      <c r="K65" s="805"/>
      <c r="L65" s="807"/>
      <c r="M65" s="805"/>
      <c r="N65" s="1797" t="s">
        <v>1165</v>
      </c>
      <c r="O65" s="806"/>
      <c r="P65" s="808"/>
      <c r="Q65" s="806"/>
      <c r="R65" s="806"/>
      <c r="S65" s="809"/>
      <c r="T65" s="810"/>
      <c r="U65" s="810" t="str">
        <f>"Schedule C (Form 1040)  "&amp;TaxYear</f>
        <v>Schedule C (Form 1040)  2014</v>
      </c>
      <c r="V65" s="942"/>
      <c r="W65" s="551"/>
      <c r="X65" s="942"/>
    </row>
    <row r="66" spans="1:24" ht="19.5" customHeight="1" thickBot="1">
      <c r="A66" s="942"/>
      <c r="B66" s="259" t="str">
        <f>"Schedule C (Form 1040) "&amp;TaxYear</f>
        <v>Schedule C (Form 1040) 2014</v>
      </c>
      <c r="C66" s="259"/>
      <c r="D66" s="259"/>
      <c r="E66" s="259"/>
      <c r="F66" s="259"/>
      <c r="G66" s="259"/>
      <c r="H66" s="259"/>
      <c r="I66" s="259"/>
      <c r="J66" s="259"/>
      <c r="K66" s="259"/>
      <c r="L66" s="259"/>
      <c r="M66" s="259"/>
      <c r="N66" s="259"/>
      <c r="O66" s="259"/>
      <c r="P66" s="259"/>
      <c r="Q66" s="259"/>
      <c r="R66" s="284"/>
      <c r="S66" s="285"/>
      <c r="T66" s="285" t="s">
        <v>342</v>
      </c>
      <c r="U66" s="286" t="str">
        <f>"2"</f>
        <v>2</v>
      </c>
      <c r="V66" s="942"/>
      <c r="W66" s="551"/>
      <c r="X66" s="942"/>
    </row>
    <row r="67" spans="1:24" ht="14.25">
      <c r="A67" s="942"/>
      <c r="B67" s="531" t="s">
        <v>546</v>
      </c>
      <c r="C67" s="287" t="s">
        <v>944</v>
      </c>
      <c r="D67" s="287"/>
      <c r="E67" s="287"/>
      <c r="F67" s="287"/>
      <c r="G67" s="287"/>
      <c r="H67" s="287"/>
      <c r="I67" s="287"/>
      <c r="J67" s="287"/>
      <c r="K67" s="287"/>
      <c r="L67" s="287"/>
      <c r="M67" s="287"/>
      <c r="N67" s="287"/>
      <c r="O67" s="287"/>
      <c r="P67" s="287"/>
      <c r="Q67" s="287"/>
      <c r="R67" s="287"/>
      <c r="S67" s="287"/>
      <c r="T67" s="287"/>
      <c r="U67" s="287"/>
      <c r="V67" s="942"/>
      <c r="W67" s="551"/>
      <c r="X67" s="942"/>
    </row>
    <row r="68" spans="1:24" ht="9.75" customHeight="1">
      <c r="A68" s="942"/>
      <c r="B68" s="441"/>
      <c r="C68" s="441"/>
      <c r="D68" s="441"/>
      <c r="E68" s="441"/>
      <c r="F68" s="441"/>
      <c r="G68" s="441"/>
      <c r="H68" s="441"/>
      <c r="I68" s="441"/>
      <c r="J68" s="441"/>
      <c r="K68" s="441"/>
      <c r="L68" s="441"/>
      <c r="M68" s="441"/>
      <c r="N68" s="441"/>
      <c r="O68" s="441"/>
      <c r="P68" s="441"/>
      <c r="Q68" s="441"/>
      <c r="R68" s="441"/>
      <c r="S68" s="441"/>
      <c r="T68" s="441"/>
      <c r="U68" s="441"/>
      <c r="V68" s="942"/>
      <c r="W68" s="551"/>
      <c r="X68" s="942"/>
    </row>
    <row r="69" spans="1:24" ht="14.25" customHeight="1" thickBot="1">
      <c r="A69" s="942"/>
      <c r="B69" s="274">
        <v>33</v>
      </c>
      <c r="C69" s="243" t="s">
        <v>754</v>
      </c>
      <c r="D69" s="243"/>
      <c r="E69" s="243"/>
      <c r="F69" s="243"/>
      <c r="G69" s="243"/>
      <c r="H69" s="243"/>
      <c r="I69" s="243"/>
      <c r="J69" s="243"/>
      <c r="K69" s="243"/>
      <c r="L69" s="243"/>
      <c r="M69" s="243"/>
      <c r="N69" s="243"/>
      <c r="O69" s="243"/>
      <c r="P69" s="243"/>
      <c r="Q69" s="243"/>
      <c r="R69" s="243"/>
      <c r="S69" s="243"/>
      <c r="T69" s="243"/>
      <c r="U69" s="243"/>
      <c r="V69" s="942"/>
      <c r="W69" s="551"/>
      <c r="X69" s="942"/>
    </row>
    <row r="70" spans="1:24" ht="12" customHeight="1" thickBot="1">
      <c r="A70" s="942"/>
      <c r="B70" s="274"/>
      <c r="C70" s="243" t="s">
        <v>730</v>
      </c>
      <c r="D70" s="243"/>
      <c r="E70" s="2600"/>
      <c r="F70" s="243" t="s">
        <v>755</v>
      </c>
      <c r="G70" s="246" t="s">
        <v>85</v>
      </c>
      <c r="H70" s="2600"/>
      <c r="I70" s="243" t="s">
        <v>756</v>
      </c>
      <c r="J70" s="247"/>
      <c r="K70" s="243"/>
      <c r="L70" s="243"/>
      <c r="M70" s="247" t="s">
        <v>86</v>
      </c>
      <c r="N70" s="2600"/>
      <c r="O70" s="243" t="s">
        <v>379</v>
      </c>
      <c r="P70" s="243"/>
      <c r="Q70" s="243"/>
      <c r="R70" s="243"/>
      <c r="S70" s="243"/>
      <c r="T70" s="243"/>
      <c r="U70" s="243"/>
      <c r="V70" s="942"/>
      <c r="W70" s="551"/>
      <c r="X70" s="942"/>
    </row>
    <row r="71" spans="1:24" ht="15" customHeight="1" thickBot="1">
      <c r="A71" s="942"/>
      <c r="B71" s="274">
        <v>34</v>
      </c>
      <c r="C71" s="1636" t="s">
        <v>1161</v>
      </c>
      <c r="D71" s="259"/>
      <c r="E71" s="259"/>
      <c r="F71" s="259"/>
      <c r="G71" s="259"/>
      <c r="H71" s="259"/>
      <c r="I71" s="259"/>
      <c r="J71" s="259"/>
      <c r="K71" s="243"/>
      <c r="L71" s="243"/>
      <c r="M71" s="243"/>
      <c r="N71" s="243"/>
      <c r="O71" s="243"/>
      <c r="P71" s="243"/>
      <c r="Q71" s="259"/>
      <c r="R71" s="259"/>
      <c r="S71" s="259"/>
      <c r="T71" s="259"/>
      <c r="U71" s="259"/>
      <c r="V71" s="942"/>
      <c r="W71" s="551"/>
      <c r="X71" s="942"/>
    </row>
    <row r="72" spans="1:24" ht="12.75" customHeight="1" thickBot="1">
      <c r="A72" s="942"/>
      <c r="B72" s="274"/>
      <c r="C72" s="1636" t="s">
        <v>1160</v>
      </c>
      <c r="D72" s="259"/>
      <c r="E72" s="259"/>
      <c r="F72" s="259"/>
      <c r="G72" s="259"/>
      <c r="H72" s="259"/>
      <c r="I72" s="259"/>
      <c r="J72" s="259"/>
      <c r="K72" s="259"/>
      <c r="L72" s="259"/>
      <c r="M72" s="259"/>
      <c r="N72" s="2600"/>
      <c r="O72" s="261" t="s">
        <v>460</v>
      </c>
      <c r="P72" s="259"/>
      <c r="Q72" s="2600"/>
      <c r="R72" s="261" t="s">
        <v>461</v>
      </c>
      <c r="S72" s="288" t="str">
        <f>IF(AND(N72&lt;&gt;"",Q72&lt;&gt;""),"Check ONLY one.","")</f>
        <v/>
      </c>
      <c r="T72" s="259"/>
      <c r="U72" s="259"/>
      <c r="V72" s="942"/>
      <c r="W72" s="551"/>
      <c r="X72" s="942"/>
    </row>
    <row r="73" spans="1:24" ht="8.25" customHeight="1">
      <c r="A73" s="942"/>
      <c r="B73" s="274"/>
      <c r="C73" s="259"/>
      <c r="D73" s="259"/>
      <c r="E73" s="259"/>
      <c r="F73" s="259"/>
      <c r="G73" s="259"/>
      <c r="H73" s="259"/>
      <c r="I73" s="259"/>
      <c r="J73" s="259"/>
      <c r="K73" s="259"/>
      <c r="L73" s="259"/>
      <c r="M73" s="259"/>
      <c r="N73" s="259"/>
      <c r="O73" s="259"/>
      <c r="P73" s="259"/>
      <c r="Q73" s="259"/>
      <c r="R73" s="259"/>
      <c r="S73" s="259"/>
      <c r="T73" s="259"/>
      <c r="U73" s="259"/>
      <c r="V73" s="942"/>
      <c r="W73" s="551"/>
      <c r="X73" s="942"/>
    </row>
    <row r="74" spans="1:24" ht="12.75" customHeight="1">
      <c r="A74" s="942"/>
      <c r="B74" s="274">
        <v>35</v>
      </c>
      <c r="C74" s="259" t="s">
        <v>469</v>
      </c>
      <c r="D74" s="259"/>
      <c r="E74" s="259"/>
      <c r="F74" s="259"/>
      <c r="G74" s="259"/>
      <c r="H74" s="259"/>
      <c r="I74" s="259"/>
      <c r="J74" s="259"/>
      <c r="K74" s="259"/>
      <c r="L74" s="259"/>
      <c r="M74" s="259"/>
      <c r="N74" s="259"/>
      <c r="O74" s="259"/>
      <c r="P74" s="259"/>
      <c r="Q74" s="259"/>
      <c r="R74" s="259"/>
      <c r="S74" s="257">
        <v>35</v>
      </c>
      <c r="T74" s="4163"/>
      <c r="U74" s="4164"/>
      <c r="V74" s="942"/>
      <c r="W74" s="551"/>
      <c r="X74" s="942"/>
    </row>
    <row r="75" spans="1:24" ht="8.1" customHeight="1">
      <c r="A75" s="942"/>
      <c r="B75" s="274"/>
      <c r="C75" s="259"/>
      <c r="D75" s="259"/>
      <c r="E75" s="259"/>
      <c r="F75" s="259"/>
      <c r="G75" s="259"/>
      <c r="H75" s="259"/>
      <c r="I75" s="259"/>
      <c r="J75" s="259"/>
      <c r="K75" s="259"/>
      <c r="L75" s="259"/>
      <c r="M75" s="259"/>
      <c r="N75" s="259"/>
      <c r="O75" s="259"/>
      <c r="P75" s="259"/>
      <c r="Q75" s="259"/>
      <c r="R75" s="259"/>
      <c r="S75" s="264"/>
      <c r="T75" s="4161"/>
      <c r="U75" s="4162"/>
      <c r="V75" s="942"/>
      <c r="W75" s="551"/>
      <c r="X75" s="942"/>
    </row>
    <row r="76" spans="1:24">
      <c r="A76" s="942"/>
      <c r="B76" s="274">
        <v>36</v>
      </c>
      <c r="C76" s="259" t="s">
        <v>288</v>
      </c>
      <c r="D76" s="259"/>
      <c r="E76" s="259"/>
      <c r="F76" s="259"/>
      <c r="G76" s="259"/>
      <c r="H76" s="259"/>
      <c r="I76" s="259"/>
      <c r="J76" s="259"/>
      <c r="K76" s="259"/>
      <c r="L76" s="259"/>
      <c r="M76" s="259"/>
      <c r="N76" s="259"/>
      <c r="O76" s="259"/>
      <c r="P76" s="259"/>
      <c r="Q76" s="259"/>
      <c r="R76" s="259"/>
      <c r="S76" s="257">
        <v>36</v>
      </c>
      <c r="T76" s="4163"/>
      <c r="U76" s="4164"/>
      <c r="V76" s="942"/>
      <c r="W76" s="551"/>
      <c r="X76" s="942"/>
    </row>
    <row r="77" spans="1:24" ht="8.1" customHeight="1">
      <c r="A77" s="942"/>
      <c r="B77" s="274"/>
      <c r="C77" s="259"/>
      <c r="D77" s="259"/>
      <c r="E77" s="259"/>
      <c r="F77" s="259"/>
      <c r="G77" s="259"/>
      <c r="H77" s="259"/>
      <c r="I77" s="259"/>
      <c r="J77" s="259"/>
      <c r="K77" s="259"/>
      <c r="L77" s="259"/>
      <c r="M77" s="259"/>
      <c r="N77" s="259"/>
      <c r="O77" s="259"/>
      <c r="P77" s="259"/>
      <c r="Q77" s="259"/>
      <c r="R77" s="259"/>
      <c r="S77" s="264"/>
      <c r="T77" s="4161"/>
      <c r="U77" s="4162"/>
      <c r="V77" s="942"/>
      <c r="W77" s="551"/>
      <c r="X77" s="942"/>
    </row>
    <row r="78" spans="1:24">
      <c r="A78" s="942"/>
      <c r="B78" s="274">
        <v>37</v>
      </c>
      <c r="C78" s="259" t="s">
        <v>545</v>
      </c>
      <c r="D78" s="259"/>
      <c r="E78" s="259"/>
      <c r="F78" s="259"/>
      <c r="G78" s="259"/>
      <c r="H78" s="259"/>
      <c r="I78" s="259"/>
      <c r="J78" s="259"/>
      <c r="K78" s="259"/>
      <c r="L78" s="259"/>
      <c r="M78" s="259"/>
      <c r="N78" s="259"/>
      <c r="O78" s="259"/>
      <c r="P78" s="259"/>
      <c r="Q78" s="259"/>
      <c r="R78" s="259"/>
      <c r="S78" s="257">
        <v>37</v>
      </c>
      <c r="T78" s="4163"/>
      <c r="U78" s="4164"/>
      <c r="V78" s="942"/>
      <c r="W78" s="551"/>
      <c r="X78" s="942"/>
    </row>
    <row r="79" spans="1:24" ht="8.1" customHeight="1">
      <c r="A79" s="942"/>
      <c r="B79" s="274"/>
      <c r="C79" s="259"/>
      <c r="D79" s="259"/>
      <c r="E79" s="259"/>
      <c r="F79" s="259"/>
      <c r="G79" s="259"/>
      <c r="H79" s="259"/>
      <c r="I79" s="259"/>
      <c r="J79" s="259"/>
      <c r="K79" s="259"/>
      <c r="L79" s="259"/>
      <c r="M79" s="259"/>
      <c r="N79" s="259"/>
      <c r="O79" s="259"/>
      <c r="P79" s="259"/>
      <c r="Q79" s="259"/>
      <c r="R79" s="259"/>
      <c r="S79" s="264"/>
      <c r="T79" s="4161"/>
      <c r="U79" s="4162"/>
      <c r="V79" s="942"/>
      <c r="W79" s="551"/>
      <c r="X79" s="942"/>
    </row>
    <row r="80" spans="1:24">
      <c r="A80" s="942"/>
      <c r="B80" s="274">
        <v>38</v>
      </c>
      <c r="C80" s="259" t="s">
        <v>386</v>
      </c>
      <c r="D80" s="259"/>
      <c r="E80" s="259"/>
      <c r="F80" s="259"/>
      <c r="G80" s="259"/>
      <c r="H80" s="259"/>
      <c r="I80" s="259"/>
      <c r="J80" s="259"/>
      <c r="K80" s="259"/>
      <c r="L80" s="259"/>
      <c r="M80" s="259"/>
      <c r="N80" s="259"/>
      <c r="O80" s="259"/>
      <c r="P80" s="259"/>
      <c r="Q80" s="259"/>
      <c r="R80" s="259"/>
      <c r="S80" s="257">
        <v>38</v>
      </c>
      <c r="T80" s="4163"/>
      <c r="U80" s="4164"/>
      <c r="V80" s="942"/>
      <c r="W80" s="551"/>
      <c r="X80" s="942"/>
    </row>
    <row r="81" spans="1:24" ht="8.1" customHeight="1">
      <c r="A81" s="942"/>
      <c r="B81" s="274"/>
      <c r="C81" s="259"/>
      <c r="D81" s="259"/>
      <c r="E81" s="259"/>
      <c r="F81" s="259"/>
      <c r="G81" s="259"/>
      <c r="H81" s="259"/>
      <c r="I81" s="259"/>
      <c r="J81" s="259"/>
      <c r="K81" s="259"/>
      <c r="L81" s="259"/>
      <c r="M81" s="259"/>
      <c r="N81" s="259"/>
      <c r="O81" s="259"/>
      <c r="P81" s="259"/>
      <c r="Q81" s="259"/>
      <c r="R81" s="259"/>
      <c r="S81" s="264"/>
      <c r="T81" s="4161"/>
      <c r="U81" s="4162"/>
      <c r="V81" s="942"/>
      <c r="W81" s="551"/>
      <c r="X81" s="942"/>
    </row>
    <row r="82" spans="1:24">
      <c r="A82" s="942"/>
      <c r="B82" s="274">
        <v>39</v>
      </c>
      <c r="C82" s="259" t="s">
        <v>422</v>
      </c>
      <c r="D82" s="259"/>
      <c r="E82" s="259"/>
      <c r="F82" s="259"/>
      <c r="G82" s="259"/>
      <c r="H82" s="259"/>
      <c r="I82" s="259"/>
      <c r="J82" s="259"/>
      <c r="K82" s="259"/>
      <c r="L82" s="259"/>
      <c r="M82" s="259"/>
      <c r="N82" s="259"/>
      <c r="O82" s="259"/>
      <c r="P82" s="259"/>
      <c r="Q82" s="259"/>
      <c r="R82" s="259"/>
      <c r="S82" s="257">
        <v>39</v>
      </c>
      <c r="T82" s="4163"/>
      <c r="U82" s="4164"/>
      <c r="V82" s="942"/>
      <c r="W82" s="551"/>
      <c r="X82" s="942"/>
    </row>
    <row r="83" spans="1:24" ht="8.1" customHeight="1">
      <c r="A83" s="942"/>
      <c r="B83" s="274"/>
      <c r="C83" s="259"/>
      <c r="D83" s="259"/>
      <c r="E83" s="259"/>
      <c r="F83" s="259"/>
      <c r="G83" s="259"/>
      <c r="H83" s="259"/>
      <c r="I83" s="259"/>
      <c r="J83" s="259"/>
      <c r="K83" s="259"/>
      <c r="L83" s="259"/>
      <c r="M83" s="259"/>
      <c r="N83" s="259"/>
      <c r="O83" s="259"/>
      <c r="P83" s="259"/>
      <c r="Q83" s="259"/>
      <c r="R83" s="259"/>
      <c r="S83" s="264"/>
      <c r="T83" s="4157">
        <f>ROUND(SUM(T74:U82),0)</f>
        <v>0</v>
      </c>
      <c r="U83" s="4158"/>
      <c r="V83" s="942"/>
      <c r="W83" s="551"/>
      <c r="X83" s="942"/>
    </row>
    <row r="84" spans="1:24">
      <c r="A84" s="942"/>
      <c r="B84" s="274">
        <v>40</v>
      </c>
      <c r="C84" s="259" t="s">
        <v>387</v>
      </c>
      <c r="D84" s="259"/>
      <c r="E84" s="259"/>
      <c r="F84" s="259"/>
      <c r="G84" s="259"/>
      <c r="H84" s="259"/>
      <c r="I84" s="259"/>
      <c r="J84" s="259"/>
      <c r="K84" s="259"/>
      <c r="L84" s="259"/>
      <c r="M84" s="259"/>
      <c r="N84" s="259"/>
      <c r="O84" s="259"/>
      <c r="P84" s="259"/>
      <c r="Q84" s="259"/>
      <c r="R84" s="259"/>
      <c r="S84" s="257">
        <v>40</v>
      </c>
      <c r="T84" s="4159"/>
      <c r="U84" s="4160"/>
      <c r="V84" s="942"/>
      <c r="W84" s="551"/>
      <c r="X84" s="942"/>
    </row>
    <row r="85" spans="1:24" ht="8.1" customHeight="1">
      <c r="A85" s="942"/>
      <c r="B85" s="274"/>
      <c r="C85" s="259"/>
      <c r="D85" s="259"/>
      <c r="E85" s="259"/>
      <c r="F85" s="259"/>
      <c r="G85" s="259"/>
      <c r="H85" s="259"/>
      <c r="I85" s="259"/>
      <c r="J85" s="259"/>
      <c r="K85" s="259"/>
      <c r="L85" s="259"/>
      <c r="M85" s="259"/>
      <c r="N85" s="259"/>
      <c r="O85" s="259"/>
      <c r="P85" s="259"/>
      <c r="Q85" s="259"/>
      <c r="R85" s="259"/>
      <c r="S85" s="264"/>
      <c r="T85" s="4161"/>
      <c r="U85" s="4162"/>
      <c r="V85" s="942"/>
      <c r="W85" s="551"/>
      <c r="X85" s="942"/>
    </row>
    <row r="86" spans="1:24">
      <c r="A86" s="942"/>
      <c r="B86" s="274">
        <v>41</v>
      </c>
      <c r="C86" s="259" t="s">
        <v>815</v>
      </c>
      <c r="D86" s="259"/>
      <c r="E86" s="259"/>
      <c r="F86" s="259"/>
      <c r="G86" s="259"/>
      <c r="H86" s="259"/>
      <c r="I86" s="259"/>
      <c r="J86" s="259"/>
      <c r="K86" s="259"/>
      <c r="L86" s="259"/>
      <c r="M86" s="259"/>
      <c r="N86" s="259"/>
      <c r="O86" s="259"/>
      <c r="P86" s="259"/>
      <c r="Q86" s="259"/>
      <c r="R86" s="259"/>
      <c r="S86" s="257">
        <v>41</v>
      </c>
      <c r="T86" s="4163"/>
      <c r="U86" s="4164"/>
      <c r="V86" s="942"/>
      <c r="W86" s="551"/>
      <c r="X86" s="942"/>
    </row>
    <row r="87" spans="1:24" ht="8.1" customHeight="1">
      <c r="A87" s="942"/>
      <c r="B87" s="274"/>
      <c r="C87" s="259"/>
      <c r="D87" s="259"/>
      <c r="E87" s="259"/>
      <c r="F87" s="259"/>
      <c r="G87" s="259"/>
      <c r="H87" s="259"/>
      <c r="I87" s="259"/>
      <c r="J87" s="259"/>
      <c r="K87" s="259"/>
      <c r="L87" s="259"/>
      <c r="M87" s="259"/>
      <c r="N87" s="259"/>
      <c r="O87" s="259"/>
      <c r="P87" s="259"/>
      <c r="Q87" s="259"/>
      <c r="R87" s="259"/>
      <c r="S87" s="264"/>
      <c r="T87" s="4157"/>
      <c r="U87" s="4158"/>
      <c r="V87" s="942"/>
      <c r="W87" s="551"/>
      <c r="X87" s="942"/>
    </row>
    <row r="88" spans="1:24" ht="13.5" thickBot="1">
      <c r="A88" s="942"/>
      <c r="B88" s="274">
        <v>42</v>
      </c>
      <c r="C88" s="1786" t="s">
        <v>1502</v>
      </c>
      <c r="D88" s="261"/>
      <c r="E88" s="259"/>
      <c r="F88" s="259"/>
      <c r="G88" s="259"/>
      <c r="H88" s="259"/>
      <c r="I88" s="259"/>
      <c r="J88" s="259"/>
      <c r="K88" s="259"/>
      <c r="L88" s="259"/>
      <c r="M88" s="259"/>
      <c r="N88" s="259"/>
      <c r="O88" s="259"/>
      <c r="P88" s="259"/>
      <c r="Q88" s="259"/>
      <c r="R88" s="259"/>
      <c r="S88" s="257">
        <v>42</v>
      </c>
      <c r="T88" s="4189">
        <f>ROUND(SUM(T83,-T85),0)</f>
        <v>0</v>
      </c>
      <c r="U88" s="4190"/>
      <c r="V88" s="942"/>
      <c r="W88" s="551"/>
      <c r="X88" s="942"/>
    </row>
    <row r="89" spans="1:24" ht="12.75" customHeight="1">
      <c r="A89" s="942"/>
      <c r="B89" s="531" t="s">
        <v>802</v>
      </c>
      <c r="C89" s="289" t="s">
        <v>262</v>
      </c>
      <c r="D89" s="289"/>
      <c r="E89" s="289"/>
      <c r="F89" s="289"/>
      <c r="G89" s="289"/>
      <c r="H89" s="289"/>
      <c r="I89" s="289"/>
      <c r="J89" s="289"/>
      <c r="K89" s="289"/>
      <c r="L89" s="289"/>
      <c r="M89" s="289"/>
      <c r="N89" s="289"/>
      <c r="O89" s="289"/>
      <c r="P89" s="289"/>
      <c r="Q89" s="289"/>
      <c r="R89" s="289"/>
      <c r="S89" s="289"/>
      <c r="T89" s="289"/>
      <c r="U89" s="289"/>
      <c r="V89" s="942"/>
      <c r="W89" s="551"/>
      <c r="X89" s="942"/>
    </row>
    <row r="90" spans="1:24" ht="12.75" customHeight="1">
      <c r="A90" s="942"/>
      <c r="B90" s="274"/>
      <c r="C90" s="269" t="s">
        <v>940</v>
      </c>
      <c r="D90" s="269"/>
      <c r="E90" s="290"/>
      <c r="F90" s="290"/>
      <c r="G90" s="290"/>
      <c r="H90" s="290"/>
      <c r="I90" s="290"/>
      <c r="J90" s="290"/>
      <c r="K90" s="290"/>
      <c r="L90" s="290"/>
      <c r="M90" s="290"/>
      <c r="N90" s="290"/>
      <c r="O90" s="290"/>
      <c r="P90" s="290"/>
      <c r="Q90" s="290"/>
      <c r="R90" s="290"/>
      <c r="S90" s="290"/>
      <c r="T90" s="290"/>
      <c r="U90" s="290"/>
      <c r="V90" s="942"/>
      <c r="W90" s="551"/>
      <c r="X90" s="942"/>
    </row>
    <row r="91" spans="1:24" ht="12.75" customHeight="1">
      <c r="A91" s="942"/>
      <c r="B91" s="532"/>
      <c r="C91" s="291" t="s">
        <v>261</v>
      </c>
      <c r="D91" s="291"/>
      <c r="E91" s="292"/>
      <c r="F91" s="292"/>
      <c r="G91" s="292"/>
      <c r="H91" s="292"/>
      <c r="I91" s="292"/>
      <c r="J91" s="292"/>
      <c r="K91" s="292"/>
      <c r="L91" s="292"/>
      <c r="M91" s="292"/>
      <c r="N91" s="292"/>
      <c r="O91" s="292"/>
      <c r="P91" s="292"/>
      <c r="Q91" s="292"/>
      <c r="R91" s="292"/>
      <c r="S91" s="292"/>
      <c r="T91" s="292"/>
      <c r="U91" s="292"/>
      <c r="V91" s="942"/>
      <c r="W91" s="551"/>
      <c r="X91" s="942"/>
    </row>
    <row r="92" spans="1:24" ht="7.5" customHeight="1">
      <c r="A92" s="942"/>
      <c r="B92" s="274"/>
      <c r="C92" s="259"/>
      <c r="D92" s="259"/>
      <c r="E92" s="259"/>
      <c r="F92" s="259"/>
      <c r="G92" s="259"/>
      <c r="H92" s="259"/>
      <c r="I92" s="259"/>
      <c r="J92" s="259"/>
      <c r="K92" s="259"/>
      <c r="L92" s="259"/>
      <c r="M92" s="259"/>
      <c r="N92" s="259"/>
      <c r="O92" s="259"/>
      <c r="P92" s="259"/>
      <c r="Q92" s="259"/>
      <c r="R92" s="259"/>
      <c r="S92" s="259"/>
      <c r="T92" s="259"/>
      <c r="U92" s="259"/>
      <c r="V92" s="942"/>
      <c r="W92" s="551"/>
      <c r="X92" s="942"/>
    </row>
    <row r="93" spans="1:24" ht="15.75" customHeight="1">
      <c r="A93" s="942"/>
      <c r="B93" s="274">
        <v>43</v>
      </c>
      <c r="C93" s="2825" t="s">
        <v>1659</v>
      </c>
      <c r="D93" s="966"/>
      <c r="E93" s="259"/>
      <c r="F93" s="259"/>
      <c r="G93" s="259"/>
      <c r="H93" s="259"/>
      <c r="I93" s="259"/>
      <c r="J93" s="259"/>
      <c r="K93" s="259"/>
      <c r="L93" s="259"/>
      <c r="M93" s="259"/>
      <c r="N93" s="965"/>
      <c r="O93" s="4191"/>
      <c r="P93" s="4191"/>
      <c r="Q93" s="4191"/>
      <c r="R93" s="4191"/>
      <c r="S93" s="4191"/>
      <c r="T93" s="261" t="s">
        <v>457</v>
      </c>
      <c r="U93" s="261"/>
      <c r="V93" s="942"/>
      <c r="W93" s="551"/>
      <c r="X93" s="942"/>
    </row>
    <row r="94" spans="1:24" ht="8.1" customHeight="1">
      <c r="A94" s="942"/>
      <c r="B94" s="274"/>
      <c r="C94" s="259"/>
      <c r="D94" s="259"/>
      <c r="E94" s="259"/>
      <c r="F94" s="259"/>
      <c r="G94" s="259"/>
      <c r="H94" s="259"/>
      <c r="I94" s="259"/>
      <c r="J94" s="259"/>
      <c r="K94" s="259"/>
      <c r="L94" s="259"/>
      <c r="M94" s="259"/>
      <c r="N94" s="259"/>
      <c r="O94" s="259"/>
      <c r="P94" s="259"/>
      <c r="Q94" s="259"/>
      <c r="R94" s="259"/>
      <c r="S94" s="259"/>
      <c r="T94" s="259"/>
      <c r="U94" s="259"/>
      <c r="V94" s="942"/>
      <c r="W94" s="551"/>
      <c r="X94" s="942"/>
    </row>
    <row r="95" spans="1:24">
      <c r="A95" s="942"/>
      <c r="B95" s="274">
        <v>44</v>
      </c>
      <c r="C95" s="259" t="str">
        <f>"Of the total number of miles you drove your vehicle during "&amp;TaxYear&amp;", enter the number of miles you used your vehicle for:"</f>
        <v>Of the total number of miles you drove your vehicle during 2014, enter the number of miles you used your vehicle for:</v>
      </c>
      <c r="D95" s="259"/>
      <c r="E95" s="259"/>
      <c r="F95" s="259"/>
      <c r="G95" s="259"/>
      <c r="H95" s="259"/>
      <c r="I95" s="259"/>
      <c r="J95" s="259"/>
      <c r="K95" s="259"/>
      <c r="L95" s="259"/>
      <c r="M95" s="259"/>
      <c r="N95" s="259"/>
      <c r="O95" s="259"/>
      <c r="P95" s="259"/>
      <c r="Q95" s="259"/>
      <c r="R95" s="259"/>
      <c r="S95" s="259"/>
      <c r="T95" s="259"/>
      <c r="U95" s="259"/>
      <c r="V95" s="942"/>
      <c r="W95" s="551"/>
      <c r="X95" s="942"/>
    </row>
    <row r="96" spans="1:24" ht="15" customHeight="1">
      <c r="A96" s="942"/>
      <c r="B96" s="247"/>
      <c r="C96" s="284" t="s">
        <v>715</v>
      </c>
      <c r="D96" s="2606"/>
      <c r="E96" s="967"/>
      <c r="F96" s="1315"/>
      <c r="G96" s="284"/>
      <c r="H96" s="284"/>
      <c r="I96" s="967" t="s">
        <v>515</v>
      </c>
      <c r="J96" s="4227"/>
      <c r="K96" s="4228"/>
      <c r="L96" s="4228"/>
      <c r="M96" s="293"/>
      <c r="N96" s="967" t="s">
        <v>86</v>
      </c>
      <c r="O96" s="4192" t="s">
        <v>689</v>
      </c>
      <c r="P96" s="4193"/>
      <c r="Q96" s="4226"/>
      <c r="R96" s="4226"/>
      <c r="S96" s="4226"/>
      <c r="T96" s="1257"/>
      <c r="U96" s="1257"/>
      <c r="V96" s="942"/>
      <c r="W96" s="551"/>
      <c r="X96" s="942"/>
    </row>
    <row r="97" spans="1:24" ht="8.1" customHeight="1" thickBot="1">
      <c r="A97" s="942"/>
      <c r="B97" s="274"/>
      <c r="C97" s="259"/>
      <c r="D97" s="259"/>
      <c r="E97" s="259"/>
      <c r="F97" s="259"/>
      <c r="G97" s="259"/>
      <c r="H97" s="259"/>
      <c r="I97" s="259"/>
      <c r="J97" s="259"/>
      <c r="K97" s="259"/>
      <c r="L97" s="259"/>
      <c r="M97" s="259"/>
      <c r="N97" s="259"/>
      <c r="O97" s="259"/>
      <c r="P97" s="259"/>
      <c r="Q97" s="259"/>
      <c r="R97" s="968"/>
      <c r="S97" s="259"/>
      <c r="T97" s="259"/>
      <c r="U97" s="259"/>
      <c r="V97" s="942"/>
      <c r="W97" s="551"/>
      <c r="X97" s="942"/>
    </row>
    <row r="98" spans="1:24" ht="12.75" customHeight="1" thickBot="1">
      <c r="A98" s="942"/>
      <c r="B98" s="274">
        <v>45</v>
      </c>
      <c r="C98" s="1636" t="s">
        <v>1162</v>
      </c>
      <c r="D98" s="259"/>
      <c r="E98" s="259"/>
      <c r="F98" s="259"/>
      <c r="G98" s="259"/>
      <c r="H98" s="259"/>
      <c r="I98" s="259"/>
      <c r="J98" s="259"/>
      <c r="K98" s="259"/>
      <c r="L98" s="259"/>
      <c r="M98" s="2600"/>
      <c r="N98" s="294" t="s">
        <v>460</v>
      </c>
      <c r="O98" s="259"/>
      <c r="P98" s="2600"/>
      <c r="Q98" s="295" t="s">
        <v>461</v>
      </c>
      <c r="R98" s="969" t="str">
        <f>IF(AND(M98&lt;&gt;"",P98&lt;&gt;""),"Check ONLY one.","")</f>
        <v/>
      </c>
      <c r="S98" s="259"/>
      <c r="T98" s="294"/>
      <c r="U98" s="294"/>
      <c r="V98" s="942"/>
      <c r="W98" s="551"/>
      <c r="X98" s="942"/>
    </row>
    <row r="99" spans="1:24" ht="8.1" customHeight="1" thickBot="1">
      <c r="A99" s="942"/>
      <c r="B99" s="247"/>
      <c r="C99" s="284"/>
      <c r="D99" s="284"/>
      <c r="E99" s="284"/>
      <c r="F99" s="284"/>
      <c r="G99" s="284"/>
      <c r="H99" s="284"/>
      <c r="I99" s="284"/>
      <c r="J99" s="284"/>
      <c r="K99" s="284"/>
      <c r="L99" s="284"/>
      <c r="M99" s="284"/>
      <c r="N99" s="284"/>
      <c r="O99" s="259"/>
      <c r="P99" s="284"/>
      <c r="Q99" s="284"/>
      <c r="R99" s="284"/>
      <c r="S99" s="284"/>
      <c r="T99" s="259"/>
      <c r="U99" s="259"/>
      <c r="V99" s="942"/>
      <c r="W99" s="551"/>
      <c r="X99" s="942"/>
    </row>
    <row r="100" spans="1:24" ht="13.5" thickBot="1">
      <c r="A100" s="942"/>
      <c r="B100" s="274">
        <v>46</v>
      </c>
      <c r="C100" s="259" t="s">
        <v>554</v>
      </c>
      <c r="D100" s="259"/>
      <c r="E100" s="259"/>
      <c r="F100" s="259"/>
      <c r="G100" s="259"/>
      <c r="H100" s="259"/>
      <c r="I100" s="259"/>
      <c r="J100" s="259"/>
      <c r="K100" s="259"/>
      <c r="L100" s="259"/>
      <c r="M100" s="2600"/>
      <c r="N100" s="294" t="s">
        <v>460</v>
      </c>
      <c r="O100" s="259"/>
      <c r="P100" s="2600"/>
      <c r="Q100" s="295" t="s">
        <v>461</v>
      </c>
      <c r="R100" s="969" t="str">
        <f>IF(AND(M100&lt;&gt;"",P100&lt;&gt;""),"Check ONLY one.","")</f>
        <v/>
      </c>
      <c r="S100" s="259"/>
      <c r="T100" s="294"/>
      <c r="U100" s="294"/>
      <c r="V100" s="942"/>
      <c r="W100" s="551"/>
      <c r="X100" s="942"/>
    </row>
    <row r="101" spans="1:24" ht="8.1" customHeight="1" thickBot="1">
      <c r="A101" s="942"/>
      <c r="B101" s="274"/>
      <c r="C101" s="259"/>
      <c r="D101" s="259"/>
      <c r="E101" s="259"/>
      <c r="F101" s="259"/>
      <c r="G101" s="259"/>
      <c r="H101" s="259"/>
      <c r="I101" s="259"/>
      <c r="J101" s="259"/>
      <c r="K101" s="259"/>
      <c r="L101" s="259"/>
      <c r="M101" s="259"/>
      <c r="N101" s="259"/>
      <c r="O101" s="259"/>
      <c r="P101" s="259"/>
      <c r="Q101" s="259"/>
      <c r="R101" s="968"/>
      <c r="S101" s="259"/>
      <c r="T101" s="259"/>
      <c r="U101" s="259"/>
      <c r="V101" s="942"/>
      <c r="W101" s="551"/>
      <c r="X101" s="942"/>
    </row>
    <row r="102" spans="1:24" ht="13.5" thickBot="1">
      <c r="A102" s="942"/>
      <c r="B102" s="205" t="s">
        <v>202</v>
      </c>
      <c r="C102" s="1636" t="s">
        <v>1163</v>
      </c>
      <c r="D102" s="259"/>
      <c r="E102" s="259"/>
      <c r="F102" s="259"/>
      <c r="G102" s="259"/>
      <c r="H102" s="259"/>
      <c r="I102" s="259"/>
      <c r="J102" s="259"/>
      <c r="K102" s="259"/>
      <c r="L102" s="259"/>
      <c r="M102" s="2600"/>
      <c r="N102" s="294" t="s">
        <v>460</v>
      </c>
      <c r="O102" s="259"/>
      <c r="P102" s="2600"/>
      <c r="Q102" s="295" t="s">
        <v>461</v>
      </c>
      <c r="R102" s="969" t="str">
        <f>IF(AND(M102&lt;&gt;"",P102&lt;&gt;""),"Check ONLY one.","")</f>
        <v/>
      </c>
      <c r="S102" s="259"/>
      <c r="T102" s="259"/>
      <c r="U102" s="259"/>
      <c r="V102" s="942"/>
      <c r="W102" s="551"/>
      <c r="X102" s="942"/>
    </row>
    <row r="103" spans="1:24" ht="8.1" customHeight="1" thickBot="1">
      <c r="A103" s="942"/>
      <c r="B103" s="274"/>
      <c r="C103" s="259"/>
      <c r="D103" s="259"/>
      <c r="E103" s="259"/>
      <c r="F103" s="259"/>
      <c r="G103" s="259"/>
      <c r="H103" s="259"/>
      <c r="I103" s="259"/>
      <c r="J103" s="259"/>
      <c r="K103" s="259"/>
      <c r="L103" s="259"/>
      <c r="M103" s="259"/>
      <c r="N103" s="259"/>
      <c r="O103" s="259"/>
      <c r="P103" s="259"/>
      <c r="Q103" s="259"/>
      <c r="R103" s="968"/>
      <c r="S103" s="259"/>
      <c r="T103" s="259"/>
      <c r="U103" s="259"/>
      <c r="V103" s="942"/>
      <c r="W103" s="551"/>
      <c r="X103" s="942"/>
    </row>
    <row r="104" spans="1:24" ht="13.5" thickBot="1">
      <c r="A104" s="942"/>
      <c r="B104" s="247" t="s">
        <v>85</v>
      </c>
      <c r="C104" s="259" t="s">
        <v>659</v>
      </c>
      <c r="D104" s="259"/>
      <c r="E104" s="259"/>
      <c r="F104" s="259"/>
      <c r="G104" s="259"/>
      <c r="H104" s="259"/>
      <c r="I104" s="259"/>
      <c r="J104" s="259"/>
      <c r="K104" s="259"/>
      <c r="L104" s="284" t="s">
        <v>204</v>
      </c>
      <c r="M104" s="2600"/>
      <c r="N104" s="294" t="s">
        <v>460</v>
      </c>
      <c r="O104" s="259"/>
      <c r="P104" s="2600"/>
      <c r="Q104" s="295" t="s">
        <v>461</v>
      </c>
      <c r="R104" s="969" t="str">
        <f>IF(AND(M104&lt;&gt;"",P104&lt;&gt;""),"Check ONLY one.","")</f>
        <v/>
      </c>
      <c r="S104" s="259"/>
      <c r="T104" s="259"/>
      <c r="U104" s="259"/>
      <c r="V104" s="942"/>
      <c r="W104" s="551"/>
      <c r="X104" s="942"/>
    </row>
    <row r="105" spans="1:24" ht="3.75" customHeight="1" thickBot="1">
      <c r="A105" s="942"/>
      <c r="B105" s="274"/>
      <c r="C105" s="259"/>
      <c r="D105" s="259"/>
      <c r="E105" s="259"/>
      <c r="F105" s="259"/>
      <c r="G105" s="259"/>
      <c r="H105" s="259"/>
      <c r="I105" s="259"/>
      <c r="J105" s="259"/>
      <c r="K105" s="259"/>
      <c r="L105" s="259"/>
      <c r="M105" s="259"/>
      <c r="N105" s="259"/>
      <c r="O105" s="259"/>
      <c r="P105" s="259"/>
      <c r="Q105" s="259"/>
      <c r="R105" s="259"/>
      <c r="S105" s="259"/>
      <c r="T105" s="259"/>
      <c r="U105" s="259"/>
      <c r="V105" s="942"/>
      <c r="W105" s="551"/>
      <c r="X105" s="942"/>
    </row>
    <row r="106" spans="1:24" ht="15.75">
      <c r="A106" s="942"/>
      <c r="B106" s="531" t="s">
        <v>205</v>
      </c>
      <c r="C106" s="287" t="s">
        <v>1166</v>
      </c>
      <c r="D106" s="287"/>
      <c r="E106" s="287"/>
      <c r="F106" s="287"/>
      <c r="G106" s="287"/>
      <c r="H106" s="287"/>
      <c r="I106" s="287"/>
      <c r="J106" s="287"/>
      <c r="K106" s="287"/>
      <c r="L106" s="287"/>
      <c r="M106" s="287"/>
      <c r="N106" s="287"/>
      <c r="O106" s="287"/>
      <c r="P106" s="287"/>
      <c r="Q106" s="287"/>
      <c r="R106" s="287"/>
      <c r="S106" s="287"/>
      <c r="T106" s="287"/>
      <c r="U106" s="287"/>
      <c r="V106" s="942"/>
      <c r="W106" s="551"/>
      <c r="X106" s="942"/>
    </row>
    <row r="107" spans="1:24" ht="27.75" customHeight="1">
      <c r="A107" s="942"/>
      <c r="B107" s="4229"/>
      <c r="C107" s="4230"/>
      <c r="D107" s="4230"/>
      <c r="E107" s="4230"/>
      <c r="F107" s="4230"/>
      <c r="G107" s="4230"/>
      <c r="H107" s="4230"/>
      <c r="I107" s="4230"/>
      <c r="J107" s="4230"/>
      <c r="K107" s="4230"/>
      <c r="L107" s="4230"/>
      <c r="M107" s="4230"/>
      <c r="N107" s="4230"/>
      <c r="O107" s="4230"/>
      <c r="P107" s="4230"/>
      <c r="Q107" s="4230"/>
      <c r="R107" s="4230"/>
      <c r="S107" s="4231"/>
      <c r="T107" s="4134"/>
      <c r="U107" s="4135"/>
      <c r="V107" s="942"/>
      <c r="W107" s="551"/>
      <c r="X107" s="942"/>
    </row>
    <row r="108" spans="1:24" ht="27.75" customHeight="1">
      <c r="A108" s="942"/>
      <c r="B108" s="4171"/>
      <c r="C108" s="4172"/>
      <c r="D108" s="4172"/>
      <c r="E108" s="4172"/>
      <c r="F108" s="4172"/>
      <c r="G108" s="4172"/>
      <c r="H108" s="4172"/>
      <c r="I108" s="4172"/>
      <c r="J108" s="4172"/>
      <c r="K108" s="4172"/>
      <c r="L108" s="4172"/>
      <c r="M108" s="4172"/>
      <c r="N108" s="4172"/>
      <c r="O108" s="4172"/>
      <c r="P108" s="4172"/>
      <c r="Q108" s="4172"/>
      <c r="R108" s="4172"/>
      <c r="S108" s="4173"/>
      <c r="T108" s="4134"/>
      <c r="U108" s="4135"/>
      <c r="V108" s="942"/>
      <c r="W108" s="551"/>
      <c r="X108" s="942"/>
    </row>
    <row r="109" spans="1:24" ht="27.75" customHeight="1">
      <c r="A109" s="942"/>
      <c r="B109" s="4171"/>
      <c r="C109" s="4172"/>
      <c r="D109" s="4172"/>
      <c r="E109" s="4172"/>
      <c r="F109" s="4172"/>
      <c r="G109" s="4172"/>
      <c r="H109" s="4172"/>
      <c r="I109" s="4172"/>
      <c r="J109" s="4172"/>
      <c r="K109" s="4172"/>
      <c r="L109" s="4172"/>
      <c r="M109" s="4172"/>
      <c r="N109" s="4172"/>
      <c r="O109" s="4172"/>
      <c r="P109" s="4172"/>
      <c r="Q109" s="4172"/>
      <c r="R109" s="4172"/>
      <c r="S109" s="4173"/>
      <c r="T109" s="4134"/>
      <c r="U109" s="4135"/>
      <c r="V109" s="942"/>
      <c r="W109" s="551"/>
      <c r="X109" s="942"/>
    </row>
    <row r="110" spans="1:24" ht="27.75" customHeight="1">
      <c r="A110" s="942"/>
      <c r="B110" s="4171"/>
      <c r="C110" s="4172"/>
      <c r="D110" s="4172"/>
      <c r="E110" s="4172"/>
      <c r="F110" s="4172"/>
      <c r="G110" s="4172"/>
      <c r="H110" s="4172"/>
      <c r="I110" s="4172"/>
      <c r="J110" s="4172"/>
      <c r="K110" s="4172"/>
      <c r="L110" s="4172"/>
      <c r="M110" s="4172"/>
      <c r="N110" s="4172"/>
      <c r="O110" s="4172"/>
      <c r="P110" s="4172"/>
      <c r="Q110" s="4172"/>
      <c r="R110" s="4172"/>
      <c r="S110" s="4173"/>
      <c r="T110" s="4134"/>
      <c r="U110" s="4135"/>
      <c r="V110" s="942"/>
      <c r="W110" s="551"/>
      <c r="X110" s="942"/>
    </row>
    <row r="111" spans="1:24" ht="27.75" customHeight="1">
      <c r="A111" s="942"/>
      <c r="B111" s="4171"/>
      <c r="C111" s="4172"/>
      <c r="D111" s="4172"/>
      <c r="E111" s="4172"/>
      <c r="F111" s="4172"/>
      <c r="G111" s="4172"/>
      <c r="H111" s="4172"/>
      <c r="I111" s="4172"/>
      <c r="J111" s="4172"/>
      <c r="K111" s="4172"/>
      <c r="L111" s="4172"/>
      <c r="M111" s="4172"/>
      <c r="N111" s="4172"/>
      <c r="O111" s="4172"/>
      <c r="P111" s="4172"/>
      <c r="Q111" s="4172"/>
      <c r="R111" s="4172"/>
      <c r="S111" s="4173"/>
      <c r="T111" s="4134"/>
      <c r="U111" s="4135"/>
      <c r="V111" s="942"/>
      <c r="W111" s="551"/>
      <c r="X111" s="942"/>
    </row>
    <row r="112" spans="1:24" ht="27.75" customHeight="1">
      <c r="A112" s="942"/>
      <c r="B112" s="4171"/>
      <c r="C112" s="4172"/>
      <c r="D112" s="4172"/>
      <c r="E112" s="4172"/>
      <c r="F112" s="4172"/>
      <c r="G112" s="4172"/>
      <c r="H112" s="4172"/>
      <c r="I112" s="4172"/>
      <c r="J112" s="4172"/>
      <c r="K112" s="4172"/>
      <c r="L112" s="4172"/>
      <c r="M112" s="4172"/>
      <c r="N112" s="4172"/>
      <c r="O112" s="4172"/>
      <c r="P112" s="4172"/>
      <c r="Q112" s="4172"/>
      <c r="R112" s="4172"/>
      <c r="S112" s="4173"/>
      <c r="T112" s="4134"/>
      <c r="U112" s="4135"/>
      <c r="V112" s="942"/>
      <c r="W112" s="551"/>
      <c r="X112" s="942"/>
    </row>
    <row r="113" spans="1:24" ht="27.75" customHeight="1">
      <c r="A113" s="942"/>
      <c r="B113" s="4174"/>
      <c r="C113" s="4172"/>
      <c r="D113" s="4172"/>
      <c r="E113" s="4172"/>
      <c r="F113" s="4172"/>
      <c r="G113" s="4172"/>
      <c r="H113" s="4172"/>
      <c r="I113" s="4172"/>
      <c r="J113" s="4172"/>
      <c r="K113" s="4172"/>
      <c r="L113" s="4172"/>
      <c r="M113" s="4172"/>
      <c r="N113" s="4172"/>
      <c r="O113" s="4172"/>
      <c r="P113" s="4172"/>
      <c r="Q113" s="4172"/>
      <c r="R113" s="4172"/>
      <c r="S113" s="4173"/>
      <c r="T113" s="4134"/>
      <c r="U113" s="4135"/>
      <c r="V113" s="942"/>
      <c r="W113" s="551"/>
      <c r="X113" s="942"/>
    </row>
    <row r="114" spans="1:24" ht="27.75" customHeight="1">
      <c r="A114" s="942"/>
      <c r="B114" s="4171"/>
      <c r="C114" s="4172"/>
      <c r="D114" s="4172"/>
      <c r="E114" s="4172"/>
      <c r="F114" s="4172"/>
      <c r="G114" s="4172"/>
      <c r="H114" s="4172"/>
      <c r="I114" s="4172"/>
      <c r="J114" s="4172"/>
      <c r="K114" s="4172"/>
      <c r="L114" s="4172"/>
      <c r="M114" s="4172"/>
      <c r="N114" s="4172"/>
      <c r="O114" s="4172"/>
      <c r="P114" s="4172"/>
      <c r="Q114" s="4172"/>
      <c r="R114" s="4172"/>
      <c r="S114" s="4173"/>
      <c r="T114" s="4134"/>
      <c r="U114" s="4135"/>
      <c r="V114" s="942"/>
      <c r="W114" s="551"/>
      <c r="X114" s="942"/>
    </row>
    <row r="115" spans="1:24" ht="27.75" customHeight="1">
      <c r="A115" s="942"/>
      <c r="B115" s="4175"/>
      <c r="C115" s="4176"/>
      <c r="D115" s="4176"/>
      <c r="E115" s="4176"/>
      <c r="F115" s="4176"/>
      <c r="G115" s="4176"/>
      <c r="H115" s="4176"/>
      <c r="I115" s="4176"/>
      <c r="J115" s="4176"/>
      <c r="K115" s="4176"/>
      <c r="L115" s="4176"/>
      <c r="M115" s="4176"/>
      <c r="N115" s="4176"/>
      <c r="O115" s="4176"/>
      <c r="P115" s="4176"/>
      <c r="Q115" s="4176"/>
      <c r="R115" s="4176"/>
      <c r="S115" s="4177"/>
      <c r="T115" s="4134"/>
      <c r="U115" s="4135"/>
      <c r="V115" s="942"/>
      <c r="W115" s="551"/>
      <c r="X115" s="942"/>
    </row>
    <row r="116" spans="1:24" ht="16.5" customHeight="1" thickBot="1">
      <c r="A116" s="942"/>
      <c r="B116" s="283">
        <v>48</v>
      </c>
      <c r="C116" s="1796" t="s">
        <v>1164</v>
      </c>
      <c r="D116" s="296"/>
      <c r="E116" s="281"/>
      <c r="F116" s="281"/>
      <c r="G116" s="281"/>
      <c r="H116" s="281"/>
      <c r="I116" s="281"/>
      <c r="J116" s="281"/>
      <c r="K116" s="281"/>
      <c r="L116" s="281"/>
      <c r="M116" s="281"/>
      <c r="N116" s="281"/>
      <c r="O116" s="281"/>
      <c r="P116" s="281"/>
      <c r="Q116" s="297"/>
      <c r="R116" s="281"/>
      <c r="S116" s="298">
        <v>48</v>
      </c>
      <c r="T116" s="4155">
        <f>ROUND(SUM(T107,T108,T109,T110,T111,T112,T113,T114,T115),0)</f>
        <v>0</v>
      </c>
      <c r="U116" s="4156"/>
      <c r="V116" s="942"/>
      <c r="W116" s="551"/>
      <c r="X116" s="942"/>
    </row>
    <row r="117" spans="1:24" ht="20.25" customHeight="1">
      <c r="A117" s="942"/>
      <c r="B117" s="539"/>
      <c r="C117" s="539"/>
      <c r="D117" s="539"/>
      <c r="E117" s="539"/>
      <c r="F117" s="540"/>
      <c r="G117" s="540"/>
      <c r="H117" s="540"/>
      <c r="I117" s="541"/>
      <c r="J117" s="541"/>
      <c r="K117" s="541"/>
      <c r="L117" s="542"/>
      <c r="M117" s="541"/>
      <c r="N117" s="540"/>
      <c r="O117" s="540"/>
      <c r="P117" s="543"/>
      <c r="Q117" s="540"/>
      <c r="R117" s="540"/>
      <c r="S117" s="542"/>
      <c r="T117" s="544"/>
      <c r="U117" s="544" t="str">
        <f>"Schedule C   (Form 1040)  "&amp;TaxYear</f>
        <v>Schedule C   (Form 1040)  2014</v>
      </c>
      <c r="V117" s="942"/>
      <c r="W117" s="551"/>
      <c r="X117" s="942"/>
    </row>
    <row r="118" spans="1:24" ht="8.25" customHeight="1">
      <c r="A118" s="942"/>
      <c r="B118" s="1024"/>
      <c r="C118" s="1024"/>
      <c r="D118" s="1024"/>
      <c r="E118" s="1024"/>
      <c r="F118" s="1019"/>
      <c r="G118" s="1019"/>
      <c r="H118" s="1019"/>
      <c r="I118" s="1025"/>
      <c r="J118" s="1025"/>
      <c r="K118" s="1025"/>
      <c r="L118" s="1025"/>
      <c r="M118" s="1025"/>
      <c r="N118" s="1019"/>
      <c r="O118" s="1019"/>
      <c r="P118" s="1026"/>
      <c r="Q118" s="1019"/>
      <c r="R118" s="1019"/>
      <c r="S118" s="1019"/>
      <c r="T118" s="1019"/>
      <c r="U118" s="1019"/>
      <c r="V118" s="942"/>
      <c r="W118" s="551"/>
      <c r="X118" s="942"/>
    </row>
    <row r="119" spans="1:24">
      <c r="B119" s="16"/>
      <c r="C119" s="17"/>
      <c r="D119" s="17"/>
      <c r="E119" s="17"/>
      <c r="F119" s="17"/>
      <c r="G119" s="17"/>
      <c r="H119" s="17"/>
      <c r="I119" s="18"/>
      <c r="J119" s="18"/>
      <c r="K119" s="18"/>
      <c r="L119" s="18"/>
      <c r="M119" s="19"/>
      <c r="N119" s="17"/>
      <c r="O119" s="17"/>
      <c r="P119" s="15"/>
      <c r="Q119" s="17"/>
      <c r="R119" s="17"/>
      <c r="S119" s="17"/>
      <c r="T119" s="17"/>
      <c r="U119" s="17"/>
    </row>
    <row r="120" spans="1:24" ht="13.5" thickBot="1">
      <c r="B120" s="16"/>
      <c r="C120" s="17"/>
      <c r="D120" s="17"/>
      <c r="E120" s="17"/>
      <c r="F120" s="17"/>
      <c r="G120" s="17"/>
      <c r="H120" s="17"/>
      <c r="I120" s="18"/>
      <c r="J120" s="18"/>
      <c r="K120" s="18"/>
      <c r="L120" s="16"/>
      <c r="M120" s="20"/>
      <c r="N120" s="17"/>
      <c r="O120" s="17"/>
      <c r="P120" s="15"/>
      <c r="Q120" s="17"/>
      <c r="R120" s="17"/>
      <c r="S120" s="17"/>
      <c r="T120" s="17"/>
      <c r="U120" s="17"/>
    </row>
    <row r="121" spans="1:24" ht="14.25" thickTop="1" thickBot="1">
      <c r="B121" s="886"/>
      <c r="C121" s="4178" t="s">
        <v>116</v>
      </c>
      <c r="D121" s="4179"/>
      <c r="E121" s="4179"/>
      <c r="F121" s="4179"/>
      <c r="G121" s="4180"/>
      <c r="H121" s="887"/>
      <c r="I121" s="888"/>
      <c r="J121" s="888"/>
      <c r="K121" s="888"/>
      <c r="L121" s="886"/>
      <c r="M121" s="889"/>
      <c r="N121" s="887"/>
      <c r="O121" s="887"/>
      <c r="P121" s="890"/>
      <c r="Q121" s="887"/>
      <c r="R121" s="887"/>
      <c r="S121" s="887"/>
      <c r="T121" s="887"/>
      <c r="U121" s="887"/>
    </row>
    <row r="122" spans="1:24" ht="14.25" thickTop="1" thickBot="1">
      <c r="B122" s="886"/>
      <c r="C122" s="887"/>
      <c r="D122" s="887"/>
      <c r="E122" s="887"/>
      <c r="F122" s="887"/>
      <c r="G122" s="887"/>
      <c r="H122" s="887"/>
      <c r="I122" s="888"/>
      <c r="J122" s="888"/>
      <c r="K122" s="888"/>
      <c r="L122" s="886"/>
      <c r="M122" s="891"/>
      <c r="N122" s="887"/>
      <c r="O122" s="887"/>
      <c r="P122" s="890"/>
      <c r="Q122" s="887"/>
      <c r="R122" s="887"/>
      <c r="S122" s="887"/>
      <c r="T122" s="887"/>
      <c r="U122" s="887"/>
    </row>
    <row r="123" spans="1:24" ht="27.75" customHeight="1" thickTop="1" thickBot="1">
      <c r="B123" s="886"/>
      <c r="C123" s="4168" t="s">
        <v>1067</v>
      </c>
      <c r="D123" s="4169"/>
      <c r="E123" s="4169"/>
      <c r="F123" s="4169"/>
      <c r="G123" s="4170"/>
      <c r="H123" s="887"/>
      <c r="I123" s="888"/>
      <c r="J123" s="888"/>
      <c r="K123" s="888"/>
      <c r="L123" s="886"/>
      <c r="M123" s="891"/>
      <c r="N123" s="887"/>
      <c r="O123" s="887"/>
      <c r="P123" s="890"/>
      <c r="Q123" s="887"/>
      <c r="R123" s="887"/>
      <c r="S123" s="887"/>
      <c r="T123" s="887"/>
      <c r="U123" s="887"/>
    </row>
    <row r="124" spans="1:24" ht="13.5" thickTop="1"/>
  </sheetData>
  <sheetProtection password="F07E" sheet="1" objects="1" scenarios="1"/>
  <mergeCells count="75">
    <mergeCell ref="T51:U51"/>
    <mergeCell ref="T52:U52"/>
    <mergeCell ref="M53:Q53"/>
    <mergeCell ref="H54:K54"/>
    <mergeCell ref="T112:U112"/>
    <mergeCell ref="Q96:S96"/>
    <mergeCell ref="J96:L96"/>
    <mergeCell ref="B107:S107"/>
    <mergeCell ref="B6:C7"/>
    <mergeCell ref="N17:U17"/>
    <mergeCell ref="D7:Q7"/>
    <mergeCell ref="T29:U29"/>
    <mergeCell ref="T31:U31"/>
    <mergeCell ref="B9:L9"/>
    <mergeCell ref="B11:L11"/>
    <mergeCell ref="B13:L13"/>
    <mergeCell ref="M9:T9"/>
    <mergeCell ref="I14:U14"/>
    <mergeCell ref="T25:U25"/>
    <mergeCell ref="D6:Q6"/>
    <mergeCell ref="R4:U4"/>
    <mergeCell ref="R5:U5"/>
    <mergeCell ref="T28:U28"/>
    <mergeCell ref="T108:U108"/>
    <mergeCell ref="T109:U109"/>
    <mergeCell ref="I15:U15"/>
    <mergeCell ref="T88:U88"/>
    <mergeCell ref="O93:S93"/>
    <mergeCell ref="O96:P96"/>
    <mergeCell ref="T46:U46"/>
    <mergeCell ref="T26:U26"/>
    <mergeCell ref="T27:U27"/>
    <mergeCell ref="T77:U78"/>
    <mergeCell ref="T50:U50"/>
    <mergeCell ref="T48:U48"/>
    <mergeCell ref="T85:U86"/>
    <mergeCell ref="C123:G123"/>
    <mergeCell ref="B108:S108"/>
    <mergeCell ref="B113:S113"/>
    <mergeCell ref="B114:S114"/>
    <mergeCell ref="B115:S115"/>
    <mergeCell ref="C121:G121"/>
    <mergeCell ref="B111:S111"/>
    <mergeCell ref="B112:S112"/>
    <mergeCell ref="B109:S109"/>
    <mergeCell ref="B110:S110"/>
    <mergeCell ref="T116:U116"/>
    <mergeCell ref="T83:U84"/>
    <mergeCell ref="T75:U76"/>
    <mergeCell ref="T49:U49"/>
    <mergeCell ref="T55:U55"/>
    <mergeCell ref="T74:U74"/>
    <mergeCell ref="T79:U80"/>
    <mergeCell ref="T58:U58"/>
    <mergeCell ref="T81:U82"/>
    <mergeCell ref="T87:U87"/>
    <mergeCell ref="T110:U110"/>
    <mergeCell ref="T107:U107"/>
    <mergeCell ref="T115:U115"/>
    <mergeCell ref="T111:U111"/>
    <mergeCell ref="T113:U113"/>
    <mergeCell ref="T114:U114"/>
    <mergeCell ref="T34:U34"/>
    <mergeCell ref="T30:U30"/>
    <mergeCell ref="T39:U39"/>
    <mergeCell ref="T37:U37"/>
    <mergeCell ref="T38:U38"/>
    <mergeCell ref="T36:U36"/>
    <mergeCell ref="T33:U33"/>
    <mergeCell ref="L44:R44"/>
    <mergeCell ref="T47:U47"/>
    <mergeCell ref="T45:U45"/>
    <mergeCell ref="T40:U40"/>
    <mergeCell ref="T42:U42"/>
    <mergeCell ref="T44:U44"/>
  </mergeCells>
  <phoneticPr fontId="12" type="noConversion"/>
  <conditionalFormatting sqref="B9:U9">
    <cfRule type="expression" dxfId="861" priority="49">
      <formula>IF(NoColor,1,0)</formula>
    </cfRule>
  </conditionalFormatting>
  <conditionalFormatting sqref="B11:L11">
    <cfRule type="expression" dxfId="860" priority="48">
      <formula>IF(NoColor,1,0)</formula>
    </cfRule>
  </conditionalFormatting>
  <conditionalFormatting sqref="B13:L13">
    <cfRule type="expression" dxfId="859" priority="47">
      <formula>IF(NoColor,1,0)</formula>
    </cfRule>
  </conditionalFormatting>
  <conditionalFormatting sqref="P11:U11">
    <cfRule type="expression" dxfId="858" priority="46">
      <formula>IF(NoColor,1,0)</formula>
    </cfRule>
  </conditionalFormatting>
  <conditionalFormatting sqref="M13:U13">
    <cfRule type="expression" dxfId="857" priority="45">
      <formula>IF(NoColor,1,0)</formula>
    </cfRule>
  </conditionalFormatting>
  <conditionalFormatting sqref="I14:U15">
    <cfRule type="expression" dxfId="856" priority="44">
      <formula>IF(NoColor,1,0)</formula>
    </cfRule>
  </conditionalFormatting>
  <conditionalFormatting sqref="E17">
    <cfRule type="expression" dxfId="855" priority="43">
      <formula>IF(NoColor,1,0)</formula>
    </cfRule>
  </conditionalFormatting>
  <conditionalFormatting sqref="H17">
    <cfRule type="expression" dxfId="854" priority="42">
      <formula>IF(NoColor,1,0)</formula>
    </cfRule>
  </conditionalFormatting>
  <conditionalFormatting sqref="K17">
    <cfRule type="expression" dxfId="853" priority="41">
      <formula>IF(NoColor,1,0)</formula>
    </cfRule>
  </conditionalFormatting>
  <conditionalFormatting sqref="R19:R22">
    <cfRule type="expression" dxfId="852" priority="40">
      <formula>IF(NoColor,1,0)</formula>
    </cfRule>
  </conditionalFormatting>
  <conditionalFormatting sqref="T21:T22">
    <cfRule type="expression" dxfId="851" priority="39">
      <formula>IF(NoColor,1,0)</formula>
    </cfRule>
  </conditionalFormatting>
  <conditionalFormatting sqref="T19">
    <cfRule type="expression" dxfId="850" priority="38">
      <formula>IF(NoColor,1,0)</formula>
    </cfRule>
  </conditionalFormatting>
  <conditionalFormatting sqref="N17:U17">
    <cfRule type="expression" dxfId="849" priority="37">
      <formula>IF(NoColor,1,0)</formula>
    </cfRule>
  </conditionalFormatting>
  <conditionalFormatting sqref="Q25">
    <cfRule type="expression" dxfId="848" priority="36">
      <formula>IF(NoColor,1,0)</formula>
    </cfRule>
  </conditionalFormatting>
  <conditionalFormatting sqref="T25:U26 T30:U30">
    <cfRule type="expression" dxfId="847" priority="35">
      <formula>IF(NoColor,1,0)</formula>
    </cfRule>
  </conditionalFormatting>
  <conditionalFormatting sqref="I33:I48">
    <cfRule type="expression" dxfId="846" priority="34">
      <formula>IF(NoColor,1,0)</formula>
    </cfRule>
  </conditionalFormatting>
  <conditionalFormatting sqref="T33:U48">
    <cfRule type="expression" dxfId="845" priority="33">
      <formula>IF(NoColor,1,0)</formula>
    </cfRule>
  </conditionalFormatting>
  <conditionalFormatting sqref="T55:U58 T49:U50">
    <cfRule type="expression" dxfId="844" priority="32">
      <formula>IF(NoColor,1,0)</formula>
    </cfRule>
  </conditionalFormatting>
  <conditionalFormatting sqref="R61:R62">
    <cfRule type="expression" dxfId="843" priority="31">
      <formula>IF(NoColor,1,0)</formula>
    </cfRule>
  </conditionalFormatting>
  <conditionalFormatting sqref="E70">
    <cfRule type="expression" dxfId="842" priority="30">
      <formula>IF(NoColor,1,0)</formula>
    </cfRule>
  </conditionalFormatting>
  <conditionalFormatting sqref="H70">
    <cfRule type="expression" dxfId="841" priority="29">
      <formula>IF(NoColor,1,0)</formula>
    </cfRule>
  </conditionalFormatting>
  <conditionalFormatting sqref="N70">
    <cfRule type="expression" dxfId="840" priority="28">
      <formula>IF(NoColor,1,0)</formula>
    </cfRule>
  </conditionalFormatting>
  <conditionalFormatting sqref="N72">
    <cfRule type="expression" dxfId="839" priority="27">
      <formula>IF(NoColor,1,0)</formula>
    </cfRule>
  </conditionalFormatting>
  <conditionalFormatting sqref="Q72">
    <cfRule type="expression" dxfId="838" priority="26">
      <formula>IF(NoColor,1,0)</formula>
    </cfRule>
  </conditionalFormatting>
  <conditionalFormatting sqref="T74:U88">
    <cfRule type="expression" dxfId="837" priority="25">
      <formula>IF(NoColor,1,0)</formula>
    </cfRule>
  </conditionalFormatting>
  <conditionalFormatting sqref="M100">
    <cfRule type="expression" dxfId="836" priority="24">
      <formula>IF(NoColor,1,0)</formula>
    </cfRule>
  </conditionalFormatting>
  <conditionalFormatting sqref="M98">
    <cfRule type="expression" dxfId="835" priority="23">
      <formula>IF(NoColor,1,0)</formula>
    </cfRule>
  </conditionalFormatting>
  <conditionalFormatting sqref="M102">
    <cfRule type="expression" dxfId="834" priority="22">
      <formula>IF(NoColor,1,0)</formula>
    </cfRule>
  </conditionalFormatting>
  <conditionalFormatting sqref="M104">
    <cfRule type="expression" dxfId="833" priority="21">
      <formula>IF(NoColor,1,0)</formula>
    </cfRule>
  </conditionalFormatting>
  <conditionalFormatting sqref="P100">
    <cfRule type="expression" dxfId="832" priority="20">
      <formula>IF(NoColor,1,0)</formula>
    </cfRule>
  </conditionalFormatting>
  <conditionalFormatting sqref="P98">
    <cfRule type="expression" dxfId="831" priority="19">
      <formula>IF(NoColor,1,0)</formula>
    </cfRule>
  </conditionalFormatting>
  <conditionalFormatting sqref="P102">
    <cfRule type="expression" dxfId="830" priority="18">
      <formula>IF(NoColor,1,0)</formula>
    </cfRule>
  </conditionalFormatting>
  <conditionalFormatting sqref="P104">
    <cfRule type="expression" dxfId="829" priority="17">
      <formula>IF(NoColor,1,0)</formula>
    </cfRule>
  </conditionalFormatting>
  <conditionalFormatting sqref="O93:S93">
    <cfRule type="expression" dxfId="828" priority="16">
      <formula>IF(NoColor,1,0)</formula>
    </cfRule>
  </conditionalFormatting>
  <conditionalFormatting sqref="D96">
    <cfRule type="expression" dxfId="827" priority="15">
      <formula>IF(NoColor,1,0)</formula>
    </cfRule>
  </conditionalFormatting>
  <conditionalFormatting sqref="J96">
    <cfRule type="expression" dxfId="826" priority="14">
      <formula>IF(NoColor,1,0)</formula>
    </cfRule>
  </conditionalFormatting>
  <conditionalFormatting sqref="J96:L96">
    <cfRule type="expression" dxfId="825" priority="13">
      <formula>IF(NoColor,1,0)</formula>
    </cfRule>
  </conditionalFormatting>
  <conditionalFormatting sqref="Q96:S96">
    <cfRule type="expression" dxfId="824" priority="12">
      <formula>IF(NoColor,1,0)</formula>
    </cfRule>
  </conditionalFormatting>
  <conditionalFormatting sqref="B107:U115">
    <cfRule type="expression" dxfId="823" priority="11">
      <formula>IF(NoColor,1,0)</formula>
    </cfRule>
  </conditionalFormatting>
  <conditionalFormatting sqref="T116:U116">
    <cfRule type="expression" dxfId="822" priority="10">
      <formula>IF(NoColor,1,0)</formula>
    </cfRule>
  </conditionalFormatting>
  <conditionalFormatting sqref="T52:U54">
    <cfRule type="expression" dxfId="821" priority="8">
      <formula>IF(NoColor,1,0)</formula>
    </cfRule>
  </conditionalFormatting>
  <conditionalFormatting sqref="H54:K54">
    <cfRule type="expression" dxfId="820" priority="2">
      <formula>IF(NoColor,1,0)</formula>
    </cfRule>
  </conditionalFormatting>
  <conditionalFormatting sqref="T31:U31">
    <cfRule type="expression" dxfId="819" priority="6">
      <formula>IF(NoColor,1,0)</formula>
    </cfRule>
  </conditionalFormatting>
  <conditionalFormatting sqref="T29:U29">
    <cfRule type="expression" dxfId="818" priority="5">
      <formula>IF(NoColor,1,0)</formula>
    </cfRule>
  </conditionalFormatting>
  <conditionalFormatting sqref="T27:U28">
    <cfRule type="expression" dxfId="817" priority="4">
      <formula>IF(NoColor,1,0)</formula>
    </cfRule>
  </conditionalFormatting>
  <conditionalFormatting sqref="M53:Q53">
    <cfRule type="expression" dxfId="816" priority="3">
      <formula>IF(NoColor,1,0)</formula>
    </cfRule>
  </conditionalFormatting>
  <conditionalFormatting sqref="T51:U51">
    <cfRule type="expression" dxfId="815" priority="1">
      <formula>IF(NoColor,1,0)</formula>
    </cfRule>
  </conditionalFormatting>
  <hyperlinks>
    <hyperlink ref="C121:G121" r:id="rId1" display="Download Form 1040 Schedule C"/>
    <hyperlink ref="C123:G123" r:id="rId2" display="Download Form 1040 Schedule C Instructions"/>
  </hyperlinks>
  <printOptions horizontalCentered="1"/>
  <pageMargins left="0.25" right="0.2" top="0.25" bottom="0.27" header="0" footer="0"/>
  <pageSetup scale="89" fitToHeight="0" orientation="portrait" horizontalDpi="120" verticalDpi="144" r:id="rId3"/>
  <headerFooter alignWithMargins="0"/>
  <rowBreaks count="1" manualBreakCount="1">
    <brk id="65" min="1" max="20" man="1"/>
  </rowBreaks>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S112"/>
  <sheetViews>
    <sheetView zoomScaleNormal="100" workbookViewId="0">
      <selection activeCell="N48" sqref="N48:O48"/>
    </sheetView>
  </sheetViews>
  <sheetFormatPr defaultRowHeight="12.75"/>
  <cols>
    <col min="1" max="1" width="3.140625" customWidth="1"/>
    <col min="2" max="2" width="3.5703125" customWidth="1"/>
    <col min="3" max="3" width="2.5703125" customWidth="1"/>
    <col min="4" max="4" width="3" customWidth="1"/>
    <col min="5" max="5" width="13.42578125" customWidth="1"/>
    <col min="6" max="6" width="10.42578125" customWidth="1"/>
    <col min="7" max="7" width="15.5703125" customWidth="1"/>
    <col min="8" max="8" width="8.5703125" customWidth="1"/>
    <col min="9" max="9" width="5.140625" customWidth="1"/>
    <col min="10" max="10" width="16" customWidth="1"/>
    <col min="11" max="11" width="2.42578125" customWidth="1"/>
    <col min="12" max="12" width="10.5703125" customWidth="1"/>
    <col min="13" max="13" width="4.140625" customWidth="1"/>
    <col min="14" max="14" width="3.5703125" customWidth="1"/>
    <col min="15" max="15" width="13.28515625" customWidth="1"/>
    <col min="16" max="16" width="1.42578125" customWidth="1"/>
    <col min="17" max="17" width="0.85546875" style="5" customWidth="1"/>
    <col min="18" max="18" width="13.28515625" customWidth="1"/>
    <col min="19" max="19" width="1.5703125" customWidth="1"/>
    <col min="20" max="23" width="15.140625" customWidth="1"/>
    <col min="24" max="25" width="4.28515625" customWidth="1"/>
    <col min="26" max="29" width="7.7109375" style="4" hidden="1" customWidth="1"/>
    <col min="30" max="30" width="4.28515625" hidden="1" customWidth="1"/>
    <col min="31" max="33" width="7.7109375" style="4" hidden="1" customWidth="1"/>
    <col min="34" max="34" width="4.28515625" hidden="1" customWidth="1"/>
    <col min="35" max="37" width="7.7109375" style="4" hidden="1" customWidth="1"/>
    <col min="38" max="38" width="4.28515625" hidden="1" customWidth="1"/>
    <col min="39" max="41" width="7.7109375" style="4" hidden="1" customWidth="1"/>
    <col min="42" max="42" width="4.28515625" hidden="1" customWidth="1"/>
    <col min="43" max="45" width="7.7109375" style="4" hidden="1" customWidth="1"/>
  </cols>
  <sheetData>
    <row r="1" spans="1:45" ht="11.25" customHeight="1">
      <c r="A1" s="117"/>
      <c r="B1" s="117"/>
      <c r="C1" s="117"/>
      <c r="D1" s="117"/>
      <c r="E1" s="117"/>
      <c r="F1" s="117"/>
      <c r="G1" s="117"/>
      <c r="H1" s="117"/>
      <c r="I1" s="117"/>
      <c r="J1" s="117"/>
      <c r="K1" s="117"/>
      <c r="L1" s="117"/>
      <c r="M1" s="117"/>
      <c r="N1" s="117"/>
      <c r="O1" s="117"/>
      <c r="P1" s="117"/>
      <c r="Q1" s="2614"/>
      <c r="R1" s="117"/>
      <c r="S1" s="117"/>
    </row>
    <row r="2" spans="1:45" ht="12.75" customHeight="1">
      <c r="A2" s="117"/>
      <c r="B2" s="1571" t="s">
        <v>687</v>
      </c>
      <c r="C2" s="970"/>
      <c r="D2" s="238"/>
      <c r="E2" s="231"/>
      <c r="F2" s="4282" t="s">
        <v>688</v>
      </c>
      <c r="G2" s="4283"/>
      <c r="H2" s="4283"/>
      <c r="I2" s="4283"/>
      <c r="J2" s="4283"/>
      <c r="K2" s="4283"/>
      <c r="L2" s="4284"/>
      <c r="M2" s="4293" t="s">
        <v>146</v>
      </c>
      <c r="N2" s="3967"/>
      <c r="O2" s="3967"/>
      <c r="P2" s="1831"/>
      <c r="Q2" s="2615"/>
      <c r="R2" s="1864" t="s">
        <v>152</v>
      </c>
      <c r="S2" s="117"/>
      <c r="T2" s="11"/>
      <c r="U2" s="11"/>
      <c r="V2" s="11"/>
      <c r="W2" s="315"/>
      <c r="X2" s="345"/>
      <c r="Z2" s="823"/>
      <c r="AA2" s="314"/>
      <c r="AB2" s="314"/>
      <c r="AE2" s="823"/>
      <c r="AF2" s="314"/>
      <c r="AG2" s="314"/>
      <c r="AI2" s="823"/>
      <c r="AJ2" s="314"/>
      <c r="AK2" s="314"/>
      <c r="AM2" s="823"/>
      <c r="AN2" s="314"/>
      <c r="AO2" s="314"/>
      <c r="AQ2" s="823"/>
      <c r="AR2" s="314"/>
      <c r="AS2" s="314"/>
    </row>
    <row r="3" spans="1:45" ht="14.25" customHeight="1">
      <c r="A3" s="117"/>
      <c r="B3" s="1571" t="s">
        <v>302</v>
      </c>
      <c r="C3" s="970"/>
      <c r="D3" s="238"/>
      <c r="E3" s="231"/>
      <c r="F3" s="4285"/>
      <c r="G3" s="4286"/>
      <c r="H3" s="4286"/>
      <c r="I3" s="4286"/>
      <c r="J3" s="4286"/>
      <c r="K3" s="4286"/>
      <c r="L3" s="4287"/>
      <c r="M3" s="4302">
        <f>TaxYear</f>
        <v>2014</v>
      </c>
      <c r="N3" s="4303"/>
      <c r="O3" s="4303"/>
      <c r="P3" s="89"/>
      <c r="Q3" s="2616"/>
      <c r="R3" s="1864" t="s">
        <v>706</v>
      </c>
      <c r="S3" s="117"/>
      <c r="T3" s="346"/>
      <c r="U3" s="346"/>
      <c r="V3" s="346"/>
      <c r="W3" s="347"/>
      <c r="X3" s="345"/>
      <c r="Z3" s="823"/>
      <c r="AA3" s="314"/>
      <c r="AB3" s="314"/>
      <c r="AE3" s="823"/>
      <c r="AF3" s="314"/>
      <c r="AG3" s="314"/>
      <c r="AI3" s="823"/>
      <c r="AJ3" s="314"/>
      <c r="AK3" s="314"/>
      <c r="AM3" s="823"/>
      <c r="AN3" s="314"/>
      <c r="AO3" s="314"/>
      <c r="AQ3" s="823"/>
      <c r="AR3" s="314"/>
      <c r="AS3" s="314"/>
    </row>
    <row r="4" spans="1:45" ht="14.25" customHeight="1">
      <c r="A4" s="117"/>
      <c r="B4" s="1571"/>
      <c r="C4" s="970"/>
      <c r="D4" s="231"/>
      <c r="E4" s="238"/>
      <c r="F4" s="4341" t="s">
        <v>1692</v>
      </c>
      <c r="G4" s="3832"/>
      <c r="H4" s="3832"/>
      <c r="I4" s="3832"/>
      <c r="J4" s="3832"/>
      <c r="K4" s="3832"/>
      <c r="L4" s="4105"/>
      <c r="M4" s="4304"/>
      <c r="N4" s="4305"/>
      <c r="O4" s="4305"/>
      <c r="P4" s="89"/>
      <c r="Q4" s="2616"/>
      <c r="R4" s="117"/>
      <c r="S4" s="117"/>
      <c r="T4" s="346"/>
      <c r="U4" s="346"/>
      <c r="V4" s="346"/>
      <c r="W4" s="347"/>
      <c r="X4" s="345"/>
      <c r="Z4" s="823"/>
      <c r="AA4" s="314"/>
      <c r="AB4" s="314"/>
      <c r="AE4" s="823"/>
      <c r="AF4" s="314"/>
      <c r="AG4" s="314"/>
      <c r="AI4" s="823"/>
      <c r="AJ4" s="314"/>
      <c r="AK4" s="314"/>
      <c r="AM4" s="823"/>
      <c r="AN4" s="314"/>
      <c r="AO4" s="314"/>
      <c r="AQ4" s="823"/>
      <c r="AR4" s="314"/>
      <c r="AS4" s="314"/>
    </row>
    <row r="5" spans="1:45" ht="12.75" customHeight="1">
      <c r="A5" s="117"/>
      <c r="B5" s="34" t="s">
        <v>303</v>
      </c>
      <c r="C5" s="34"/>
      <c r="D5" s="238"/>
      <c r="E5" s="231"/>
      <c r="F5" s="4341" t="s">
        <v>1691</v>
      </c>
      <c r="G5" s="3832"/>
      <c r="H5" s="3832"/>
      <c r="I5" s="3832"/>
      <c r="J5" s="3832"/>
      <c r="K5" s="3832"/>
      <c r="L5" s="4105"/>
      <c r="M5" s="4306" t="s">
        <v>1506</v>
      </c>
      <c r="N5" s="4273"/>
      <c r="O5" s="4273"/>
      <c r="P5" s="47"/>
      <c r="Q5" s="2617"/>
      <c r="R5" s="117"/>
      <c r="S5" s="117"/>
      <c r="T5" s="346"/>
      <c r="U5" s="346"/>
      <c r="V5" s="346"/>
      <c r="W5" s="347"/>
      <c r="X5" s="345"/>
      <c r="Z5" s="823"/>
      <c r="AA5" s="314"/>
      <c r="AB5" s="314"/>
      <c r="AE5" s="823"/>
      <c r="AF5" s="314"/>
      <c r="AG5" s="314"/>
      <c r="AI5" s="823"/>
      <c r="AJ5" s="314"/>
      <c r="AK5" s="314"/>
      <c r="AM5" s="823"/>
      <c r="AN5" s="314"/>
      <c r="AO5" s="314"/>
      <c r="AQ5" s="823"/>
      <c r="AR5" s="314"/>
      <c r="AS5" s="314"/>
    </row>
    <row r="6" spans="1:45" ht="13.5" customHeight="1" thickBot="1">
      <c r="A6" s="117"/>
      <c r="B6" s="1801" t="s">
        <v>378</v>
      </c>
      <c r="C6" s="228"/>
      <c r="D6" s="365"/>
      <c r="E6" s="332"/>
      <c r="F6" s="1800" t="s">
        <v>1690</v>
      </c>
      <c r="G6" s="1316"/>
      <c r="H6" s="1317"/>
      <c r="I6" s="1317"/>
      <c r="J6" s="1318"/>
      <c r="K6" s="1319"/>
      <c r="L6" s="1319"/>
      <c r="M6" s="4307"/>
      <c r="N6" s="4308"/>
      <c r="O6" s="4308"/>
      <c r="P6" s="1832"/>
      <c r="Q6" s="2618"/>
      <c r="R6" s="117"/>
      <c r="S6" s="117"/>
      <c r="T6" s="11"/>
      <c r="U6" s="11"/>
      <c r="V6" s="11"/>
      <c r="W6" s="315"/>
      <c r="X6" s="345"/>
      <c r="Z6" s="823"/>
      <c r="AA6" s="314"/>
      <c r="AB6" s="314"/>
      <c r="AE6" s="823"/>
      <c r="AF6" s="314"/>
      <c r="AG6" s="314"/>
      <c r="AI6" s="823"/>
      <c r="AJ6" s="314"/>
      <c r="AK6" s="314"/>
      <c r="AM6" s="823"/>
      <c r="AN6" s="314"/>
      <c r="AO6" s="314"/>
      <c r="AQ6" s="823"/>
      <c r="AR6" s="314"/>
      <c r="AS6" s="314"/>
    </row>
    <row r="7" spans="1:45" ht="11.25" customHeight="1">
      <c r="A7" s="117"/>
      <c r="B7" s="34" t="s">
        <v>150</v>
      </c>
      <c r="C7" s="34"/>
      <c r="D7" s="231"/>
      <c r="E7" s="231"/>
      <c r="F7" s="231"/>
      <c r="G7" s="196"/>
      <c r="H7" s="198"/>
      <c r="I7" s="198"/>
      <c r="J7" s="212"/>
      <c r="K7" s="198"/>
      <c r="L7" s="4288" t="s">
        <v>151</v>
      </c>
      <c r="M7" s="4289"/>
      <c r="N7" s="4289"/>
      <c r="O7" s="4289"/>
      <c r="P7" s="54"/>
      <c r="Q7" s="2619"/>
      <c r="R7" s="117"/>
      <c r="S7" s="117"/>
      <c r="T7" s="11"/>
      <c r="U7" s="11"/>
      <c r="V7" s="315"/>
      <c r="W7" s="345"/>
      <c r="X7" s="315"/>
      <c r="Z7" s="314"/>
      <c r="AA7" s="314"/>
      <c r="AB7" s="314"/>
      <c r="AE7" s="314"/>
      <c r="AF7" s="314"/>
      <c r="AG7" s="314"/>
      <c r="AI7" s="314"/>
      <c r="AJ7" s="314"/>
      <c r="AK7" s="314"/>
      <c r="AM7" s="314"/>
      <c r="AN7" s="314"/>
      <c r="AO7" s="314"/>
      <c r="AQ7" s="314"/>
      <c r="AR7" s="314"/>
      <c r="AS7" s="314"/>
    </row>
    <row r="8" spans="1:45" ht="14.25" customHeight="1">
      <c r="A8" s="117"/>
      <c r="B8" s="2883" t="str">
        <f>Names</f>
        <v/>
      </c>
      <c r="C8" s="2884"/>
      <c r="D8" s="2885"/>
      <c r="E8" s="2885"/>
      <c r="F8" s="2885"/>
      <c r="G8" s="2886"/>
      <c r="H8" s="2887"/>
      <c r="I8" s="2887"/>
      <c r="J8" s="2888"/>
      <c r="K8" s="2887"/>
      <c r="L8" s="4290">
        <f>SS_Yours</f>
        <v>0</v>
      </c>
      <c r="M8" s="4291"/>
      <c r="N8" s="4292"/>
      <c r="O8" s="4292"/>
      <c r="P8" s="1806"/>
      <c r="Q8" s="2620"/>
      <c r="R8" s="117"/>
      <c r="S8" s="117"/>
      <c r="T8" s="11"/>
      <c r="U8" s="11"/>
      <c r="V8" s="315"/>
      <c r="W8" s="345"/>
      <c r="X8" s="315"/>
      <c r="Z8" s="4317" t="s">
        <v>1649</v>
      </c>
      <c r="AA8" s="4317"/>
      <c r="AB8" s="4317"/>
      <c r="AC8" s="4319"/>
      <c r="AE8" s="4317" t="s">
        <v>1645</v>
      </c>
      <c r="AF8" s="4317"/>
      <c r="AG8" s="4317"/>
      <c r="AI8" s="4317" t="s">
        <v>1646</v>
      </c>
      <c r="AJ8" s="4318"/>
      <c r="AK8" s="4318"/>
      <c r="AM8" s="4317" t="s">
        <v>1647</v>
      </c>
      <c r="AN8" s="4318"/>
      <c r="AO8" s="4318"/>
      <c r="AQ8" s="4317" t="s">
        <v>1648</v>
      </c>
      <c r="AR8" s="4318"/>
      <c r="AS8" s="4318"/>
    </row>
    <row r="9" spans="1:45" ht="15">
      <c r="A9" s="117"/>
      <c r="B9" s="813" t="s">
        <v>558</v>
      </c>
      <c r="C9" s="994"/>
      <c r="D9" s="299"/>
      <c r="E9" s="299" t="s">
        <v>765</v>
      </c>
      <c r="F9" s="299"/>
      <c r="G9" s="250"/>
      <c r="H9" s="299" t="str">
        <f>"-–  Assets Held One Year or Less"</f>
        <v>-–  Assets Held One Year or Less</v>
      </c>
      <c r="I9" s="838"/>
      <c r="J9" s="299"/>
      <c r="K9" s="251"/>
      <c r="L9" s="251"/>
      <c r="M9" s="251"/>
      <c r="N9" s="251"/>
      <c r="O9" s="251"/>
      <c r="P9" s="1833"/>
      <c r="Q9" s="2621"/>
      <c r="R9" s="117"/>
      <c r="S9" s="117"/>
      <c r="T9" s="117"/>
      <c r="U9" s="117"/>
      <c r="V9" s="117"/>
      <c r="W9" s="117"/>
      <c r="X9" s="1864"/>
      <c r="Z9" s="314"/>
      <c r="AA9" s="314"/>
      <c r="AB9" s="314"/>
      <c r="AE9" s="314"/>
      <c r="AF9" s="314"/>
      <c r="AG9" s="314"/>
      <c r="AI9" s="314"/>
      <c r="AJ9" s="314"/>
      <c r="AK9" s="314"/>
      <c r="AM9" s="314"/>
      <c r="AN9" s="314"/>
      <c r="AO9" s="314"/>
      <c r="AQ9" s="314"/>
      <c r="AR9" s="314"/>
      <c r="AS9" s="314"/>
    </row>
    <row r="10" spans="1:45" ht="16.5" customHeight="1">
      <c r="A10" s="117"/>
      <c r="B10" s="4245" t="s">
        <v>1693</v>
      </c>
      <c r="C10" s="4072"/>
      <c r="D10" s="4072"/>
      <c r="E10" s="4072"/>
      <c r="F10" s="4072"/>
      <c r="G10" s="4073"/>
      <c r="H10" s="4259" t="s">
        <v>1508</v>
      </c>
      <c r="I10" s="4260"/>
      <c r="J10" s="4242" t="s">
        <v>1509</v>
      </c>
      <c r="K10" s="4296" t="s">
        <v>1507</v>
      </c>
      <c r="L10" s="4309"/>
      <c r="M10" s="4310"/>
      <c r="N10" s="4296" t="s">
        <v>1510</v>
      </c>
      <c r="O10" s="4297"/>
      <c r="P10" s="1834"/>
      <c r="Q10" s="2622"/>
      <c r="R10" s="117"/>
      <c r="S10" s="117"/>
      <c r="T10" s="4239" t="s">
        <v>1508</v>
      </c>
      <c r="U10" s="4236" t="s">
        <v>2682</v>
      </c>
      <c r="V10" s="4242" t="s">
        <v>1167</v>
      </c>
      <c r="W10" s="4242" t="s">
        <v>1174</v>
      </c>
      <c r="X10" s="1864"/>
      <c r="Z10" s="314"/>
      <c r="AA10" s="314"/>
      <c r="AB10" s="314"/>
      <c r="AE10" s="314"/>
      <c r="AF10" s="314"/>
      <c r="AG10" s="314"/>
      <c r="AI10" s="314"/>
      <c r="AJ10" s="314"/>
      <c r="AK10" s="314"/>
      <c r="AM10" s="314"/>
      <c r="AN10" s="314"/>
      <c r="AO10" s="314"/>
      <c r="AQ10" s="314"/>
      <c r="AR10" s="314"/>
      <c r="AS10" s="314"/>
    </row>
    <row r="11" spans="1:45" ht="16.5" customHeight="1">
      <c r="A11" s="117"/>
      <c r="B11" s="4246"/>
      <c r="C11" s="3743"/>
      <c r="D11" s="3743"/>
      <c r="E11" s="3743"/>
      <c r="F11" s="3743"/>
      <c r="G11" s="4247"/>
      <c r="H11" s="4261"/>
      <c r="I11" s="4262"/>
      <c r="J11" s="4294"/>
      <c r="K11" s="4311"/>
      <c r="L11" s="4312"/>
      <c r="M11" s="4313"/>
      <c r="N11" s="4298"/>
      <c r="O11" s="4299"/>
      <c r="P11" s="1835"/>
      <c r="Q11" s="2623"/>
      <c r="R11" s="1864" t="s">
        <v>1219</v>
      </c>
      <c r="S11" s="117"/>
      <c r="T11" s="4240"/>
      <c r="U11" s="4237"/>
      <c r="V11" s="4243"/>
      <c r="W11" s="4243"/>
      <c r="X11" s="1864"/>
      <c r="Z11" s="314"/>
      <c r="AA11" s="314"/>
      <c r="AB11" s="314"/>
      <c r="AE11" s="314"/>
      <c r="AF11" s="314"/>
      <c r="AG11" s="314"/>
      <c r="AI11" s="314"/>
      <c r="AJ11" s="314"/>
      <c r="AK11" s="314"/>
      <c r="AM11" s="314"/>
      <c r="AN11" s="314"/>
      <c r="AO11" s="314"/>
      <c r="AQ11" s="314"/>
      <c r="AR11" s="314"/>
      <c r="AS11" s="314"/>
    </row>
    <row r="12" spans="1:45" ht="16.5" customHeight="1">
      <c r="A12" s="117"/>
      <c r="B12" s="4248"/>
      <c r="C12" s="4249"/>
      <c r="D12" s="4249"/>
      <c r="E12" s="4249"/>
      <c r="F12" s="4249"/>
      <c r="G12" s="4250"/>
      <c r="H12" s="4263"/>
      <c r="I12" s="4264"/>
      <c r="J12" s="4295"/>
      <c r="K12" s="4314"/>
      <c r="L12" s="4315"/>
      <c r="M12" s="4316"/>
      <c r="N12" s="4300"/>
      <c r="O12" s="4301"/>
      <c r="P12" s="1836"/>
      <c r="Q12" s="2624"/>
      <c r="R12" s="117"/>
      <c r="S12" s="117"/>
      <c r="T12" s="4241"/>
      <c r="U12" s="4238"/>
      <c r="V12" s="4244"/>
      <c r="W12" s="4244"/>
      <c r="X12" s="1864"/>
      <c r="Z12" s="349" t="s">
        <v>1642</v>
      </c>
      <c r="AA12" s="349" t="s">
        <v>1643</v>
      </c>
      <c r="AB12" s="349" t="s">
        <v>1644</v>
      </c>
      <c r="AE12" s="349" t="s">
        <v>1642</v>
      </c>
      <c r="AF12" s="349" t="s">
        <v>1643</v>
      </c>
      <c r="AG12" s="349" t="s">
        <v>1644</v>
      </c>
      <c r="AI12" s="349" t="s">
        <v>1642</v>
      </c>
      <c r="AJ12" s="349" t="s">
        <v>1643</v>
      </c>
      <c r="AK12" s="349" t="s">
        <v>1644</v>
      </c>
      <c r="AM12" s="349" t="s">
        <v>1642</v>
      </c>
      <c r="AN12" s="349" t="s">
        <v>1643</v>
      </c>
      <c r="AO12" s="349" t="s">
        <v>1644</v>
      </c>
      <c r="AQ12" s="349" t="s">
        <v>1642</v>
      </c>
      <c r="AR12" s="349" t="s">
        <v>1643</v>
      </c>
      <c r="AS12" s="349" t="s">
        <v>1644</v>
      </c>
    </row>
    <row r="13" spans="1:45" ht="46.5" customHeight="1">
      <c r="A13" s="117"/>
      <c r="B13" s="2609" t="s">
        <v>19</v>
      </c>
      <c r="C13" s="4265" t="s">
        <v>1698</v>
      </c>
      <c r="D13" s="4266"/>
      <c r="E13" s="4266"/>
      <c r="F13" s="4266"/>
      <c r="G13" s="4267"/>
      <c r="H13" s="2872"/>
      <c r="I13" s="2873"/>
      <c r="J13" s="2874"/>
      <c r="K13" s="2879"/>
      <c r="L13" s="2880"/>
      <c r="M13" s="2881"/>
      <c r="N13" s="2875"/>
      <c r="O13" s="2876"/>
      <c r="P13" s="1836"/>
      <c r="Q13" s="2624"/>
      <c r="R13" s="117"/>
      <c r="S13" s="117"/>
      <c r="T13" s="2849"/>
      <c r="U13" s="2848"/>
      <c r="V13" s="2877"/>
      <c r="W13" s="2847"/>
      <c r="X13" s="1864"/>
      <c r="Z13" s="349"/>
      <c r="AA13" s="349"/>
      <c r="AB13" s="349"/>
      <c r="AE13" s="349"/>
      <c r="AF13" s="349"/>
      <c r="AG13" s="349"/>
      <c r="AI13" s="349"/>
      <c r="AJ13" s="349"/>
      <c r="AK13" s="349"/>
      <c r="AM13" s="349"/>
      <c r="AN13" s="349"/>
      <c r="AO13" s="349"/>
      <c r="AQ13" s="349"/>
      <c r="AR13" s="349"/>
      <c r="AS13" s="349"/>
    </row>
    <row r="14" spans="1:45" ht="15.75" customHeight="1">
      <c r="A14" s="117"/>
      <c r="B14" s="2871"/>
      <c r="C14" s="4200"/>
      <c r="D14" s="4200"/>
      <c r="E14" s="4200"/>
      <c r="F14" s="4200"/>
      <c r="G14" s="4201"/>
      <c r="H14" s="4215"/>
      <c r="I14" s="4340"/>
      <c r="J14" s="2612"/>
      <c r="K14" s="4268"/>
      <c r="L14" s="4269"/>
      <c r="M14" s="4270"/>
      <c r="N14" s="4251" t="str">
        <f>IF(W14&lt;&gt;"",W14,IF(OR(H14&lt;&gt;"",J14&lt;&gt;""),SUM(H14,-J14),""))</f>
        <v/>
      </c>
      <c r="O14" s="4252"/>
      <c r="P14" s="1836"/>
      <c r="Q14" s="2624"/>
      <c r="R14" s="117"/>
      <c r="S14" s="117"/>
      <c r="T14" s="2849" t="str">
        <f>"---"</f>
        <v>---</v>
      </c>
      <c r="U14" s="2849" t="str">
        <f>"---"</f>
        <v>---</v>
      </c>
      <c r="V14" s="2878"/>
      <c r="W14" s="2611"/>
      <c r="X14" s="1864"/>
      <c r="Z14" s="349"/>
      <c r="AA14" s="349"/>
      <c r="AB14" s="349"/>
      <c r="AE14" s="349"/>
      <c r="AF14" s="349"/>
      <c r="AG14" s="349"/>
      <c r="AI14" s="349"/>
      <c r="AJ14" s="349"/>
      <c r="AK14" s="349"/>
      <c r="AM14" s="349"/>
      <c r="AN14" s="349"/>
      <c r="AO14" s="349"/>
      <c r="AQ14" s="349"/>
      <c r="AR14" s="349"/>
      <c r="AS14" s="349"/>
    </row>
    <row r="15" spans="1:45" ht="12.75" customHeight="1">
      <c r="A15" s="117"/>
      <c r="B15" s="2609" t="s">
        <v>22</v>
      </c>
      <c r="C15" s="4254" t="s">
        <v>1694</v>
      </c>
      <c r="D15" s="4255"/>
      <c r="E15" s="4255"/>
      <c r="F15" s="4255"/>
      <c r="G15" s="4256"/>
      <c r="H15" s="4232">
        <f>SUM(AE16:AG16)</f>
        <v>0</v>
      </c>
      <c r="I15" s="4233"/>
      <c r="J15" s="2784">
        <f>SUM(AI16:AK16)</f>
        <v>0</v>
      </c>
      <c r="K15" s="4232">
        <f>SUM(AM16:AO16)</f>
        <v>0</v>
      </c>
      <c r="L15" s="4234"/>
      <c r="M15" s="4235"/>
      <c r="N15" s="4232">
        <f>SUM(AQ16:AS16)</f>
        <v>0</v>
      </c>
      <c r="O15" s="4234"/>
      <c r="P15" s="1837"/>
      <c r="Q15" s="2625"/>
      <c r="R15" s="117"/>
      <c r="S15" s="117"/>
      <c r="T15" s="2792"/>
      <c r="U15" s="2793"/>
      <c r="V15" s="2794"/>
      <c r="W15" s="2792"/>
      <c r="X15" s="1864"/>
      <c r="Z15" s="314"/>
      <c r="AA15" s="314"/>
      <c r="AB15" s="314"/>
      <c r="AE15" s="314"/>
      <c r="AF15" s="314"/>
      <c r="AG15" s="314"/>
      <c r="AI15" s="314"/>
      <c r="AJ15" s="314"/>
      <c r="AK15" s="314"/>
      <c r="AM15" s="314"/>
      <c r="AN15" s="314"/>
      <c r="AO15" s="314"/>
      <c r="AQ15" s="314"/>
      <c r="AR15" s="314"/>
      <c r="AS15" s="314"/>
    </row>
    <row r="16" spans="1:45" ht="13.5" customHeight="1">
      <c r="A16" s="117"/>
      <c r="B16" s="2610"/>
      <c r="C16" s="4257"/>
      <c r="D16" s="4257"/>
      <c r="E16" s="4257"/>
      <c r="F16" s="4257"/>
      <c r="G16" s="4258"/>
      <c r="H16" s="4251" t="str">
        <f>IF(T16&lt;&gt;"",T16,IF($AC16,H15,""))</f>
        <v/>
      </c>
      <c r="I16" s="4253"/>
      <c r="J16" s="2882" t="str">
        <f>IF(U16&lt;&gt;"",U16,IF($AC16,J15,""))</f>
        <v/>
      </c>
      <c r="K16" s="4251" t="str">
        <f>IF(V16&lt;&gt;"",V16,IF($AC16,K15,""))</f>
        <v/>
      </c>
      <c r="L16" s="4252"/>
      <c r="M16" s="4253"/>
      <c r="N16" s="4251" t="str">
        <f>IF(W16&lt;&gt;"",W16,IF($AC16,N15,""))</f>
        <v/>
      </c>
      <c r="O16" s="4252"/>
      <c r="P16" s="1837"/>
      <c r="Q16" s="2625"/>
      <c r="R16" s="117"/>
      <c r="S16" s="117"/>
      <c r="T16" s="2611"/>
      <c r="U16" s="2612"/>
      <c r="V16" s="2613"/>
      <c r="W16" s="2611"/>
      <c r="X16" s="1864"/>
      <c r="Z16" s="314">
        <f>IF(F8949ASBOXA&lt;&gt;"",F8949AST,0)</f>
        <v>0</v>
      </c>
      <c r="AA16" s="314">
        <f>IF(F8949BSBOXA&lt;&gt;"",F8949BST,0)</f>
        <v>0</v>
      </c>
      <c r="AB16" s="314">
        <f>IF(F8949CSBOXA&lt;&gt;"",F8949CST,0)</f>
        <v>0</v>
      </c>
      <c r="AC16" s="4" t="b">
        <f>IF(SUM(Z16:AB16)&gt;0,TRUE,FALSE)</f>
        <v>0</v>
      </c>
      <c r="AE16" s="314">
        <f>IF(F8949ASBOXA&lt;&gt;"",F8949ASTD,0)</f>
        <v>0</v>
      </c>
      <c r="AF16" s="314">
        <f>IF(F8949BSBOXA&lt;&gt;"",F8949BSTD,0)</f>
        <v>0</v>
      </c>
      <c r="AG16" s="314">
        <f>IF(F8949CSBOXA&lt;&gt;"",F8949CSTD,0)</f>
        <v>0</v>
      </c>
      <c r="AI16" s="314">
        <f>IF(F8949ASBOXA&lt;&gt;"",F8949ASTE,0)</f>
        <v>0</v>
      </c>
      <c r="AJ16" s="314">
        <f>IF(F8949BSBOXA&lt;&gt;"",F8949BSTE,0)</f>
        <v>0</v>
      </c>
      <c r="AK16" s="314">
        <f>IF(F8949CSBOXA&lt;&gt;"",F8949CSTE,0)</f>
        <v>0</v>
      </c>
      <c r="AM16" s="314">
        <f>IF(F8949ASBOXA&lt;&gt;"",F8949ASTG,0)</f>
        <v>0</v>
      </c>
      <c r="AN16" s="314">
        <f>IF(F8949BSBOXA&lt;&gt;"",F8949BSTG,0)</f>
        <v>0</v>
      </c>
      <c r="AO16" s="314">
        <f>IF(F8949CSBOXA&lt;&gt;"",F8949CSTG,0)</f>
        <v>0</v>
      </c>
      <c r="AQ16" s="314">
        <f>IF(F8949ASBOXA&lt;&gt;"",F8949ASTH,0)</f>
        <v>0</v>
      </c>
      <c r="AR16" s="314">
        <f>IF(F8949BSBOXA&lt;&gt;"",F8949BSTH,0)</f>
        <v>0</v>
      </c>
      <c r="AS16" s="314">
        <f>IF(F8949CSBOXA&lt;&gt;"",F8949CSTH,0)</f>
        <v>0</v>
      </c>
    </row>
    <row r="17" spans="1:45" ht="13.5" customHeight="1">
      <c r="A17" s="117"/>
      <c r="B17" s="2609">
        <v>2</v>
      </c>
      <c r="C17" s="4254" t="s">
        <v>1695</v>
      </c>
      <c r="D17" s="4255"/>
      <c r="E17" s="4255"/>
      <c r="F17" s="4255"/>
      <c r="G17" s="4256"/>
      <c r="H17" s="4232">
        <f>SUM(AE18:AG18)</f>
        <v>0</v>
      </c>
      <c r="I17" s="4233"/>
      <c r="J17" s="2784">
        <f>SUM(AI18:AK18)</f>
        <v>0</v>
      </c>
      <c r="K17" s="4232">
        <f>SUM(AM18:AO18)</f>
        <v>0</v>
      </c>
      <c r="L17" s="4234"/>
      <c r="M17" s="4235"/>
      <c r="N17" s="4232">
        <f>SUM(AQ18:AS18)</f>
        <v>0</v>
      </c>
      <c r="O17" s="4234"/>
      <c r="P17" s="1837"/>
      <c r="Q17" s="2625"/>
      <c r="R17" s="117"/>
      <c r="S17" s="117"/>
      <c r="T17" s="2792"/>
      <c r="U17" s="2793"/>
      <c r="V17" s="2794"/>
      <c r="W17" s="2792"/>
      <c r="X17" s="1864"/>
      <c r="Z17" s="314"/>
      <c r="AA17" s="314"/>
      <c r="AB17" s="314"/>
      <c r="AE17" s="314"/>
      <c r="AF17" s="314"/>
      <c r="AG17" s="314"/>
      <c r="AI17" s="314"/>
      <c r="AJ17" s="314"/>
      <c r="AK17" s="314"/>
      <c r="AM17" s="314"/>
      <c r="AN17" s="314"/>
      <c r="AO17" s="314"/>
      <c r="AQ17" s="314"/>
      <c r="AR17" s="314"/>
      <c r="AS17" s="314"/>
    </row>
    <row r="18" spans="1:45" ht="13.5" customHeight="1">
      <c r="A18" s="117"/>
      <c r="B18" s="2610"/>
      <c r="C18" s="4257"/>
      <c r="D18" s="4257"/>
      <c r="E18" s="4257"/>
      <c r="F18" s="4257"/>
      <c r="G18" s="4258"/>
      <c r="H18" s="4251" t="str">
        <f>IF(T18&lt;&gt;"",T18,IF($AC18,H17,""))</f>
        <v/>
      </c>
      <c r="I18" s="4253"/>
      <c r="J18" s="2882" t="str">
        <f>IF(U18&lt;&gt;"",U18,IF($AC18,J17,""))</f>
        <v/>
      </c>
      <c r="K18" s="4251" t="str">
        <f>IF(V18&lt;&gt;"",V18,IF($AC18,K17,""))</f>
        <v/>
      </c>
      <c r="L18" s="4252"/>
      <c r="M18" s="4253"/>
      <c r="N18" s="4251" t="str">
        <f>IF(W18&lt;&gt;"",W18,IF($AC18,N17,""))</f>
        <v/>
      </c>
      <c r="O18" s="4252"/>
      <c r="P18" s="1837"/>
      <c r="Q18" s="2625"/>
      <c r="R18" s="117"/>
      <c r="S18" s="117"/>
      <c r="T18" s="2611"/>
      <c r="U18" s="2612"/>
      <c r="V18" s="2613"/>
      <c r="W18" s="2611"/>
      <c r="X18" s="1864"/>
      <c r="Z18" s="314">
        <f>IF(F8949ASBOXB&lt;&gt;"",F8949AST,0)</f>
        <v>0</v>
      </c>
      <c r="AA18" s="314">
        <f>IF(F8949BSBOXB&lt;&gt;"",F8949BST,0)</f>
        <v>0</v>
      </c>
      <c r="AB18" s="314">
        <f>IF(F8949CSBOXB&lt;&gt;"",F8949CST,0)</f>
        <v>0</v>
      </c>
      <c r="AC18" s="4" t="b">
        <f>IF(SUM(Z18:AB18)&gt;0,TRUE,FALSE)</f>
        <v>0</v>
      </c>
      <c r="AE18" s="314">
        <f>IF(F8949ASBOXB&lt;&gt;"",F8949ASTD,0)</f>
        <v>0</v>
      </c>
      <c r="AF18" s="314">
        <f>IF(F8949BSBOXB&lt;&gt;"",F8949BSTD,0)</f>
        <v>0</v>
      </c>
      <c r="AG18" s="314">
        <f>IF(F8949CSBOXB&lt;&gt;"",F8949CSTD,0)</f>
        <v>0</v>
      </c>
      <c r="AI18" s="314">
        <f>IF(F8949ASBOXB&lt;&gt;"",F8949ASTE,0)</f>
        <v>0</v>
      </c>
      <c r="AJ18" s="314">
        <f>IF(F8949BSBOXB&lt;&gt;"",F8949BSTE,0)</f>
        <v>0</v>
      </c>
      <c r="AK18" s="314">
        <f>IF(F8949CSBOXB&lt;&gt;"",F8949CSTE,0)</f>
        <v>0</v>
      </c>
      <c r="AM18" s="314">
        <f>IF(F8949ASBOXB&lt;&gt;"",F8949ASTG,0)</f>
        <v>0</v>
      </c>
      <c r="AN18" s="314">
        <f>IF(F8949BSBOXB&lt;&gt;"",F8949BSTG,0)</f>
        <v>0</v>
      </c>
      <c r="AO18" s="314">
        <f>IF(F8949CSBOXB&lt;&gt;"",F8949CSTG,0)</f>
        <v>0</v>
      </c>
      <c r="AQ18" s="314">
        <f>IF(F8949ASBOXB&lt;&gt;"",F8949ASTH,0)</f>
        <v>0</v>
      </c>
      <c r="AR18" s="314">
        <f>IF(F8949BSBOXB&lt;&gt;"",F8949BSTH,0)</f>
        <v>0</v>
      </c>
      <c r="AS18" s="314">
        <f>IF(F8949CSBOXB&lt;&gt;"",F8949CSTH,0)</f>
        <v>0</v>
      </c>
    </row>
    <row r="19" spans="1:45" ht="13.5" customHeight="1">
      <c r="A19" s="117"/>
      <c r="B19" s="2609">
        <v>3</v>
      </c>
      <c r="C19" s="4254" t="s">
        <v>1696</v>
      </c>
      <c r="D19" s="4255"/>
      <c r="E19" s="4255"/>
      <c r="F19" s="4255"/>
      <c r="G19" s="4256"/>
      <c r="H19" s="4232">
        <f>SUM(AE20:AG20)</f>
        <v>0</v>
      </c>
      <c r="I19" s="4233"/>
      <c r="J19" s="2784">
        <f>SUM(AI20:AK20)</f>
        <v>0</v>
      </c>
      <c r="K19" s="4232">
        <f>SUM(AM20:AO20)</f>
        <v>0</v>
      </c>
      <c r="L19" s="4234"/>
      <c r="M19" s="4235"/>
      <c r="N19" s="4232">
        <f>SUM(AQ20:AS20)</f>
        <v>0</v>
      </c>
      <c r="O19" s="4234"/>
      <c r="P19" s="1837"/>
      <c r="Q19" s="2625"/>
      <c r="R19" s="117"/>
      <c r="S19" s="117"/>
      <c r="T19" s="2792"/>
      <c r="U19" s="2793"/>
      <c r="V19" s="2794"/>
      <c r="W19" s="2792"/>
      <c r="X19" s="1864"/>
      <c r="Z19" s="314"/>
      <c r="AA19" s="314"/>
      <c r="AB19" s="314"/>
      <c r="AE19" s="314"/>
      <c r="AF19" s="314"/>
      <c r="AG19" s="314"/>
      <c r="AI19" s="314"/>
      <c r="AJ19" s="314"/>
      <c r="AK19" s="314"/>
      <c r="AM19" s="314"/>
      <c r="AN19" s="314"/>
      <c r="AO19" s="314"/>
      <c r="AQ19" s="314"/>
      <c r="AR19" s="314"/>
      <c r="AS19" s="314"/>
    </row>
    <row r="20" spans="1:45" ht="12.75" customHeight="1">
      <c r="A20" s="117"/>
      <c r="B20" s="2610"/>
      <c r="C20" s="4257"/>
      <c r="D20" s="4257"/>
      <c r="E20" s="4257"/>
      <c r="F20" s="4257"/>
      <c r="G20" s="4258"/>
      <c r="H20" s="4251" t="str">
        <f>IF(T20&lt;&gt;"",T20,IF($AC20,H19,""))</f>
        <v/>
      </c>
      <c r="I20" s="4253"/>
      <c r="J20" s="2882" t="str">
        <f>IF(U20&lt;&gt;"",U20,IF($AC20,J19,""))</f>
        <v/>
      </c>
      <c r="K20" s="4251" t="str">
        <f>IF(V20&lt;&gt;"",V20,IF($AC20,K19,""))</f>
        <v/>
      </c>
      <c r="L20" s="4252"/>
      <c r="M20" s="4253"/>
      <c r="N20" s="4251" t="str">
        <f>IF(W20&lt;&gt;"",W20,IF($AC20,N19,""))</f>
        <v/>
      </c>
      <c r="O20" s="4252"/>
      <c r="P20" s="1837"/>
      <c r="Q20" s="2625"/>
      <c r="R20" s="117"/>
      <c r="S20" s="117"/>
      <c r="T20" s="2611"/>
      <c r="U20" s="2612"/>
      <c r="V20" s="2613"/>
      <c r="W20" s="2611"/>
      <c r="X20" s="1864"/>
      <c r="Z20" s="314">
        <f>IF(F8949ASBOXC&lt;&gt;"",F8949AST,0)</f>
        <v>0</v>
      </c>
      <c r="AA20" s="314">
        <f>IF(F8949BSBOXC&lt;&gt;"",F8949BST,0)</f>
        <v>0</v>
      </c>
      <c r="AB20" s="314">
        <f>IF(F8949CSBOXC&lt;&gt;"",F8949CST,0)</f>
        <v>0</v>
      </c>
      <c r="AC20" s="4" t="b">
        <f>IF(SUM(Z20:AB20)&gt;0,TRUE,FALSE)</f>
        <v>0</v>
      </c>
      <c r="AE20" s="314">
        <f>IF(F8949ASBOXC&lt;&gt;"",F8949ASTD,0)</f>
        <v>0</v>
      </c>
      <c r="AF20" s="314">
        <f>IF(F8949BSBOXC&lt;&gt;"",F8949BSTD,0)</f>
        <v>0</v>
      </c>
      <c r="AG20" s="314">
        <f>IF(F8949CSBOXC&lt;&gt;"",F8949CSTD,0)</f>
        <v>0</v>
      </c>
      <c r="AI20" s="314">
        <f>IF(F8949ASBOXC&lt;&gt;"",F8949ASTE,0)</f>
        <v>0</v>
      </c>
      <c r="AJ20" s="314">
        <f>IF(F8949BSBOXC&lt;&gt;"",F8949BSTE,0)</f>
        <v>0</v>
      </c>
      <c r="AK20" s="314">
        <f>IF(F8949CSBOXC&lt;&gt;"",F8949CSTE,0)</f>
        <v>0</v>
      </c>
      <c r="AM20" s="314">
        <f>IF(F8949ASBOXC&lt;&gt;"",F8949ASTG,0)</f>
        <v>0</v>
      </c>
      <c r="AN20" s="314">
        <f>IF(F8949BSBOXC&lt;&gt;"",F8949BSTG,0)</f>
        <v>0</v>
      </c>
      <c r="AO20" s="314">
        <f>IF(F8949CSBOXC&lt;&gt;"",F8949CSTG,0)</f>
        <v>0</v>
      </c>
      <c r="AQ20" s="314">
        <f>IF(F8949ASBOXC&lt;&gt;"",F8949ASTH,0)</f>
        <v>0</v>
      </c>
      <c r="AR20" s="314">
        <f>IF(F8949BSBOXC&lt;&gt;"",F8949BSTH,0)</f>
        <v>0</v>
      </c>
      <c r="AS20" s="314">
        <f>IF(F8949CSBOXC&lt;&gt;"",F8949CSTH,0)</f>
        <v>0</v>
      </c>
    </row>
    <row r="21" spans="1:45" ht="12" customHeight="1">
      <c r="A21" s="117"/>
      <c r="B21" s="246"/>
      <c r="C21" s="234"/>
      <c r="D21" s="234"/>
      <c r="E21" s="234"/>
      <c r="F21" s="234"/>
      <c r="G21" s="300"/>
      <c r="H21" s="196"/>
      <c r="I21" s="196"/>
      <c r="J21" s="196"/>
      <c r="K21" s="246"/>
      <c r="L21" s="311"/>
      <c r="M21" s="1108"/>
      <c r="N21" s="4327"/>
      <c r="O21" s="4280"/>
      <c r="P21" s="1837"/>
      <c r="Q21" s="2625"/>
      <c r="R21" s="117"/>
      <c r="S21" s="117"/>
      <c r="T21" s="117"/>
      <c r="U21" s="117"/>
      <c r="V21" s="117"/>
      <c r="W21" s="117"/>
      <c r="X21" s="1864"/>
      <c r="Z21" s="314"/>
      <c r="AA21" s="314"/>
      <c r="AB21" s="314"/>
      <c r="AE21" s="314"/>
      <c r="AF21" s="314"/>
      <c r="AG21" s="314"/>
      <c r="AI21" s="314"/>
      <c r="AJ21" s="314"/>
      <c r="AK21" s="314"/>
      <c r="AM21" s="314"/>
      <c r="AN21" s="314"/>
      <c r="AO21" s="314"/>
      <c r="AQ21" s="314"/>
      <c r="AR21" s="314"/>
      <c r="AS21" s="314"/>
    </row>
    <row r="22" spans="1:45" ht="12" customHeight="1">
      <c r="A22" s="117"/>
      <c r="B22" s="246" t="str">
        <f>"4"</f>
        <v>4</v>
      </c>
      <c r="C22" s="234" t="s">
        <v>1511</v>
      </c>
      <c r="D22" s="234"/>
      <c r="E22" s="234"/>
      <c r="F22" s="234"/>
      <c r="G22" s="300"/>
      <c r="H22" s="196"/>
      <c r="I22" s="196"/>
      <c r="J22" s="196"/>
      <c r="K22" s="246"/>
      <c r="L22" s="246" t="s">
        <v>1697</v>
      </c>
      <c r="M22" s="333" t="str">
        <f>B22</f>
        <v>4</v>
      </c>
      <c r="N22" s="4215"/>
      <c r="O22" s="4274"/>
      <c r="P22" s="1837"/>
      <c r="Q22" s="2625"/>
      <c r="R22" s="117"/>
      <c r="S22" s="117"/>
      <c r="T22" s="117"/>
      <c r="U22" s="117"/>
      <c r="V22" s="117"/>
      <c r="W22" s="117"/>
      <c r="X22" s="1864"/>
      <c r="Z22" s="314"/>
      <c r="AA22" s="314"/>
      <c r="AB22" s="314"/>
      <c r="AE22" s="314"/>
      <c r="AF22" s="314"/>
      <c r="AG22" s="314"/>
      <c r="AI22" s="314"/>
      <c r="AJ22" s="314"/>
      <c r="AK22" s="314"/>
      <c r="AM22" s="314"/>
      <c r="AN22" s="314"/>
      <c r="AO22" s="314"/>
      <c r="AQ22" s="314"/>
      <c r="AR22" s="314"/>
      <c r="AS22" s="314"/>
    </row>
    <row r="23" spans="1:45">
      <c r="A23" s="117"/>
      <c r="B23" s="246" t="str">
        <f>"5"</f>
        <v>5</v>
      </c>
      <c r="C23" s="234" t="s">
        <v>306</v>
      </c>
      <c r="D23" s="234"/>
      <c r="E23" s="234"/>
      <c r="F23" s="234"/>
      <c r="G23" s="300"/>
      <c r="H23" s="196"/>
      <c r="I23" s="196"/>
      <c r="J23" s="196"/>
      <c r="K23" s="246"/>
      <c r="L23" s="246"/>
      <c r="M23" s="1108"/>
      <c r="N23" s="4327"/>
      <c r="O23" s="4280"/>
      <c r="P23" s="1837"/>
      <c r="Q23" s="2625"/>
      <c r="R23" s="117"/>
      <c r="S23" s="117"/>
      <c r="T23" s="11"/>
      <c r="U23" s="11"/>
      <c r="V23" s="11"/>
      <c r="W23" s="11"/>
      <c r="X23" s="11"/>
      <c r="Z23" s="314"/>
      <c r="AA23" s="314"/>
      <c r="AB23" s="314"/>
      <c r="AE23" s="314"/>
      <c r="AF23" s="314"/>
      <c r="AG23" s="314"/>
      <c r="AI23" s="314"/>
      <c r="AJ23" s="314"/>
      <c r="AK23" s="314"/>
      <c r="AM23" s="314"/>
      <c r="AN23" s="314"/>
      <c r="AO23" s="314"/>
      <c r="AQ23" s="314"/>
      <c r="AR23" s="314"/>
      <c r="AS23" s="314"/>
    </row>
    <row r="24" spans="1:45" ht="12.75" customHeight="1">
      <c r="A24" s="117"/>
      <c r="B24" s="192"/>
      <c r="C24" s="234" t="s">
        <v>845</v>
      </c>
      <c r="D24" s="234"/>
      <c r="E24" s="234"/>
      <c r="F24" s="234"/>
      <c r="G24" s="300"/>
      <c r="H24" s="196"/>
      <c r="I24" s="196"/>
      <c r="J24" s="196"/>
      <c r="K24" s="246"/>
      <c r="L24" s="311" t="s">
        <v>511</v>
      </c>
      <c r="M24" s="333" t="str">
        <f>B23</f>
        <v>5</v>
      </c>
      <c r="N24" s="4215"/>
      <c r="O24" s="4274"/>
      <c r="P24" s="1838"/>
      <c r="Q24" s="2626"/>
      <c r="R24" s="117"/>
      <c r="S24" s="117"/>
      <c r="T24" s="11"/>
      <c r="U24" s="11"/>
      <c r="V24" s="11"/>
      <c r="W24" s="11"/>
      <c r="X24" s="11"/>
      <c r="Z24" s="314"/>
      <c r="AA24" s="314"/>
      <c r="AB24" s="314"/>
      <c r="AE24" s="314"/>
      <c r="AF24" s="314"/>
      <c r="AG24" s="314"/>
      <c r="AI24" s="314"/>
      <c r="AJ24" s="314"/>
      <c r="AK24" s="314"/>
      <c r="AM24" s="314"/>
      <c r="AN24" s="314"/>
      <c r="AO24" s="314"/>
      <c r="AQ24" s="314"/>
      <c r="AR24" s="314"/>
      <c r="AS24" s="314"/>
    </row>
    <row r="25" spans="1:45">
      <c r="A25" s="117"/>
      <c r="B25" s="246" t="str">
        <f>"6"</f>
        <v>6</v>
      </c>
      <c r="C25" s="234" t="s">
        <v>1175</v>
      </c>
      <c r="D25" s="234"/>
      <c r="E25" s="234"/>
      <c r="F25" s="234"/>
      <c r="G25" s="300"/>
      <c r="H25" s="300"/>
      <c r="I25" s="300"/>
      <c r="J25" s="196"/>
      <c r="K25" s="198"/>
      <c r="L25" s="198"/>
      <c r="M25" s="1810"/>
      <c r="N25" s="4327"/>
      <c r="O25" s="4280"/>
      <c r="P25" s="1839"/>
      <c r="Q25" s="2627"/>
      <c r="R25" s="2639" t="str">
        <f>IF(N26&gt;0,"The value of line 6","")</f>
        <v/>
      </c>
      <c r="S25" s="117"/>
      <c r="T25" s="11"/>
      <c r="U25" s="11"/>
      <c r="V25" s="11"/>
      <c r="W25" s="11"/>
      <c r="X25" s="11"/>
      <c r="Z25" s="314"/>
      <c r="AA25" s="314"/>
      <c r="AB25" s="314"/>
      <c r="AE25" s="314"/>
      <c r="AF25" s="314"/>
      <c r="AG25" s="314"/>
      <c r="AI25" s="314"/>
      <c r="AJ25" s="314"/>
      <c r="AK25" s="314"/>
      <c r="AM25" s="314"/>
      <c r="AN25" s="314"/>
      <c r="AO25" s="314"/>
      <c r="AQ25" s="314"/>
      <c r="AR25" s="314"/>
      <c r="AS25" s="314"/>
    </row>
    <row r="26" spans="1:45" ht="13.5" customHeight="1">
      <c r="A26" s="117"/>
      <c r="B26" s="192"/>
      <c r="C26" s="366" t="s">
        <v>1176</v>
      </c>
      <c r="D26" s="366"/>
      <c r="E26" s="366"/>
      <c r="F26" s="266"/>
      <c r="G26" s="300"/>
      <c r="H26" s="300"/>
      <c r="I26" s="300"/>
      <c r="J26" s="196"/>
      <c r="K26" s="246"/>
      <c r="L26" s="311" t="s">
        <v>1177</v>
      </c>
      <c r="M26" s="333" t="str">
        <f>B25</f>
        <v>6</v>
      </c>
      <c r="N26" s="4215"/>
      <c r="O26" s="4274"/>
      <c r="P26" s="1839"/>
      <c r="Q26" s="2627"/>
      <c r="R26" s="2639" t="str">
        <f>IF(N26&gt;0,"MUST be entered as","")</f>
        <v/>
      </c>
      <c r="S26" s="117"/>
      <c r="T26" s="11"/>
      <c r="U26" s="11"/>
      <c r="V26" s="11"/>
      <c r="W26" s="11"/>
      <c r="X26" s="11"/>
      <c r="Z26" s="314"/>
      <c r="AA26" s="314"/>
      <c r="AB26" s="314"/>
      <c r="AE26" s="314"/>
      <c r="AF26" s="314"/>
      <c r="AG26" s="314"/>
      <c r="AI26" s="314"/>
      <c r="AJ26" s="314"/>
      <c r="AK26" s="314"/>
      <c r="AM26" s="314"/>
      <c r="AN26" s="314"/>
      <c r="AO26" s="314"/>
      <c r="AQ26" s="314"/>
      <c r="AR26" s="314"/>
      <c r="AS26" s="314"/>
    </row>
    <row r="27" spans="1:45" ht="13.5" customHeight="1">
      <c r="A27" s="117"/>
      <c r="B27" s="1809">
        <v>7</v>
      </c>
      <c r="C27" s="4334" t="s">
        <v>1700</v>
      </c>
      <c r="D27" s="4338"/>
      <c r="E27" s="4338"/>
      <c r="F27" s="4338"/>
      <c r="G27" s="4338"/>
      <c r="H27" s="4338"/>
      <c r="I27" s="4338"/>
      <c r="J27" s="4338"/>
      <c r="K27" s="4338"/>
      <c r="L27" s="3893"/>
      <c r="M27" s="1108"/>
      <c r="N27" s="4281"/>
      <c r="O27" s="4333"/>
      <c r="P27" s="1840"/>
      <c r="Q27" s="2628"/>
      <c r="R27" s="2639" t="str">
        <f>IF(N26&gt;0,"as negative amount.","")</f>
        <v/>
      </c>
      <c r="S27" s="117"/>
      <c r="T27" s="11"/>
      <c r="U27" s="11"/>
      <c r="V27" s="11"/>
      <c r="W27" s="11"/>
      <c r="X27" s="11"/>
      <c r="Z27" s="314"/>
      <c r="AA27" s="314"/>
      <c r="AB27" s="314"/>
      <c r="AE27" s="314"/>
      <c r="AF27" s="314"/>
      <c r="AG27" s="314"/>
      <c r="AI27" s="314"/>
      <c r="AJ27" s="314"/>
      <c r="AK27" s="314"/>
      <c r="AM27" s="314"/>
      <c r="AN27" s="314"/>
      <c r="AO27" s="314"/>
      <c r="AQ27" s="314"/>
      <c r="AR27" s="314"/>
      <c r="AS27" s="314"/>
    </row>
    <row r="28" spans="1:45" ht="13.5" customHeight="1" thickBot="1">
      <c r="A28" s="117"/>
      <c r="B28" s="1809"/>
      <c r="C28" s="4339"/>
      <c r="D28" s="4339"/>
      <c r="E28" s="4339"/>
      <c r="F28" s="4339"/>
      <c r="G28" s="4339"/>
      <c r="H28" s="4339"/>
      <c r="I28" s="4339"/>
      <c r="J28" s="4339"/>
      <c r="K28" s="4339"/>
      <c r="L28" s="4337"/>
      <c r="M28" s="2638">
        <f>B27</f>
        <v>7</v>
      </c>
      <c r="N28" s="4276">
        <f>IF(R28&lt;&gt;"",R28,SUM(N14,N16,N18,N20,N22,N24,N26))</f>
        <v>0</v>
      </c>
      <c r="O28" s="4326"/>
      <c r="P28" s="1840"/>
      <c r="Q28" s="2628"/>
      <c r="R28" s="2896"/>
      <c r="S28" s="117"/>
      <c r="T28" s="11"/>
      <c r="U28" s="11"/>
      <c r="V28" s="11"/>
      <c r="W28" s="11"/>
      <c r="X28" s="11"/>
      <c r="Z28" s="314"/>
      <c r="AA28" s="314"/>
      <c r="AB28" s="314"/>
      <c r="AE28" s="314"/>
      <c r="AF28" s="314"/>
      <c r="AG28" s="314"/>
      <c r="AI28" s="314"/>
      <c r="AJ28" s="314"/>
      <c r="AK28" s="314"/>
      <c r="AM28" s="314"/>
      <c r="AN28" s="314"/>
      <c r="AO28" s="314"/>
      <c r="AQ28" s="314"/>
      <c r="AR28" s="314"/>
      <c r="AS28" s="314"/>
    </row>
    <row r="29" spans="1:45" ht="15">
      <c r="A29" s="117"/>
      <c r="B29" s="814" t="s">
        <v>197</v>
      </c>
      <c r="C29" s="2643"/>
      <c r="D29" s="299"/>
      <c r="E29" s="299" t="s">
        <v>417</v>
      </c>
      <c r="F29" s="299"/>
      <c r="G29" s="28"/>
      <c r="H29" s="299" t="str">
        <f>"-–  Assets Held More Than One Year"</f>
        <v>-–  Assets Held More Than One Year</v>
      </c>
      <c r="I29" s="838"/>
      <c r="J29" s="299"/>
      <c r="K29" s="29"/>
      <c r="L29" s="29"/>
      <c r="M29" s="29"/>
      <c r="N29" s="29"/>
      <c r="O29" s="29"/>
      <c r="P29" s="1841"/>
      <c r="Q29" s="2629"/>
      <c r="R29" s="117"/>
      <c r="S29" s="117"/>
      <c r="T29" s="117"/>
      <c r="U29" s="117"/>
      <c r="V29" s="117"/>
      <c r="W29" s="117"/>
      <c r="X29" s="117"/>
      <c r="Z29" s="314"/>
      <c r="AA29" s="314"/>
      <c r="AB29" s="314"/>
      <c r="AE29" s="314"/>
      <c r="AF29" s="314"/>
      <c r="AG29" s="314"/>
      <c r="AI29" s="314"/>
      <c r="AJ29" s="314"/>
      <c r="AK29" s="314"/>
      <c r="AM29" s="314"/>
      <c r="AN29" s="314"/>
      <c r="AO29" s="314"/>
      <c r="AQ29" s="314"/>
      <c r="AR29" s="314"/>
      <c r="AS29" s="314"/>
    </row>
    <row r="30" spans="1:45" ht="16.5" customHeight="1">
      <c r="A30" s="117"/>
      <c r="B30" s="4245" t="s">
        <v>1693</v>
      </c>
      <c r="C30" s="4072"/>
      <c r="D30" s="4072"/>
      <c r="E30" s="4072"/>
      <c r="F30" s="4072"/>
      <c r="G30" s="4073"/>
      <c r="H30" s="4259" t="s">
        <v>1512</v>
      </c>
      <c r="I30" s="4260"/>
      <c r="J30" s="4259" t="s">
        <v>1513</v>
      </c>
      <c r="K30" s="4296" t="s">
        <v>1514</v>
      </c>
      <c r="L30" s="4309"/>
      <c r="M30" s="4342"/>
      <c r="N30" s="4296" t="s">
        <v>1510</v>
      </c>
      <c r="O30" s="4328"/>
      <c r="P30" s="1834"/>
      <c r="Q30" s="2622"/>
      <c r="R30" s="117"/>
      <c r="S30" s="117"/>
      <c r="T30" s="4239" t="s">
        <v>1512</v>
      </c>
      <c r="U30" s="4236" t="s">
        <v>2683</v>
      </c>
      <c r="V30" s="4242" t="s">
        <v>1167</v>
      </c>
      <c r="W30" s="4242" t="s">
        <v>1174</v>
      </c>
      <c r="X30" s="1864"/>
      <c r="Z30" s="314"/>
      <c r="AA30" s="314"/>
      <c r="AB30" s="314"/>
      <c r="AE30" s="314"/>
      <c r="AF30" s="314"/>
      <c r="AG30" s="314"/>
      <c r="AI30" s="314"/>
      <c r="AJ30" s="314"/>
      <c r="AK30" s="314"/>
      <c r="AM30" s="314"/>
      <c r="AN30" s="314"/>
      <c r="AO30" s="314"/>
      <c r="AQ30" s="314"/>
      <c r="AR30" s="314"/>
      <c r="AS30" s="314"/>
    </row>
    <row r="31" spans="1:45" ht="16.5" customHeight="1">
      <c r="A31" s="117"/>
      <c r="B31" s="4246"/>
      <c r="C31" s="3743"/>
      <c r="D31" s="3743"/>
      <c r="E31" s="3743"/>
      <c r="F31" s="3743"/>
      <c r="G31" s="4247"/>
      <c r="H31" s="4261"/>
      <c r="I31" s="4262"/>
      <c r="J31" s="4261"/>
      <c r="K31" s="4343"/>
      <c r="L31" s="4344"/>
      <c r="M31" s="4345"/>
      <c r="N31" s="4329"/>
      <c r="O31" s="4330"/>
      <c r="P31" s="1835"/>
      <c r="Q31" s="2623"/>
      <c r="R31" s="1864" t="s">
        <v>1219</v>
      </c>
      <c r="S31" s="117"/>
      <c r="T31" s="4240"/>
      <c r="U31" s="4237"/>
      <c r="V31" s="4243"/>
      <c r="W31" s="4243"/>
      <c r="X31" s="1864"/>
      <c r="Z31" s="314"/>
      <c r="AA31" s="314"/>
      <c r="AB31" s="314"/>
      <c r="AE31" s="314"/>
      <c r="AF31" s="314"/>
      <c r="AG31" s="314"/>
      <c r="AI31" s="314"/>
      <c r="AJ31" s="314"/>
      <c r="AK31" s="314"/>
      <c r="AM31" s="314"/>
      <c r="AN31" s="314"/>
      <c r="AO31" s="314"/>
      <c r="AQ31" s="314"/>
      <c r="AR31" s="314"/>
      <c r="AS31" s="314"/>
    </row>
    <row r="32" spans="1:45" ht="16.5" customHeight="1">
      <c r="A32" s="117"/>
      <c r="B32" s="4248"/>
      <c r="C32" s="4249"/>
      <c r="D32" s="4249"/>
      <c r="E32" s="4249"/>
      <c r="F32" s="4249"/>
      <c r="G32" s="4250"/>
      <c r="H32" s="4263"/>
      <c r="I32" s="4264"/>
      <c r="J32" s="4263"/>
      <c r="K32" s="4346"/>
      <c r="L32" s="4347"/>
      <c r="M32" s="4348"/>
      <c r="N32" s="4331"/>
      <c r="O32" s="4332"/>
      <c r="P32" s="1836"/>
      <c r="Q32" s="2624"/>
      <c r="R32" s="117"/>
      <c r="S32" s="117"/>
      <c r="T32" s="4241"/>
      <c r="U32" s="4238"/>
      <c r="V32" s="4244"/>
      <c r="W32" s="4244"/>
      <c r="X32" s="1864"/>
      <c r="Z32" s="349" t="s">
        <v>1642</v>
      </c>
      <c r="AA32" s="349" t="s">
        <v>1643</v>
      </c>
      <c r="AB32" s="349" t="s">
        <v>1644</v>
      </c>
      <c r="AE32" s="349" t="s">
        <v>1642</v>
      </c>
      <c r="AF32" s="349" t="s">
        <v>1643</v>
      </c>
      <c r="AG32" s="349" t="s">
        <v>1644</v>
      </c>
      <c r="AI32" s="349" t="s">
        <v>1642</v>
      </c>
      <c r="AJ32" s="349" t="s">
        <v>1643</v>
      </c>
      <c r="AK32" s="349" t="s">
        <v>1644</v>
      </c>
      <c r="AM32" s="349" t="s">
        <v>1642</v>
      </c>
      <c r="AN32" s="349" t="s">
        <v>1643</v>
      </c>
      <c r="AO32" s="349" t="s">
        <v>1644</v>
      </c>
      <c r="AQ32" s="349" t="s">
        <v>1642</v>
      </c>
      <c r="AR32" s="349" t="s">
        <v>1643</v>
      </c>
      <c r="AS32" s="349" t="s">
        <v>1644</v>
      </c>
    </row>
    <row r="33" spans="1:45" ht="46.5" customHeight="1">
      <c r="A33" s="117"/>
      <c r="B33" s="2609" t="s">
        <v>63</v>
      </c>
      <c r="C33" s="4265" t="s">
        <v>2000</v>
      </c>
      <c r="D33" s="4266"/>
      <c r="E33" s="4266"/>
      <c r="F33" s="4266"/>
      <c r="G33" s="4267"/>
      <c r="H33" s="2872"/>
      <c r="I33" s="2873"/>
      <c r="J33" s="2874"/>
      <c r="K33" s="2879"/>
      <c r="L33" s="2880"/>
      <c r="M33" s="2881"/>
      <c r="N33" s="2875"/>
      <c r="O33" s="2876"/>
      <c r="P33" s="1836"/>
      <c r="Q33" s="2624"/>
      <c r="R33" s="117"/>
      <c r="S33" s="117"/>
      <c r="T33" s="2849"/>
      <c r="U33" s="2848"/>
      <c r="V33" s="2877"/>
      <c r="W33" s="2847"/>
      <c r="X33" s="1864"/>
      <c r="Z33" s="349"/>
      <c r="AA33" s="349"/>
      <c r="AB33" s="349"/>
      <c r="AE33" s="349"/>
      <c r="AF33" s="349"/>
      <c r="AG33" s="349"/>
      <c r="AI33" s="349"/>
      <c r="AJ33" s="349"/>
      <c r="AK33" s="349"/>
      <c r="AM33" s="349"/>
      <c r="AN33" s="349"/>
      <c r="AO33" s="349"/>
      <c r="AQ33" s="349"/>
      <c r="AR33" s="349"/>
      <c r="AS33" s="349"/>
    </row>
    <row r="34" spans="1:45" ht="15.75" customHeight="1">
      <c r="A34" s="117"/>
      <c r="B34" s="2871"/>
      <c r="C34" s="4200"/>
      <c r="D34" s="4200"/>
      <c r="E34" s="4200"/>
      <c r="F34" s="4200"/>
      <c r="G34" s="4201"/>
      <c r="H34" s="4215"/>
      <c r="I34" s="4340"/>
      <c r="J34" s="2613"/>
      <c r="K34" s="4268"/>
      <c r="L34" s="4269"/>
      <c r="M34" s="4270"/>
      <c r="N34" s="4251" t="str">
        <f>IF(W34&lt;&gt;"",W34,IF(OR(H34&lt;&gt;"",J34&lt;&gt;""),SUM(H34,-J34),""))</f>
        <v/>
      </c>
      <c r="O34" s="4252"/>
      <c r="P34" s="1836"/>
      <c r="Q34" s="2624"/>
      <c r="R34" s="117"/>
      <c r="S34" s="117"/>
      <c r="T34" s="2849" t="str">
        <f>"---"</f>
        <v>---</v>
      </c>
      <c r="U34" s="2849" t="str">
        <f>"---"</f>
        <v>---</v>
      </c>
      <c r="V34" s="2878"/>
      <c r="W34" s="2611"/>
      <c r="X34" s="1864"/>
      <c r="Z34" s="349"/>
      <c r="AA34" s="349"/>
      <c r="AB34" s="349"/>
      <c r="AE34" s="349"/>
      <c r="AF34" s="349"/>
      <c r="AG34" s="349"/>
      <c r="AI34" s="349"/>
      <c r="AJ34" s="349"/>
      <c r="AK34" s="349"/>
      <c r="AM34" s="349"/>
      <c r="AN34" s="349"/>
      <c r="AO34" s="349"/>
      <c r="AQ34" s="349"/>
      <c r="AR34" s="349"/>
      <c r="AS34" s="349"/>
    </row>
    <row r="35" spans="1:45" ht="13.5" customHeight="1">
      <c r="A35" s="117"/>
      <c r="B35" s="2609" t="s">
        <v>65</v>
      </c>
      <c r="C35" s="4254" t="s">
        <v>1868</v>
      </c>
      <c r="D35" s="4255"/>
      <c r="E35" s="4255"/>
      <c r="F35" s="4255"/>
      <c r="G35" s="4256"/>
      <c r="H35" s="4232">
        <f>SUM(AE36:AG36)</f>
        <v>0</v>
      </c>
      <c r="I35" s="4233"/>
      <c r="J35" s="2784">
        <f>SUM(AI36:AK36)</f>
        <v>0</v>
      </c>
      <c r="K35" s="4232">
        <f>SUM(AM36:AO36)</f>
        <v>0</v>
      </c>
      <c r="L35" s="4234"/>
      <c r="M35" s="4235"/>
      <c r="N35" s="4232">
        <f>SUM(AQ36:AS36)</f>
        <v>0</v>
      </c>
      <c r="O35" s="4234"/>
      <c r="P35" s="1837"/>
      <c r="Q35" s="2625"/>
      <c r="R35" s="117"/>
      <c r="S35" s="117"/>
      <c r="T35" s="2792"/>
      <c r="U35" s="2795"/>
      <c r="V35" s="2794"/>
      <c r="W35" s="2792"/>
      <c r="X35" s="1864"/>
      <c r="Z35" s="314"/>
      <c r="AA35" s="314"/>
      <c r="AB35" s="314"/>
      <c r="AE35" s="314"/>
      <c r="AF35" s="314"/>
      <c r="AG35" s="314"/>
      <c r="AI35" s="314"/>
      <c r="AJ35" s="314"/>
      <c r="AK35" s="314"/>
      <c r="AM35" s="314"/>
      <c r="AN35" s="314"/>
      <c r="AO35" s="314"/>
      <c r="AQ35" s="314"/>
      <c r="AR35" s="314"/>
      <c r="AS35" s="314"/>
    </row>
    <row r="36" spans="1:45" ht="13.5" customHeight="1">
      <c r="A36" s="117"/>
      <c r="B36" s="2610"/>
      <c r="C36" s="4257"/>
      <c r="D36" s="4257"/>
      <c r="E36" s="4257"/>
      <c r="F36" s="4257"/>
      <c r="G36" s="4258"/>
      <c r="H36" s="4251" t="str">
        <f>IF(T36&lt;&gt;"",T36,IF($AC36,H35,""))</f>
        <v/>
      </c>
      <c r="I36" s="4253"/>
      <c r="J36" s="2882" t="str">
        <f>IF(U36&lt;&gt;"",U36,IF($AC36,J35,""))</f>
        <v/>
      </c>
      <c r="K36" s="4251" t="str">
        <f>IF(V36&lt;&gt;"",V36,IF($AC36,K35,""))</f>
        <v/>
      </c>
      <c r="L36" s="4252"/>
      <c r="M36" s="4253"/>
      <c r="N36" s="4251" t="str">
        <f>IF(W36&lt;&gt;"",W36,IF($AC36,N35,""))</f>
        <v/>
      </c>
      <c r="O36" s="4252"/>
      <c r="P36" s="1837"/>
      <c r="Q36" s="2625"/>
      <c r="R36" s="117"/>
      <c r="S36" s="117"/>
      <c r="T36" s="2611"/>
      <c r="U36" s="2612"/>
      <c r="V36" s="2613"/>
      <c r="W36" s="2611"/>
      <c r="X36" s="1864"/>
      <c r="Z36" s="314">
        <f>IF(F8949ALBOXA&lt;&gt;"",F8949ALT,0)</f>
        <v>0</v>
      </c>
      <c r="AA36" s="314">
        <f>IF(F8949BLBOXA&lt;&gt;"",F8949BLT,0)</f>
        <v>0</v>
      </c>
      <c r="AB36" s="314">
        <f>IF(F8949CLBOXA&lt;&gt;"",F8949CLT,0)</f>
        <v>0</v>
      </c>
      <c r="AC36" s="4" t="b">
        <f>IF(SUM(Z36:AB36)&gt;0,TRUE,FALSE)</f>
        <v>0</v>
      </c>
      <c r="AE36" s="314">
        <f>IF(F8949ALBOXA&lt;&gt;"",F8949ALTD,0)</f>
        <v>0</v>
      </c>
      <c r="AF36" s="314">
        <f>IF(F8949BLBOXA&lt;&gt;"",F8949BLTD,0)</f>
        <v>0</v>
      </c>
      <c r="AG36" s="314">
        <f>IF(F8949CLBOXA&lt;&gt;"",F8949CLTD,0)</f>
        <v>0</v>
      </c>
      <c r="AI36" s="314">
        <f>IF(F8949ALBOXA&lt;&gt;"",F8949ALTE,0)</f>
        <v>0</v>
      </c>
      <c r="AJ36" s="314">
        <f>IF(F8949BLBOXA&lt;&gt;"",F8949BLTE,0)</f>
        <v>0</v>
      </c>
      <c r="AK36" s="314">
        <f>IF(F8949CLBOXA&lt;&gt;"",F8949CLTE,0)</f>
        <v>0</v>
      </c>
      <c r="AM36" s="314">
        <f>IF(F8949ALBOXA&lt;&gt;"",F8949ALTG,0)</f>
        <v>0</v>
      </c>
      <c r="AN36" s="314">
        <f>IF(F8949BLBOXA&lt;&gt;"",F8949BLTG,0)</f>
        <v>0</v>
      </c>
      <c r="AO36" s="314">
        <f>IF(F8949CLBOXA&lt;&gt;"",F8949CLTG,0)</f>
        <v>0</v>
      </c>
      <c r="AQ36" s="314">
        <f>IF(F8949ALBOXA&lt;&gt;"",F8949ALTH,0)</f>
        <v>0</v>
      </c>
      <c r="AR36" s="314">
        <f>IF(F8949BLBOXA&lt;&gt;"",F8949BLTH,0)</f>
        <v>0</v>
      </c>
      <c r="AS36" s="314">
        <f>IF(F8949CLBOXA&lt;&gt;"",F8949CLTH,0)</f>
        <v>0</v>
      </c>
    </row>
    <row r="37" spans="1:45" ht="13.5" customHeight="1">
      <c r="A37" s="117"/>
      <c r="B37" s="2609">
        <v>9</v>
      </c>
      <c r="C37" s="4254" t="s">
        <v>1869</v>
      </c>
      <c r="D37" s="4255"/>
      <c r="E37" s="4255"/>
      <c r="F37" s="4255"/>
      <c r="G37" s="4256"/>
      <c r="H37" s="4232">
        <f>SUM(AE38:AG38)</f>
        <v>0</v>
      </c>
      <c r="I37" s="4233"/>
      <c r="J37" s="2784">
        <f>SUM(AI38:AK38)</f>
        <v>0</v>
      </c>
      <c r="K37" s="4232">
        <f>SUM(AM38:AO38)</f>
        <v>0</v>
      </c>
      <c r="L37" s="4234"/>
      <c r="M37" s="4235"/>
      <c r="N37" s="4232">
        <f>SUM(AQ38:AS38)</f>
        <v>0</v>
      </c>
      <c r="O37" s="4234"/>
      <c r="P37" s="1837"/>
      <c r="Q37" s="2625"/>
      <c r="R37" s="117"/>
      <c r="S37" s="117"/>
      <c r="T37" s="2792"/>
      <c r="U37" s="2795"/>
      <c r="V37" s="2794"/>
      <c r="W37" s="2792"/>
      <c r="X37" s="1864"/>
      <c r="Z37" s="314"/>
      <c r="AA37" s="314"/>
      <c r="AB37" s="314"/>
      <c r="AE37" s="314"/>
      <c r="AF37" s="314"/>
      <c r="AG37" s="314"/>
      <c r="AI37" s="314"/>
      <c r="AJ37" s="314"/>
      <c r="AK37" s="314"/>
      <c r="AM37" s="314"/>
      <c r="AN37" s="314"/>
      <c r="AO37" s="314"/>
      <c r="AQ37" s="314"/>
      <c r="AR37" s="314"/>
      <c r="AS37" s="314"/>
    </row>
    <row r="38" spans="1:45" ht="12.75" customHeight="1">
      <c r="A38" s="117"/>
      <c r="B38" s="2610"/>
      <c r="C38" s="4257"/>
      <c r="D38" s="4257"/>
      <c r="E38" s="4257"/>
      <c r="F38" s="4257"/>
      <c r="G38" s="4258"/>
      <c r="H38" s="4251" t="str">
        <f>IF(T38&lt;&gt;"",T38,IF($AC38,H37,""))</f>
        <v/>
      </c>
      <c r="I38" s="4253"/>
      <c r="J38" s="2882" t="str">
        <f>IF(U38&lt;&gt;"",U38,IF($AC38,J37,""))</f>
        <v/>
      </c>
      <c r="K38" s="4251" t="str">
        <f>IF(V38&lt;&gt;"",V38,IF($AC38,K37,""))</f>
        <v/>
      </c>
      <c r="L38" s="4252"/>
      <c r="M38" s="4253"/>
      <c r="N38" s="4251" t="str">
        <f>IF(W38&lt;&gt;"",W38,IF($AC38,N37,""))</f>
        <v/>
      </c>
      <c r="O38" s="4252"/>
      <c r="P38" s="1837"/>
      <c r="Q38" s="2625"/>
      <c r="R38" s="117"/>
      <c r="S38" s="117"/>
      <c r="T38" s="2611"/>
      <c r="U38" s="2611"/>
      <c r="V38" s="2613"/>
      <c r="W38" s="2611"/>
      <c r="X38" s="1864"/>
      <c r="Z38" s="314">
        <f>IF(F8949ALBOXB&lt;&gt;"",F8949ALT,0)</f>
        <v>0</v>
      </c>
      <c r="AA38" s="314">
        <f>IF(F8949BLBOXB&lt;&gt;"",F8949BLT,0)</f>
        <v>0</v>
      </c>
      <c r="AB38" s="314">
        <f>IF(F8949CLBOXB&lt;&gt;"",F8949CLT,0)</f>
        <v>0</v>
      </c>
      <c r="AC38" s="4" t="b">
        <f>IF(SUM(Z38:AB38)&gt;0,TRUE,FALSE)</f>
        <v>0</v>
      </c>
      <c r="AE38" s="314">
        <f>IF(F8949ALBOXB&lt;&gt;"",F8949ALTD,0)</f>
        <v>0</v>
      </c>
      <c r="AF38" s="314">
        <f>IF(F8949BLBOXB&lt;&gt;"",F8949BLTD,0)</f>
        <v>0</v>
      </c>
      <c r="AG38" s="314">
        <f>IF(F8949CLBOXB&lt;&gt;"",F8949CLTD,0)</f>
        <v>0</v>
      </c>
      <c r="AI38" s="314">
        <f>IF(F8949ALBOXB&lt;&gt;"",F8949ALTE,0)</f>
        <v>0</v>
      </c>
      <c r="AJ38" s="314">
        <f>IF(F8949BLBOXB&lt;&gt;"",F8949BLTE,0)</f>
        <v>0</v>
      </c>
      <c r="AK38" s="314">
        <f>IF(F8949CLBOXB&lt;&gt;"",F8949CLTE,0)</f>
        <v>0</v>
      </c>
      <c r="AM38" s="314">
        <f>IF(F8949ALBOXB&lt;&gt;"",F8949ALTG,0)</f>
        <v>0</v>
      </c>
      <c r="AN38" s="314">
        <f>IF(F8949BLBOXB&lt;&gt;"",F8949BLTG,0)</f>
        <v>0</v>
      </c>
      <c r="AO38" s="314">
        <f>IF(F8949CLBOXB&lt;&gt;"",F8949CLTG,0)</f>
        <v>0</v>
      </c>
      <c r="AQ38" s="314">
        <f>IF(F8949ALBOXB&lt;&gt;"",F8949ALTH,0)</f>
        <v>0</v>
      </c>
      <c r="AR38" s="314">
        <f>IF(F8949BLBOXB&lt;&gt;"",F8949BLTH,0)</f>
        <v>0</v>
      </c>
      <c r="AS38" s="314">
        <f>IF(F8949CLBOXB&lt;&gt;"",F8949CLTH,0)</f>
        <v>0</v>
      </c>
    </row>
    <row r="39" spans="1:45" ht="12.75" customHeight="1">
      <c r="A39" s="117"/>
      <c r="B39" s="2609">
        <v>10</v>
      </c>
      <c r="C39" s="4254" t="s">
        <v>1870</v>
      </c>
      <c r="D39" s="4255"/>
      <c r="E39" s="4255"/>
      <c r="F39" s="4255"/>
      <c r="G39" s="4256"/>
      <c r="H39" s="4232">
        <f>SUM(AE40:AG40)</f>
        <v>0</v>
      </c>
      <c r="I39" s="4233"/>
      <c r="J39" s="2784">
        <f>SUM(AI40:AK40)</f>
        <v>0</v>
      </c>
      <c r="K39" s="4232">
        <f>SUM(AM40:AO40)</f>
        <v>0</v>
      </c>
      <c r="L39" s="4234"/>
      <c r="M39" s="4235"/>
      <c r="N39" s="4232">
        <f>SUM(AQ40:AS40)</f>
        <v>0</v>
      </c>
      <c r="O39" s="4234"/>
      <c r="P39" s="1837"/>
      <c r="Q39" s="2625"/>
      <c r="R39" s="117"/>
      <c r="S39" s="117"/>
      <c r="T39" s="2792"/>
      <c r="U39" s="2795"/>
      <c r="V39" s="2794"/>
      <c r="W39" s="2792"/>
      <c r="X39" s="1864"/>
      <c r="Z39" s="314"/>
      <c r="AA39" s="314"/>
      <c r="AB39" s="314"/>
      <c r="AE39" s="314"/>
      <c r="AF39" s="314"/>
      <c r="AG39" s="314"/>
      <c r="AI39" s="314"/>
      <c r="AJ39" s="314"/>
      <c r="AK39" s="314"/>
      <c r="AM39" s="314"/>
      <c r="AN39" s="314"/>
      <c r="AO39" s="314"/>
      <c r="AQ39" s="314"/>
      <c r="AR39" s="314"/>
      <c r="AS39" s="314"/>
    </row>
    <row r="40" spans="1:45" ht="12.75" customHeight="1">
      <c r="A40" s="117"/>
      <c r="B40" s="2610"/>
      <c r="C40" s="4257"/>
      <c r="D40" s="4257"/>
      <c r="E40" s="4257"/>
      <c r="F40" s="4257"/>
      <c r="G40" s="4258"/>
      <c r="H40" s="4251" t="str">
        <f>IF(T40&lt;&gt;"",T40,IF($AC40,H39,""))</f>
        <v/>
      </c>
      <c r="I40" s="4253"/>
      <c r="J40" s="2882" t="str">
        <f>IF(U40&lt;&gt;"",U40,IF($AC40,J39,""))</f>
        <v/>
      </c>
      <c r="K40" s="4251" t="str">
        <f>IF(V40&lt;&gt;"",V40,IF($AC40,K39,""))</f>
        <v/>
      </c>
      <c r="L40" s="4252"/>
      <c r="M40" s="4253"/>
      <c r="N40" s="4251" t="str">
        <f>IF(W40&lt;&gt;"",W40,IF($AC40,N39,""))</f>
        <v/>
      </c>
      <c r="O40" s="4252"/>
      <c r="P40" s="1837"/>
      <c r="Q40" s="2625"/>
      <c r="R40" s="117"/>
      <c r="S40" s="117"/>
      <c r="T40" s="2611"/>
      <c r="U40" s="2611"/>
      <c r="V40" s="2613"/>
      <c r="W40" s="2611"/>
      <c r="X40" s="1864"/>
      <c r="Z40" s="314">
        <f>IF(F8949ALBOXC&lt;&gt;"",F8949ALT,0)</f>
        <v>0</v>
      </c>
      <c r="AA40" s="314">
        <f>IF(F8949BLBOXC&lt;&gt;"",F8949BLT,0)</f>
        <v>0</v>
      </c>
      <c r="AB40" s="314">
        <f>IF(F8949CLBOXC&lt;&gt;"",F8949CLT,0)</f>
        <v>0</v>
      </c>
      <c r="AC40" s="4" t="b">
        <f>IF(SUM(Z40:AB40)&gt;0,TRUE,FALSE)</f>
        <v>0</v>
      </c>
      <c r="AE40" s="314">
        <f>IF(F8949ALBOXC&lt;&gt;"",F8949ALTD,0)</f>
        <v>0</v>
      </c>
      <c r="AF40" s="314">
        <f>IF(F8949BLBOXC&lt;&gt;"",F8949BLTD,0)</f>
        <v>0</v>
      </c>
      <c r="AG40" s="314">
        <f>IF(F8949CLBOXC&lt;&gt;"",F8949CLTD,0)</f>
        <v>0</v>
      </c>
      <c r="AI40" s="314">
        <f>IF(F8949ALBOXC&lt;&gt;"",F8949ALTE,0)</f>
        <v>0</v>
      </c>
      <c r="AJ40" s="314">
        <f>IF(F8949BLBOXC&lt;&gt;"",F8949BLTE,0)</f>
        <v>0</v>
      </c>
      <c r="AK40" s="314">
        <f>IF(F8949CLBOXC&lt;&gt;"",F8949CLTE,0)</f>
        <v>0</v>
      </c>
      <c r="AM40" s="314">
        <f>IF(F8949ALBOXC&lt;&gt;"",F8949ALTG,0)</f>
        <v>0</v>
      </c>
      <c r="AN40" s="314">
        <f>IF(F8949BLBOXC&lt;&gt;"",F8949BLTG,0)</f>
        <v>0</v>
      </c>
      <c r="AO40" s="314">
        <f>IF(F8949CLBOXC&lt;&gt;"",F8949CLTG,0)</f>
        <v>0</v>
      </c>
      <c r="AQ40" s="314">
        <f>IF(F8949ALBOXC&lt;&gt;"",F8949ALTH,0)</f>
        <v>0</v>
      </c>
      <c r="AR40" s="314">
        <f>IF(F8949BLBOXC&lt;&gt;"",F8949BLTH,0)</f>
        <v>0</v>
      </c>
      <c r="AS40" s="314">
        <f>IF(F8949CLBOXC&lt;&gt;"",F8949CLTH,0)</f>
        <v>0</v>
      </c>
    </row>
    <row r="41" spans="1:45" ht="12.75" customHeight="1">
      <c r="A41" s="117"/>
      <c r="B41" s="1809">
        <v>11</v>
      </c>
      <c r="C41" s="4351" t="s">
        <v>1521</v>
      </c>
      <c r="D41" s="4266"/>
      <c r="E41" s="4266"/>
      <c r="F41" s="4266"/>
      <c r="G41" s="4266"/>
      <c r="H41" s="4266"/>
      <c r="I41" s="4266"/>
      <c r="J41" s="4266"/>
      <c r="K41" s="4266"/>
      <c r="L41" s="4267"/>
      <c r="M41" s="1108"/>
      <c r="N41" s="4349"/>
      <c r="O41" s="4350"/>
      <c r="P41" s="1837"/>
      <c r="Q41" s="2625"/>
      <c r="R41" s="117"/>
      <c r="S41" s="117"/>
      <c r="T41" s="117"/>
      <c r="U41" s="117"/>
      <c r="V41" s="117"/>
      <c r="W41" s="117"/>
      <c r="X41" s="117"/>
      <c r="Z41" s="314"/>
      <c r="AA41" s="314"/>
      <c r="AB41" s="314"/>
      <c r="AE41" s="314"/>
      <c r="AF41" s="314"/>
      <c r="AG41" s="314"/>
      <c r="AI41" s="314"/>
      <c r="AJ41" s="314"/>
      <c r="AK41" s="314"/>
      <c r="AM41" s="314"/>
      <c r="AN41" s="314"/>
      <c r="AO41" s="314"/>
      <c r="AQ41" s="314"/>
      <c r="AR41" s="314"/>
      <c r="AS41" s="314"/>
    </row>
    <row r="42" spans="1:45" ht="13.5" customHeight="1">
      <c r="A42" s="117"/>
      <c r="B42" s="1809"/>
      <c r="C42" s="4004"/>
      <c r="D42" s="4004"/>
      <c r="E42" s="4004"/>
      <c r="F42" s="4004"/>
      <c r="G42" s="4004"/>
      <c r="H42" s="4004"/>
      <c r="I42" s="4004"/>
      <c r="J42" s="4004"/>
      <c r="K42" s="4004"/>
      <c r="L42" s="4199"/>
      <c r="M42" s="333">
        <f>B41</f>
        <v>11</v>
      </c>
      <c r="N42" s="4215"/>
      <c r="O42" s="4274"/>
      <c r="P42" s="1837"/>
      <c r="Q42" s="2625"/>
      <c r="R42" s="117"/>
      <c r="S42" s="117"/>
      <c r="T42" s="117"/>
      <c r="U42" s="117"/>
      <c r="V42" s="117"/>
      <c r="W42" s="117"/>
      <c r="X42" s="117"/>
      <c r="Z42" s="314"/>
      <c r="AA42" s="314"/>
      <c r="AB42" s="314"/>
      <c r="AE42" s="314"/>
      <c r="AF42" s="314"/>
      <c r="AG42" s="314"/>
      <c r="AI42" s="314"/>
      <c r="AJ42" s="314"/>
      <c r="AK42" s="314"/>
      <c r="AM42" s="314"/>
      <c r="AN42" s="314"/>
      <c r="AO42" s="314"/>
      <c r="AQ42" s="314"/>
      <c r="AR42" s="314"/>
      <c r="AS42" s="314"/>
    </row>
    <row r="43" spans="1:45">
      <c r="A43" s="117"/>
      <c r="B43" s="246"/>
      <c r="C43" s="234"/>
      <c r="D43" s="234"/>
      <c r="E43" s="234"/>
      <c r="F43" s="234"/>
      <c r="G43" s="300"/>
      <c r="H43" s="196"/>
      <c r="I43" s="196"/>
      <c r="J43" s="196"/>
      <c r="K43" s="246"/>
      <c r="L43" s="246"/>
      <c r="M43" s="1108"/>
      <c r="N43" s="2636"/>
      <c r="O43" s="2637"/>
      <c r="P43" s="1837"/>
      <c r="Q43" s="2625"/>
      <c r="R43" s="117"/>
      <c r="S43" s="117"/>
      <c r="T43" s="11"/>
      <c r="U43" s="11"/>
      <c r="V43" s="11"/>
      <c r="W43" s="11"/>
      <c r="X43" s="11"/>
      <c r="Z43" s="314"/>
      <c r="AA43" s="314"/>
      <c r="AB43" s="314"/>
      <c r="AE43" s="314"/>
      <c r="AF43" s="314"/>
      <c r="AG43" s="314"/>
      <c r="AI43" s="314"/>
      <c r="AJ43" s="314"/>
      <c r="AK43" s="314"/>
      <c r="AM43" s="314"/>
      <c r="AN43" s="314"/>
      <c r="AO43" s="314"/>
      <c r="AQ43" s="314"/>
      <c r="AR43" s="314"/>
      <c r="AS43" s="314"/>
    </row>
    <row r="44" spans="1:45" ht="12.75" customHeight="1">
      <c r="A44" s="117"/>
      <c r="B44" s="246">
        <v>12</v>
      </c>
      <c r="C44" s="234" t="s">
        <v>1515</v>
      </c>
      <c r="D44" s="234"/>
      <c r="E44" s="234"/>
      <c r="F44" s="234"/>
      <c r="G44" s="300"/>
      <c r="H44" s="196"/>
      <c r="I44" s="196"/>
      <c r="J44" s="196"/>
      <c r="K44" s="246"/>
      <c r="L44" s="311"/>
      <c r="M44" s="333">
        <f>B44</f>
        <v>12</v>
      </c>
      <c r="N44" s="4215"/>
      <c r="O44" s="4274"/>
      <c r="P44" s="1838"/>
      <c r="Q44" s="2626"/>
      <c r="R44" s="117"/>
      <c r="S44" s="117"/>
      <c r="T44" s="11"/>
      <c r="U44" s="11"/>
      <c r="V44" s="11"/>
      <c r="W44" s="11"/>
      <c r="X44" s="11"/>
      <c r="Z44" s="314"/>
      <c r="AA44" s="314"/>
      <c r="AB44" s="314"/>
      <c r="AE44" s="314"/>
      <c r="AF44" s="314"/>
      <c r="AG44" s="314"/>
      <c r="AI44" s="314"/>
      <c r="AJ44" s="314"/>
      <c r="AK44" s="314"/>
      <c r="AM44" s="314"/>
      <c r="AN44" s="314"/>
      <c r="AO44" s="314"/>
      <c r="AQ44" s="314"/>
      <c r="AR44" s="314"/>
      <c r="AS44" s="314"/>
    </row>
    <row r="45" spans="1:45" ht="13.5" customHeight="1">
      <c r="A45" s="117"/>
      <c r="B45" s="246"/>
      <c r="C45" s="234"/>
      <c r="D45" s="234"/>
      <c r="E45" s="234"/>
      <c r="F45" s="234"/>
      <c r="G45" s="300"/>
      <c r="H45" s="300"/>
      <c r="I45" s="300"/>
      <c r="J45" s="196"/>
      <c r="K45" s="198"/>
      <c r="L45" s="198"/>
      <c r="M45" s="1810"/>
      <c r="N45" s="4279"/>
      <c r="O45" s="4280"/>
      <c r="P45" s="1839"/>
      <c r="Q45" s="2627"/>
      <c r="R45" s="117"/>
      <c r="S45" s="117"/>
      <c r="T45" s="11"/>
      <c r="U45" s="11"/>
      <c r="V45" s="11"/>
      <c r="W45" s="11"/>
      <c r="X45" s="11"/>
      <c r="Z45" s="314"/>
      <c r="AA45" s="314"/>
      <c r="AB45" s="314"/>
      <c r="AE45" s="314"/>
      <c r="AF45" s="314"/>
      <c r="AG45" s="314"/>
      <c r="AI45" s="314"/>
      <c r="AJ45" s="314"/>
      <c r="AK45" s="314"/>
      <c r="AM45" s="314"/>
      <c r="AN45" s="314"/>
      <c r="AO45" s="314"/>
      <c r="AQ45" s="314"/>
      <c r="AR45" s="314"/>
      <c r="AS45" s="314"/>
    </row>
    <row r="46" spans="1:45" ht="13.5" customHeight="1">
      <c r="A46" s="117"/>
      <c r="B46" s="192">
        <v>13</v>
      </c>
      <c r="C46" s="1683" t="s">
        <v>1179</v>
      </c>
      <c r="D46" s="366"/>
      <c r="E46" s="366"/>
      <c r="F46" s="266"/>
      <c r="G46" s="300"/>
      <c r="H46" s="300"/>
      <c r="I46" s="300"/>
      <c r="J46" s="196"/>
      <c r="K46" s="246"/>
      <c r="L46" s="246" t="s">
        <v>1266</v>
      </c>
      <c r="M46" s="333">
        <f>B46</f>
        <v>13</v>
      </c>
      <c r="N46" s="4215"/>
      <c r="O46" s="4274"/>
      <c r="P46" s="1839"/>
      <c r="Q46" s="2627"/>
      <c r="R46" s="117"/>
      <c r="S46" s="117"/>
      <c r="T46" s="11"/>
      <c r="U46" s="11"/>
      <c r="V46" s="11"/>
      <c r="W46" s="11"/>
      <c r="X46" s="11"/>
      <c r="Z46" s="314"/>
      <c r="AA46" s="314"/>
      <c r="AB46" s="314"/>
      <c r="AE46" s="314"/>
      <c r="AF46" s="314"/>
      <c r="AG46" s="314"/>
      <c r="AI46" s="314"/>
      <c r="AJ46" s="314"/>
      <c r="AK46" s="314"/>
      <c r="AM46" s="314"/>
      <c r="AN46" s="314"/>
      <c r="AO46" s="314"/>
      <c r="AQ46" s="314"/>
      <c r="AR46" s="314"/>
      <c r="AS46" s="314"/>
    </row>
    <row r="47" spans="1:45">
      <c r="A47" s="117"/>
      <c r="B47" s="246">
        <v>14</v>
      </c>
      <c r="C47" s="234" t="s">
        <v>1178</v>
      </c>
      <c r="D47" s="234"/>
      <c r="E47" s="234"/>
      <c r="F47" s="234"/>
      <c r="G47" s="300"/>
      <c r="H47" s="300"/>
      <c r="I47" s="300"/>
      <c r="J47" s="196"/>
      <c r="K47" s="198"/>
      <c r="L47" s="198"/>
      <c r="M47" s="1810"/>
      <c r="N47" s="4279"/>
      <c r="O47" s="4280"/>
      <c r="P47" s="1839"/>
      <c r="Q47" s="2627"/>
      <c r="R47" s="2639" t="str">
        <f>IF(N48&gt;0,"The value of line 14","")</f>
        <v/>
      </c>
      <c r="S47" s="117"/>
      <c r="T47" s="11"/>
      <c r="U47" s="11"/>
      <c r="V47" s="11"/>
      <c r="W47" s="11"/>
      <c r="X47" s="11"/>
      <c r="Z47" s="314"/>
      <c r="AA47" s="314"/>
      <c r="AB47" s="314"/>
      <c r="AE47" s="314"/>
      <c r="AF47" s="314"/>
      <c r="AG47" s="314"/>
      <c r="AI47" s="314"/>
      <c r="AJ47" s="314"/>
      <c r="AK47" s="314"/>
      <c r="AM47" s="314"/>
      <c r="AN47" s="314"/>
      <c r="AO47" s="314"/>
      <c r="AQ47" s="314"/>
      <c r="AR47" s="314"/>
      <c r="AS47" s="314"/>
    </row>
    <row r="48" spans="1:45" ht="13.5" customHeight="1">
      <c r="A48" s="117"/>
      <c r="B48" s="192"/>
      <c r="C48" s="366" t="s">
        <v>1176</v>
      </c>
      <c r="D48" s="366"/>
      <c r="E48" s="366"/>
      <c r="F48" s="266"/>
      <c r="G48" s="300"/>
      <c r="H48" s="300"/>
      <c r="I48" s="300"/>
      <c r="J48" s="196"/>
      <c r="K48" s="246"/>
      <c r="L48" s="311" t="s">
        <v>1177</v>
      </c>
      <c r="M48" s="333">
        <f>B47</f>
        <v>14</v>
      </c>
      <c r="N48" s="4215"/>
      <c r="O48" s="4274"/>
      <c r="P48" s="1839"/>
      <c r="Q48" s="2627"/>
      <c r="R48" s="2639" t="str">
        <f>IF(N48&gt;0,"MUST be entered as","")</f>
        <v/>
      </c>
      <c r="S48" s="117"/>
      <c r="T48" s="11"/>
      <c r="U48" s="11"/>
      <c r="V48" s="11"/>
      <c r="W48" s="11"/>
      <c r="X48" s="11"/>
      <c r="Z48" s="314"/>
      <c r="AA48" s="314"/>
      <c r="AB48" s="314"/>
      <c r="AE48" s="314"/>
      <c r="AF48" s="314"/>
      <c r="AG48" s="314"/>
      <c r="AI48" s="314"/>
      <c r="AJ48" s="314"/>
      <c r="AK48" s="314"/>
      <c r="AM48" s="314"/>
      <c r="AN48" s="314"/>
      <c r="AO48" s="314"/>
      <c r="AQ48" s="314"/>
      <c r="AR48" s="314"/>
      <c r="AS48" s="314"/>
    </row>
    <row r="49" spans="1:45" ht="12.75" customHeight="1">
      <c r="A49" s="117"/>
      <c r="B49" s="1809">
        <v>15</v>
      </c>
      <c r="C49" s="4334" t="s">
        <v>1699</v>
      </c>
      <c r="D49" s="4335"/>
      <c r="E49" s="4335"/>
      <c r="F49" s="4335"/>
      <c r="G49" s="4335"/>
      <c r="H49" s="4335"/>
      <c r="I49" s="4335"/>
      <c r="J49" s="4335"/>
      <c r="K49" s="4335"/>
      <c r="L49" s="3893"/>
      <c r="M49" s="1108"/>
      <c r="N49" s="4281"/>
      <c r="O49" s="4280"/>
      <c r="P49" s="1840"/>
      <c r="Q49" s="2628"/>
      <c r="R49" s="2639" t="str">
        <f>IF(N48&gt;0,"as negative amount.","")</f>
        <v/>
      </c>
      <c r="S49" s="117"/>
      <c r="T49" s="11"/>
      <c r="U49" s="11"/>
      <c r="V49" s="11"/>
      <c r="W49" s="11"/>
      <c r="X49" s="11"/>
      <c r="Z49" s="314"/>
      <c r="AA49" s="314"/>
      <c r="AB49" s="314"/>
      <c r="AE49" s="314"/>
      <c r="AF49" s="314"/>
      <c r="AG49" s="314"/>
      <c r="AI49" s="314"/>
      <c r="AJ49" s="314"/>
      <c r="AK49" s="314"/>
      <c r="AM49" s="314"/>
      <c r="AN49" s="314"/>
      <c r="AO49" s="314"/>
      <c r="AQ49" s="314"/>
      <c r="AR49" s="314"/>
      <c r="AS49" s="314"/>
    </row>
    <row r="50" spans="1:45" ht="12.75" customHeight="1" thickBot="1">
      <c r="A50" s="117"/>
      <c r="B50" s="1811"/>
      <c r="C50" s="4336"/>
      <c r="D50" s="4336"/>
      <c r="E50" s="4336"/>
      <c r="F50" s="4336"/>
      <c r="G50" s="4336"/>
      <c r="H50" s="4336"/>
      <c r="I50" s="4336"/>
      <c r="J50" s="4336"/>
      <c r="K50" s="4336"/>
      <c r="L50" s="4337"/>
      <c r="M50" s="2638">
        <f>B49</f>
        <v>15</v>
      </c>
      <c r="N50" s="4276">
        <f>IF(R50&lt;&gt;"",R50,SUM(N34,N36,N38,N40,N42,N44,N46,N48))</f>
        <v>0</v>
      </c>
      <c r="O50" s="4156"/>
      <c r="P50" s="1840"/>
      <c r="Q50" s="2628"/>
      <c r="R50" s="2896"/>
      <c r="S50" s="117"/>
      <c r="T50" s="11"/>
      <c r="U50" s="11"/>
      <c r="V50" s="11"/>
      <c r="W50" s="11"/>
      <c r="X50" s="11"/>
      <c r="Z50" s="314"/>
      <c r="AA50" s="314"/>
      <c r="AB50" s="314"/>
      <c r="AE50" s="314"/>
      <c r="AF50" s="314"/>
      <c r="AG50" s="314"/>
      <c r="AI50" s="314"/>
      <c r="AJ50" s="314"/>
      <c r="AK50" s="314"/>
      <c r="AM50" s="314"/>
      <c r="AN50" s="314"/>
      <c r="AO50" s="314"/>
      <c r="AQ50" s="314"/>
      <c r="AR50" s="314"/>
      <c r="AS50" s="314"/>
    </row>
    <row r="51" spans="1:45" ht="12" customHeight="1">
      <c r="A51" s="117"/>
      <c r="B51" s="303" t="s">
        <v>947</v>
      </c>
      <c r="C51" s="231"/>
      <c r="D51" s="303"/>
      <c r="E51" s="303"/>
      <c r="F51" s="303"/>
      <c r="G51" s="303"/>
      <c r="H51" s="303"/>
      <c r="I51" s="303"/>
      <c r="J51" s="305"/>
      <c r="K51" s="670" t="s">
        <v>948</v>
      </c>
      <c r="L51" s="304"/>
      <c r="M51" s="304"/>
      <c r="N51" s="304"/>
      <c r="O51" s="340" t="str">
        <f>"Schedule D (Form 1040)   "&amp;TaxYear</f>
        <v>Schedule D (Form 1040)   2014</v>
      </c>
      <c r="P51" s="1842"/>
      <c r="Q51" s="2630"/>
      <c r="R51" s="117"/>
      <c r="S51" s="117"/>
      <c r="T51" s="350"/>
      <c r="U51" s="350"/>
      <c r="V51" s="350"/>
      <c r="W51" s="350"/>
      <c r="X51" s="350"/>
      <c r="Z51" s="823"/>
      <c r="AA51" s="823"/>
      <c r="AB51" s="823"/>
      <c r="AE51" s="823"/>
      <c r="AF51" s="823"/>
      <c r="AG51" s="823"/>
      <c r="AI51" s="823"/>
      <c r="AJ51" s="823"/>
      <c r="AK51" s="823"/>
      <c r="AM51" s="823"/>
      <c r="AN51" s="823"/>
      <c r="AO51" s="823"/>
      <c r="AQ51" s="823"/>
      <c r="AR51" s="823"/>
      <c r="AS51" s="823"/>
    </row>
    <row r="52" spans="1:45" ht="15" customHeight="1">
      <c r="A52" s="117"/>
      <c r="B52" s="231"/>
      <c r="C52" s="231"/>
      <c r="D52" s="303"/>
      <c r="E52" s="303"/>
      <c r="F52" s="303"/>
      <c r="G52" s="303"/>
      <c r="H52" s="303"/>
      <c r="I52" s="303"/>
      <c r="J52" s="305"/>
      <c r="K52" s="305"/>
      <c r="L52" s="304"/>
      <c r="M52" s="304"/>
      <c r="N52" s="304"/>
      <c r="O52" s="973"/>
      <c r="P52" s="1843"/>
      <c r="Q52" s="2631"/>
      <c r="R52" s="117"/>
      <c r="S52" s="117"/>
      <c r="T52" s="350"/>
      <c r="U52" s="350"/>
      <c r="V52" s="350"/>
      <c r="W52" s="350"/>
      <c r="X52" s="350"/>
      <c r="Z52" s="823"/>
      <c r="AA52" s="823"/>
      <c r="AB52" s="823"/>
      <c r="AE52" s="823"/>
      <c r="AF52" s="823"/>
      <c r="AG52" s="823"/>
      <c r="AI52" s="823"/>
      <c r="AJ52" s="823"/>
      <c r="AK52" s="823"/>
      <c r="AM52" s="823"/>
      <c r="AN52" s="823"/>
      <c r="AO52" s="823"/>
      <c r="AQ52" s="823"/>
      <c r="AR52" s="823"/>
      <c r="AS52" s="823"/>
    </row>
    <row r="53" spans="1:45" ht="15" customHeight="1" thickBot="1">
      <c r="A53" s="117"/>
      <c r="B53" s="34" t="str">
        <f>"Schedule D (1040)  "&amp;TaxYear</f>
        <v>Schedule D (1040)  2014</v>
      </c>
      <c r="C53" s="34"/>
      <c r="D53" s="303"/>
      <c r="E53" s="303"/>
      <c r="F53" s="303"/>
      <c r="G53" s="303"/>
      <c r="H53" s="303"/>
      <c r="I53" s="303"/>
      <c r="J53" s="304"/>
      <c r="K53" s="304"/>
      <c r="L53" s="304"/>
      <c r="M53" s="304"/>
      <c r="N53" s="304"/>
      <c r="O53" s="335" t="s">
        <v>763</v>
      </c>
      <c r="P53" s="1842"/>
      <c r="Q53" s="2630"/>
      <c r="R53" s="117"/>
      <c r="S53" s="117"/>
      <c r="T53" s="350"/>
      <c r="U53" s="350"/>
      <c r="V53" s="350"/>
      <c r="W53" s="350"/>
      <c r="X53" s="350"/>
      <c r="Z53" s="823"/>
      <c r="AA53" s="823"/>
      <c r="AB53" s="823"/>
      <c r="AE53" s="823"/>
      <c r="AF53" s="823"/>
      <c r="AG53" s="823"/>
      <c r="AI53" s="823"/>
      <c r="AJ53" s="823"/>
      <c r="AK53" s="823"/>
      <c r="AM53" s="823"/>
      <c r="AN53" s="823"/>
      <c r="AO53" s="823"/>
      <c r="AQ53" s="823"/>
      <c r="AR53" s="823"/>
      <c r="AS53" s="823"/>
    </row>
    <row r="54" spans="1:45" ht="3" customHeight="1">
      <c r="A54" s="117"/>
      <c r="B54" s="440"/>
      <c r="C54" s="440"/>
      <c r="D54" s="352"/>
      <c r="E54" s="352"/>
      <c r="F54" s="352"/>
      <c r="G54" s="352"/>
      <c r="H54" s="352"/>
      <c r="I54" s="352"/>
      <c r="J54" s="900"/>
      <c r="K54" s="900"/>
      <c r="L54" s="900"/>
      <c r="M54" s="900"/>
      <c r="N54" s="900"/>
      <c r="O54" s="902"/>
      <c r="P54" s="1843"/>
      <c r="Q54" s="2631"/>
      <c r="R54" s="117"/>
      <c r="S54" s="117"/>
      <c r="T54" s="350"/>
      <c r="U54" s="350"/>
      <c r="V54" s="350"/>
      <c r="W54" s="350"/>
      <c r="X54" s="350"/>
      <c r="Z54" s="823"/>
      <c r="AA54" s="823"/>
      <c r="AB54" s="823"/>
      <c r="AE54" s="823"/>
      <c r="AF54" s="823"/>
      <c r="AG54" s="823"/>
      <c r="AI54" s="823"/>
      <c r="AJ54" s="823"/>
      <c r="AK54" s="823"/>
      <c r="AM54" s="823"/>
      <c r="AN54" s="823"/>
      <c r="AO54" s="823"/>
      <c r="AQ54" s="823"/>
      <c r="AR54" s="823"/>
      <c r="AS54" s="823"/>
    </row>
    <row r="55" spans="1:45" s="992" customFormat="1" ht="20.25" customHeight="1">
      <c r="A55" s="117"/>
      <c r="B55" s="4272" t="s">
        <v>531</v>
      </c>
      <c r="C55" s="4272"/>
      <c r="D55" s="4273"/>
      <c r="E55" s="988" t="s">
        <v>434</v>
      </c>
      <c r="F55" s="988"/>
      <c r="G55" s="989"/>
      <c r="H55" s="989"/>
      <c r="I55" s="989"/>
      <c r="J55" s="990"/>
      <c r="K55" s="990"/>
      <c r="L55" s="990"/>
      <c r="M55" s="990"/>
      <c r="N55" s="990"/>
      <c r="O55" s="990"/>
      <c r="P55" s="1842"/>
      <c r="Q55" s="2630"/>
      <c r="R55" s="117"/>
      <c r="S55" s="117"/>
      <c r="T55" s="991"/>
      <c r="U55" s="991"/>
      <c r="V55" s="991"/>
      <c r="W55" s="991"/>
      <c r="X55" s="991"/>
      <c r="Y55" s="2787"/>
      <c r="Z55" s="2781"/>
      <c r="AA55" s="2781"/>
      <c r="AB55" s="2781"/>
      <c r="AC55" s="2788"/>
      <c r="AD55" s="2787"/>
      <c r="AE55" s="2781"/>
      <c r="AF55" s="2781"/>
      <c r="AG55" s="2781"/>
      <c r="AH55" s="2778"/>
      <c r="AI55" s="2781"/>
      <c r="AJ55" s="2781"/>
      <c r="AK55" s="2781"/>
      <c r="AL55" s="2778"/>
      <c r="AM55" s="2781"/>
      <c r="AN55" s="2781"/>
      <c r="AO55" s="2781"/>
      <c r="AP55" s="2787"/>
      <c r="AQ55" s="2781"/>
      <c r="AR55" s="2781"/>
      <c r="AS55" s="2781"/>
    </row>
    <row r="56" spans="1:45" ht="3.75" customHeight="1">
      <c r="A56" s="117"/>
      <c r="B56" s="218"/>
      <c r="C56" s="218"/>
      <c r="D56" s="214"/>
      <c r="E56" s="214"/>
      <c r="F56" s="214"/>
      <c r="G56" s="214"/>
      <c r="H56" s="214"/>
      <c r="I56" s="214"/>
      <c r="J56" s="974"/>
      <c r="K56" s="974"/>
      <c r="L56" s="306"/>
      <c r="M56" s="306"/>
      <c r="N56" s="306"/>
      <c r="O56" s="897"/>
      <c r="P56" s="1843"/>
      <c r="Q56" s="2631"/>
      <c r="R56" s="117"/>
      <c r="S56" s="117"/>
      <c r="T56" s="350"/>
      <c r="U56" s="350"/>
      <c r="V56" s="350"/>
      <c r="W56" s="350"/>
      <c r="X56" s="350"/>
      <c r="Z56" s="823"/>
      <c r="AA56" s="823"/>
      <c r="AB56" s="823"/>
      <c r="AE56" s="823"/>
      <c r="AF56" s="823"/>
      <c r="AG56" s="823"/>
      <c r="AI56" s="823"/>
      <c r="AJ56" s="823"/>
      <c r="AK56" s="823"/>
      <c r="AM56" s="823"/>
      <c r="AN56" s="823"/>
      <c r="AO56" s="823"/>
      <c r="AQ56" s="823"/>
      <c r="AR56" s="823"/>
      <c r="AS56" s="823"/>
    </row>
    <row r="57" spans="1:45" ht="12.75" customHeight="1">
      <c r="A57" s="117"/>
      <c r="B57" s="329"/>
      <c r="C57" s="266"/>
      <c r="D57" s="976"/>
      <c r="E57" s="976"/>
      <c r="F57" s="266"/>
      <c r="G57" s="300"/>
      <c r="H57" s="196"/>
      <c r="I57" s="196"/>
      <c r="J57" s="196"/>
      <c r="K57" s="246"/>
      <c r="L57" s="246"/>
      <c r="M57" s="1108"/>
      <c r="N57" s="4277"/>
      <c r="O57" s="4278"/>
      <c r="P57" s="1843"/>
      <c r="Q57" s="2631"/>
      <c r="R57" s="117"/>
      <c r="S57" s="117"/>
      <c r="T57" s="11"/>
      <c r="U57" s="11"/>
      <c r="V57" s="11"/>
      <c r="W57" s="11"/>
      <c r="X57" s="11"/>
      <c r="Z57" s="314"/>
      <c r="AA57" s="314"/>
      <c r="AB57" s="314"/>
      <c r="AE57" s="314"/>
      <c r="AF57" s="314"/>
      <c r="AG57" s="314"/>
      <c r="AI57" s="314"/>
      <c r="AJ57" s="314"/>
      <c r="AK57" s="314"/>
      <c r="AM57" s="314"/>
      <c r="AN57" s="314"/>
      <c r="AO57" s="314"/>
      <c r="AQ57" s="314"/>
      <c r="AR57" s="314"/>
      <c r="AS57" s="314"/>
    </row>
    <row r="58" spans="1:45" ht="12.75" customHeight="1">
      <c r="A58" s="117"/>
      <c r="B58" s="329">
        <v>16</v>
      </c>
      <c r="C58" s="266" t="s">
        <v>121</v>
      </c>
      <c r="D58" s="976"/>
      <c r="E58" s="976"/>
      <c r="F58" s="266"/>
      <c r="G58" s="300"/>
      <c r="H58" s="196"/>
      <c r="I58" s="196"/>
      <c r="J58" s="196"/>
      <c r="K58" s="246"/>
      <c r="L58" s="246" t="s">
        <v>1195</v>
      </c>
      <c r="M58" s="333">
        <f>B58</f>
        <v>16</v>
      </c>
      <c r="N58" s="4165">
        <f>SUM(N28,N50)</f>
        <v>0</v>
      </c>
      <c r="O58" s="4275"/>
      <c r="P58" s="1843"/>
      <c r="Q58" s="2631"/>
      <c r="R58" s="117"/>
      <c r="S58" s="117"/>
      <c r="T58" s="11"/>
      <c r="U58" s="11"/>
      <c r="V58" s="11"/>
      <c r="W58" s="11"/>
      <c r="X58" s="11"/>
      <c r="Z58" s="314"/>
      <c r="AA58" s="314"/>
      <c r="AB58" s="314"/>
      <c r="AE58" s="314"/>
      <c r="AF58" s="314"/>
      <c r="AG58" s="314"/>
      <c r="AI58" s="314"/>
      <c r="AJ58" s="314"/>
      <c r="AK58" s="314"/>
      <c r="AM58" s="314"/>
      <c r="AN58" s="314"/>
      <c r="AO58" s="314"/>
      <c r="AQ58" s="314"/>
      <c r="AR58" s="314"/>
      <c r="AS58" s="314"/>
    </row>
    <row r="59" spans="1:45" ht="6" customHeight="1">
      <c r="A59" s="117"/>
      <c r="B59" s="329"/>
      <c r="C59" s="266"/>
      <c r="D59" s="976"/>
      <c r="E59" s="976"/>
      <c r="F59" s="266"/>
      <c r="G59" s="300"/>
      <c r="H59" s="196"/>
      <c r="I59" s="196"/>
      <c r="J59" s="196"/>
      <c r="K59" s="246"/>
      <c r="L59" s="246"/>
      <c r="M59" s="2640"/>
      <c r="N59" s="998"/>
      <c r="O59" s="1812"/>
      <c r="P59" s="1843"/>
      <c r="Q59" s="2631"/>
      <c r="R59" s="117"/>
      <c r="S59" s="117"/>
      <c r="T59" s="11"/>
      <c r="U59" s="11"/>
      <c r="V59" s="11"/>
      <c r="W59" s="11"/>
      <c r="X59" s="11"/>
      <c r="Z59" s="314"/>
      <c r="AA59" s="314"/>
      <c r="AB59" s="314"/>
      <c r="AE59" s="314"/>
      <c r="AF59" s="314"/>
      <c r="AG59" s="314"/>
      <c r="AI59" s="314"/>
      <c r="AJ59" s="314"/>
      <c r="AK59" s="314"/>
      <c r="AM59" s="314"/>
      <c r="AN59" s="314"/>
      <c r="AO59" s="314"/>
      <c r="AQ59" s="314"/>
      <c r="AR59" s="314"/>
      <c r="AS59" s="314"/>
    </row>
    <row r="60" spans="1:45" s="978" customFormat="1" ht="11.25" customHeight="1">
      <c r="A60" s="2835" t="b">
        <f>IF(N58&gt;0,TRUE,FALSE)</f>
        <v>0</v>
      </c>
      <c r="B60" s="1644" t="s">
        <v>201</v>
      </c>
      <c r="C60" s="535" t="s">
        <v>1181</v>
      </c>
      <c r="D60" s="535"/>
      <c r="E60" s="366"/>
      <c r="F60" s="366"/>
      <c r="G60" s="366"/>
      <c r="H60" s="366"/>
      <c r="I60" s="366"/>
      <c r="J60" s="268"/>
      <c r="K60" s="268"/>
      <c r="L60" s="977"/>
      <c r="M60" s="2640"/>
      <c r="N60" s="998"/>
      <c r="O60" s="1812"/>
      <c r="P60" s="1842"/>
      <c r="Q60" s="2630"/>
      <c r="R60" s="117"/>
      <c r="S60" s="117"/>
      <c r="T60" s="315"/>
      <c r="U60" s="315"/>
      <c r="V60" s="315"/>
      <c r="W60" s="315"/>
      <c r="X60" s="315"/>
      <c r="Z60" s="823"/>
      <c r="AA60" s="823"/>
      <c r="AB60" s="823"/>
      <c r="AC60" s="4"/>
      <c r="AE60" s="823"/>
      <c r="AF60" s="823"/>
      <c r="AG60" s="823"/>
      <c r="AI60" s="823"/>
      <c r="AJ60" s="823"/>
      <c r="AK60" s="823"/>
      <c r="AM60" s="823"/>
      <c r="AN60" s="823"/>
      <c r="AO60" s="823"/>
      <c r="AQ60" s="823"/>
      <c r="AR60" s="823"/>
      <c r="AS60" s="823"/>
    </row>
    <row r="61" spans="1:45" s="978" customFormat="1" ht="11.25" customHeight="1">
      <c r="A61" s="117"/>
      <c r="B61" s="1399"/>
      <c r="C61" s="535" t="s">
        <v>1180</v>
      </c>
      <c r="D61" s="535"/>
      <c r="E61" s="366"/>
      <c r="F61" s="366"/>
      <c r="G61" s="366"/>
      <c r="H61" s="366"/>
      <c r="I61" s="366"/>
      <c r="J61" s="268"/>
      <c r="K61" s="268"/>
      <c r="L61" s="977"/>
      <c r="M61" s="2640"/>
      <c r="N61" s="998"/>
      <c r="O61" s="1812"/>
      <c r="P61" s="1842"/>
      <c r="Q61" s="2630"/>
      <c r="R61" s="117"/>
      <c r="S61" s="117"/>
      <c r="T61" s="315"/>
      <c r="U61" s="315"/>
      <c r="V61" s="315"/>
      <c r="W61" s="315"/>
      <c r="X61" s="315"/>
      <c r="Z61" s="823"/>
      <c r="AA61" s="823"/>
      <c r="AB61" s="823"/>
      <c r="AC61" s="4"/>
      <c r="AE61" s="823"/>
      <c r="AF61" s="823"/>
      <c r="AG61" s="823"/>
      <c r="AI61" s="823"/>
      <c r="AJ61" s="823"/>
      <c r="AK61" s="823"/>
      <c r="AM61" s="823"/>
      <c r="AN61" s="823"/>
      <c r="AO61" s="823"/>
      <c r="AQ61" s="823"/>
      <c r="AR61" s="823"/>
      <c r="AS61" s="823"/>
    </row>
    <row r="62" spans="1:45" s="978" customFormat="1" ht="15" customHeight="1">
      <c r="A62" s="2112" t="b">
        <f>IF(N58&lt;0,TRUE,FALSE)</f>
        <v>0</v>
      </c>
      <c r="B62" s="1644" t="s">
        <v>201</v>
      </c>
      <c r="C62" s="535" t="s">
        <v>951</v>
      </c>
      <c r="D62" s="535"/>
      <c r="E62" s="366"/>
      <c r="F62" s="366"/>
      <c r="G62" s="366"/>
      <c r="H62" s="366"/>
      <c r="I62" s="366"/>
      <c r="J62" s="268"/>
      <c r="K62" s="268"/>
      <c r="L62" s="977"/>
      <c r="M62" s="2640"/>
      <c r="N62" s="998"/>
      <c r="O62" s="1812"/>
      <c r="P62" s="1842"/>
      <c r="Q62" s="2630"/>
      <c r="R62" s="117"/>
      <c r="S62" s="117"/>
      <c r="T62" s="315"/>
      <c r="U62" s="315"/>
      <c r="V62" s="315"/>
      <c r="W62" s="315"/>
      <c r="X62" s="315"/>
      <c r="Z62" s="823"/>
      <c r="AA62" s="823"/>
      <c r="AB62" s="823"/>
      <c r="AC62" s="4"/>
      <c r="AE62" s="823"/>
      <c r="AF62" s="823"/>
      <c r="AG62" s="823"/>
      <c r="AI62" s="823"/>
      <c r="AJ62" s="823"/>
      <c r="AK62" s="823"/>
      <c r="AM62" s="823"/>
      <c r="AN62" s="823"/>
      <c r="AO62" s="823"/>
      <c r="AQ62" s="823"/>
      <c r="AR62" s="823"/>
      <c r="AS62" s="823"/>
    </row>
    <row r="63" spans="1:45" s="978" customFormat="1" ht="13.5" customHeight="1">
      <c r="A63" s="117"/>
      <c r="B63" s="1399"/>
      <c r="C63" s="535" t="s">
        <v>949</v>
      </c>
      <c r="D63" s="535"/>
      <c r="E63" s="366"/>
      <c r="F63" s="366"/>
      <c r="G63" s="366"/>
      <c r="H63" s="366"/>
      <c r="I63" s="366"/>
      <c r="J63" s="268"/>
      <c r="K63" s="268"/>
      <c r="L63" s="977"/>
      <c r="M63" s="2640"/>
      <c r="N63" s="998"/>
      <c r="O63" s="1812"/>
      <c r="P63" s="1842"/>
      <c r="Q63" s="2630"/>
      <c r="R63" s="117"/>
      <c r="S63" s="117"/>
      <c r="T63" s="315"/>
      <c r="U63" s="315"/>
      <c r="V63" s="315"/>
      <c r="W63" s="315"/>
      <c r="X63" s="315"/>
      <c r="Z63" s="823"/>
      <c r="AA63" s="823"/>
      <c r="AB63" s="823"/>
      <c r="AC63" s="4"/>
      <c r="AE63" s="823"/>
      <c r="AF63" s="823"/>
      <c r="AG63" s="823"/>
      <c r="AI63" s="823"/>
      <c r="AJ63" s="823"/>
      <c r="AK63" s="823"/>
      <c r="AM63" s="823"/>
      <c r="AN63" s="823"/>
      <c r="AO63" s="823"/>
      <c r="AQ63" s="823"/>
      <c r="AR63" s="823"/>
      <c r="AS63" s="823"/>
    </row>
    <row r="64" spans="1:45" s="978" customFormat="1" ht="15" customHeight="1">
      <c r="A64" s="2112" t="b">
        <f>IF(N58=0,TRUE,FALSE)</f>
        <v>1</v>
      </c>
      <c r="B64" s="1644" t="s">
        <v>201</v>
      </c>
      <c r="C64" s="535" t="s">
        <v>952</v>
      </c>
      <c r="D64" s="535"/>
      <c r="E64" s="366"/>
      <c r="F64" s="366"/>
      <c r="G64" s="366"/>
      <c r="H64" s="366"/>
      <c r="I64" s="366"/>
      <c r="J64" s="268"/>
      <c r="K64" s="268"/>
      <c r="L64" s="977"/>
      <c r="M64" s="2640"/>
      <c r="N64" s="998"/>
      <c r="O64" s="1812"/>
      <c r="P64" s="1842"/>
      <c r="Q64" s="2630"/>
      <c r="R64" s="117"/>
      <c r="S64" s="117"/>
      <c r="T64" s="315"/>
      <c r="U64" s="315"/>
      <c r="V64" s="315"/>
      <c r="W64" s="315"/>
      <c r="X64" s="315"/>
      <c r="Z64" s="823"/>
      <c r="AA64" s="823"/>
      <c r="AB64" s="823"/>
      <c r="AC64" s="4"/>
      <c r="AE64" s="823"/>
      <c r="AF64" s="823"/>
      <c r="AG64" s="823"/>
      <c r="AI64" s="823"/>
      <c r="AJ64" s="823"/>
      <c r="AK64" s="823"/>
      <c r="AM64" s="823"/>
      <c r="AN64" s="823"/>
      <c r="AO64" s="823"/>
      <c r="AQ64" s="823"/>
      <c r="AR64" s="823"/>
      <c r="AS64" s="823"/>
    </row>
    <row r="65" spans="1:45" s="978" customFormat="1" ht="11.25" customHeight="1">
      <c r="A65" s="117"/>
      <c r="B65" s="1399"/>
      <c r="C65" s="535" t="s">
        <v>950</v>
      </c>
      <c r="D65" s="535"/>
      <c r="E65" s="366"/>
      <c r="F65" s="366"/>
      <c r="G65" s="366"/>
      <c r="H65" s="366"/>
      <c r="I65" s="366"/>
      <c r="J65" s="268"/>
      <c r="K65" s="268"/>
      <c r="L65" s="977"/>
      <c r="M65" s="2640"/>
      <c r="N65" s="998"/>
      <c r="O65" s="1812"/>
      <c r="P65" s="1842"/>
      <c r="Q65" s="2630"/>
      <c r="R65" s="117"/>
      <c r="S65" s="117"/>
      <c r="T65" s="315"/>
      <c r="U65" s="315"/>
      <c r="V65" s="315"/>
      <c r="W65" s="315"/>
      <c r="X65" s="315"/>
      <c r="Z65" s="823"/>
      <c r="AA65" s="823"/>
      <c r="AB65" s="823"/>
      <c r="AC65" s="4"/>
      <c r="AE65" s="823"/>
      <c r="AF65" s="823"/>
      <c r="AG65" s="823"/>
      <c r="AI65" s="823"/>
      <c r="AJ65" s="823"/>
      <c r="AK65" s="823"/>
      <c r="AM65" s="823"/>
      <c r="AN65" s="823"/>
      <c r="AO65" s="823"/>
      <c r="AQ65" s="823"/>
      <c r="AR65" s="823"/>
      <c r="AS65" s="823"/>
    </row>
    <row r="66" spans="1:45" s="978" customFormat="1" ht="8.25" customHeight="1">
      <c r="A66" s="117"/>
      <c r="B66" s="438"/>
      <c r="C66" s="366"/>
      <c r="D66" s="366"/>
      <c r="E66" s="366"/>
      <c r="F66" s="366"/>
      <c r="G66" s="366"/>
      <c r="H66" s="366"/>
      <c r="I66" s="366"/>
      <c r="J66" s="268"/>
      <c r="K66" s="268"/>
      <c r="L66" s="977"/>
      <c r="M66" s="2640"/>
      <c r="N66" s="998"/>
      <c r="O66" s="1812"/>
      <c r="P66" s="1842"/>
      <c r="Q66" s="2630"/>
      <c r="R66" s="117"/>
      <c r="S66" s="117"/>
      <c r="T66" s="315"/>
      <c r="U66" s="315"/>
      <c r="V66" s="315"/>
      <c r="W66" s="315"/>
      <c r="X66" s="315"/>
      <c r="Z66" s="823"/>
      <c r="AA66" s="823"/>
      <c r="AB66" s="823"/>
      <c r="AC66" s="4"/>
      <c r="AE66" s="823"/>
      <c r="AF66" s="823"/>
      <c r="AG66" s="823"/>
      <c r="AI66" s="823"/>
      <c r="AJ66" s="823"/>
      <c r="AK66" s="823"/>
      <c r="AM66" s="823"/>
      <c r="AN66" s="823"/>
      <c r="AO66" s="823"/>
      <c r="AQ66" s="823"/>
      <c r="AR66" s="823"/>
      <c r="AS66" s="823"/>
    </row>
    <row r="67" spans="1:45" s="984" customFormat="1" ht="13.5" customHeight="1">
      <c r="A67" s="117"/>
      <c r="B67" s="995">
        <v>17</v>
      </c>
      <c r="C67" s="976" t="s">
        <v>40</v>
      </c>
      <c r="D67" s="976"/>
      <c r="E67" s="976"/>
      <c r="F67" s="960"/>
      <c r="G67" s="960"/>
      <c r="H67" s="960"/>
      <c r="I67" s="960"/>
      <c r="J67" s="981"/>
      <c r="K67" s="981"/>
      <c r="L67" s="982"/>
      <c r="M67" s="2640"/>
      <c r="N67" s="998"/>
      <c r="O67" s="1812"/>
      <c r="P67" s="1843"/>
      <c r="Q67" s="2631"/>
      <c r="R67" s="117"/>
      <c r="S67" s="117"/>
      <c r="T67" s="983"/>
      <c r="U67" s="983"/>
      <c r="V67" s="983"/>
      <c r="W67" s="983"/>
      <c r="X67" s="983"/>
      <c r="Z67" s="2782"/>
      <c r="AA67" s="2782"/>
      <c r="AB67" s="2782"/>
      <c r="AC67" s="2788"/>
      <c r="AE67" s="2782"/>
      <c r="AF67" s="2782"/>
      <c r="AG67" s="2782"/>
      <c r="AI67" s="2782"/>
      <c r="AJ67" s="2782"/>
      <c r="AK67" s="2782"/>
      <c r="AM67" s="2782"/>
      <c r="AN67" s="2782"/>
      <c r="AO67" s="2782"/>
      <c r="AQ67" s="2782"/>
      <c r="AR67" s="2782"/>
      <c r="AS67" s="2782"/>
    </row>
    <row r="68" spans="1:45" s="978" customFormat="1" ht="11.25" customHeight="1">
      <c r="A68" s="117"/>
      <c r="B68" s="438"/>
      <c r="C68" s="1640" t="str">
        <f>IF(AND(A60,N50&gt;0,N58&gt;0),"X","")</f>
        <v/>
      </c>
      <c r="D68" s="997"/>
      <c r="E68" s="366" t="s">
        <v>311</v>
      </c>
      <c r="F68" s="366"/>
      <c r="G68" s="366"/>
      <c r="H68" s="366"/>
      <c r="I68" s="366"/>
      <c r="J68" s="268"/>
      <c r="K68" s="268"/>
      <c r="L68" s="977"/>
      <c r="M68" s="2640"/>
      <c r="N68" s="998"/>
      <c r="O68" s="1812"/>
      <c r="P68" s="1844"/>
      <c r="Q68" s="2632"/>
      <c r="R68" s="117"/>
      <c r="S68" s="117"/>
      <c r="T68" s="315"/>
      <c r="U68" s="315"/>
      <c r="V68" s="315"/>
      <c r="W68" s="315"/>
      <c r="X68" s="315"/>
      <c r="Z68" s="823"/>
      <c r="AA68" s="823"/>
      <c r="AB68" s="823"/>
      <c r="AC68" s="4"/>
      <c r="AE68" s="823"/>
      <c r="AF68" s="823"/>
      <c r="AG68" s="823"/>
      <c r="AI68" s="823"/>
      <c r="AJ68" s="823"/>
      <c r="AK68" s="823"/>
      <c r="AM68" s="823"/>
      <c r="AN68" s="823"/>
      <c r="AO68" s="823"/>
      <c r="AQ68" s="823"/>
      <c r="AR68" s="823"/>
      <c r="AS68" s="823"/>
    </row>
    <row r="69" spans="1:45" s="978" customFormat="1" ht="3" customHeight="1">
      <c r="A69" s="117"/>
      <c r="B69" s="438"/>
      <c r="C69" s="366"/>
      <c r="D69" s="366"/>
      <c r="E69" s="366"/>
      <c r="F69" s="366"/>
      <c r="G69" s="366"/>
      <c r="H69" s="366"/>
      <c r="I69" s="366"/>
      <c r="J69" s="268"/>
      <c r="K69" s="268"/>
      <c r="L69" s="977"/>
      <c r="M69" s="2640"/>
      <c r="N69" s="998"/>
      <c r="O69" s="1812"/>
      <c r="P69" s="1844"/>
      <c r="Q69" s="2632"/>
      <c r="R69" s="117"/>
      <c r="S69" s="117"/>
      <c r="T69" s="315"/>
      <c r="U69" s="315"/>
      <c r="V69" s="315"/>
      <c r="W69" s="315"/>
      <c r="X69" s="315"/>
      <c r="Z69" s="823"/>
      <c r="AA69" s="823"/>
      <c r="AB69" s="823"/>
      <c r="AC69" s="4"/>
      <c r="AE69" s="823"/>
      <c r="AF69" s="823"/>
      <c r="AG69" s="823"/>
      <c r="AI69" s="823"/>
      <c r="AJ69" s="823"/>
      <c r="AK69" s="823"/>
      <c r="AM69" s="823"/>
      <c r="AN69" s="823"/>
      <c r="AO69" s="823"/>
      <c r="AQ69" s="823"/>
      <c r="AR69" s="823"/>
      <c r="AS69" s="823"/>
    </row>
    <row r="70" spans="1:45" s="978" customFormat="1" ht="11.25" customHeight="1">
      <c r="A70" s="117"/>
      <c r="B70" s="438"/>
      <c r="C70" s="1640" t="str">
        <f>IF(NOT(A60),"",IF(AND(N50&gt;0,N58&gt;0),"","X"))</f>
        <v/>
      </c>
      <c r="D70" s="997"/>
      <c r="E70" s="366" t="s">
        <v>30</v>
      </c>
      <c r="F70" s="366"/>
      <c r="G70" s="366"/>
      <c r="H70" s="366"/>
      <c r="I70" s="366"/>
      <c r="J70" s="268"/>
      <c r="K70" s="268"/>
      <c r="L70" s="977"/>
      <c r="M70" s="2640"/>
      <c r="N70" s="998"/>
      <c r="O70" s="1812"/>
      <c r="P70" s="1844"/>
      <c r="Q70" s="2632"/>
      <c r="R70" s="1864" t="s">
        <v>152</v>
      </c>
      <c r="S70" s="117"/>
      <c r="T70" s="315"/>
      <c r="U70" s="315"/>
      <c r="V70" s="315"/>
      <c r="W70" s="315"/>
      <c r="X70" s="315"/>
      <c r="Z70" s="823"/>
      <c r="AA70" s="823"/>
      <c r="AB70" s="823"/>
      <c r="AC70" s="4"/>
      <c r="AE70" s="823"/>
      <c r="AF70" s="823"/>
      <c r="AG70" s="823"/>
      <c r="AI70" s="823"/>
      <c r="AJ70" s="823"/>
      <c r="AK70" s="823"/>
      <c r="AM70" s="823"/>
      <c r="AN70" s="823"/>
      <c r="AO70" s="823"/>
      <c r="AQ70" s="823"/>
      <c r="AR70" s="823"/>
      <c r="AS70" s="823"/>
    </row>
    <row r="71" spans="1:45" s="978" customFormat="1" ht="15" customHeight="1">
      <c r="A71" s="117"/>
      <c r="B71" s="438"/>
      <c r="C71" s="366"/>
      <c r="D71" s="366"/>
      <c r="E71" s="366"/>
      <c r="F71" s="366"/>
      <c r="G71" s="366"/>
      <c r="H71" s="366"/>
      <c r="I71" s="366"/>
      <c r="J71" s="268"/>
      <c r="K71" s="268"/>
      <c r="L71" s="977"/>
      <c r="M71" s="2640"/>
      <c r="N71" s="998"/>
      <c r="O71" s="1812"/>
      <c r="P71" s="1844"/>
      <c r="Q71" s="2632"/>
      <c r="R71" s="1864" t="s">
        <v>706</v>
      </c>
      <c r="S71" s="117"/>
      <c r="T71" s="315"/>
      <c r="U71" s="315"/>
      <c r="V71" s="315"/>
      <c r="W71" s="315"/>
      <c r="X71" s="315"/>
      <c r="Z71" s="823"/>
      <c r="AA71" s="823"/>
      <c r="AB71" s="823"/>
      <c r="AC71" s="4"/>
      <c r="AE71" s="823"/>
      <c r="AF71" s="823"/>
      <c r="AG71" s="823"/>
      <c r="AI71" s="823"/>
      <c r="AJ71" s="823"/>
      <c r="AK71" s="823"/>
      <c r="AM71" s="823"/>
      <c r="AN71" s="823"/>
      <c r="AO71" s="823"/>
      <c r="AQ71" s="823"/>
      <c r="AR71" s="823"/>
      <c r="AS71" s="823"/>
    </row>
    <row r="72" spans="1:45" s="978" customFormat="1" ht="12.75" customHeight="1">
      <c r="A72" s="117"/>
      <c r="B72" s="438">
        <v>18</v>
      </c>
      <c r="C72" s="1813" t="s">
        <v>1183</v>
      </c>
      <c r="D72" s="266"/>
      <c r="E72" s="366"/>
      <c r="F72" s="366"/>
      <c r="G72" s="366"/>
      <c r="H72" s="366"/>
      <c r="I72" s="366"/>
      <c r="J72" s="268"/>
      <c r="K72" s="268"/>
      <c r="L72" s="246" t="s">
        <v>1499</v>
      </c>
      <c r="M72" s="333">
        <f>B72</f>
        <v>18</v>
      </c>
      <c r="N72" s="4165" t="str">
        <f>IF(R72&lt;&gt;"",R72,IF(AND(A60,C68="X"),'Sch. D WS'!N23,""))</f>
        <v/>
      </c>
      <c r="O72" s="4271"/>
      <c r="P72" s="1844"/>
      <c r="Q72" s="2632"/>
      <c r="R72" s="2113"/>
      <c r="S72" s="117"/>
      <c r="T72" s="315"/>
      <c r="U72" s="315"/>
      <c r="V72" s="315"/>
      <c r="W72" s="315"/>
      <c r="X72" s="315"/>
      <c r="Z72" s="823"/>
      <c r="AA72" s="823"/>
      <c r="AB72" s="823"/>
      <c r="AC72" s="4"/>
      <c r="AE72" s="823"/>
      <c r="AF72" s="823"/>
      <c r="AG72" s="823"/>
      <c r="AI72" s="823"/>
      <c r="AJ72" s="823"/>
      <c r="AK72" s="823"/>
      <c r="AM72" s="823"/>
      <c r="AN72" s="823"/>
      <c r="AO72" s="823"/>
      <c r="AQ72" s="823"/>
      <c r="AR72" s="823"/>
      <c r="AS72" s="823"/>
    </row>
    <row r="73" spans="1:45" s="978" customFormat="1" ht="9" customHeight="1">
      <c r="A73" s="117"/>
      <c r="B73" s="270"/>
      <c r="C73" s="266"/>
      <c r="D73" s="266"/>
      <c r="E73" s="266"/>
      <c r="F73" s="266"/>
      <c r="G73" s="266"/>
      <c r="H73" s="266"/>
      <c r="I73" s="266"/>
      <c r="J73" s="268"/>
      <c r="K73" s="268"/>
      <c r="L73" s="268"/>
      <c r="M73" s="2640"/>
      <c r="N73" s="1814"/>
      <c r="O73" s="1815"/>
      <c r="P73" s="1830"/>
      <c r="Q73" s="2633"/>
      <c r="R73" s="117"/>
      <c r="S73" s="117"/>
      <c r="T73" s="11"/>
      <c r="U73" s="11"/>
      <c r="V73" s="11"/>
      <c r="W73" s="11"/>
      <c r="X73" s="11"/>
      <c r="Z73" s="314"/>
      <c r="AA73" s="314"/>
      <c r="AB73" s="314"/>
      <c r="AC73" s="4"/>
      <c r="AE73" s="314"/>
      <c r="AF73" s="314"/>
      <c r="AG73" s="314"/>
      <c r="AI73" s="314"/>
      <c r="AJ73" s="314"/>
      <c r="AK73" s="314"/>
      <c r="AM73" s="314"/>
      <c r="AN73" s="314"/>
      <c r="AO73" s="314"/>
      <c r="AQ73" s="314"/>
      <c r="AR73" s="314"/>
      <c r="AS73" s="314"/>
    </row>
    <row r="74" spans="1:45" s="986" customFormat="1" ht="11.25" customHeight="1">
      <c r="A74" s="117"/>
      <c r="B74" s="438">
        <v>19</v>
      </c>
      <c r="C74" s="1813" t="s">
        <v>1182</v>
      </c>
      <c r="D74" s="980"/>
      <c r="E74" s="985"/>
      <c r="F74" s="985"/>
      <c r="G74" s="985"/>
      <c r="H74" s="985"/>
      <c r="I74" s="985"/>
      <c r="J74" s="979"/>
      <c r="K74" s="979"/>
      <c r="L74" s="975"/>
      <c r="M74" s="2640"/>
      <c r="N74" s="998"/>
      <c r="O74" s="1812"/>
      <c r="P74" s="1844"/>
      <c r="Q74" s="2632"/>
      <c r="R74" s="117"/>
      <c r="S74" s="117"/>
      <c r="T74" s="987"/>
      <c r="U74" s="987"/>
      <c r="V74" s="987"/>
      <c r="W74" s="987"/>
      <c r="X74" s="987"/>
      <c r="Z74" s="2783"/>
      <c r="AA74" s="2783"/>
      <c r="AB74" s="2783"/>
      <c r="AC74" s="957"/>
      <c r="AE74" s="2783"/>
      <c r="AF74" s="2783"/>
      <c r="AG74" s="2783"/>
      <c r="AI74" s="2783"/>
      <c r="AJ74" s="2783"/>
      <c r="AK74" s="2783"/>
      <c r="AM74" s="2783"/>
      <c r="AN74" s="2783"/>
      <c r="AO74" s="2783"/>
      <c r="AQ74" s="2783"/>
      <c r="AR74" s="2783"/>
      <c r="AS74" s="2783"/>
    </row>
    <row r="75" spans="1:45" s="978" customFormat="1" ht="13.5" customHeight="1">
      <c r="A75" s="117"/>
      <c r="B75" s="438"/>
      <c r="C75" s="1683" t="s">
        <v>31</v>
      </c>
      <c r="D75" s="266"/>
      <c r="E75" s="366"/>
      <c r="F75" s="366"/>
      <c r="G75" s="366"/>
      <c r="H75" s="366"/>
      <c r="I75" s="366"/>
      <c r="J75" s="268"/>
      <c r="K75" s="268"/>
      <c r="L75" s="246" t="s">
        <v>984</v>
      </c>
      <c r="M75" s="333">
        <f>B74</f>
        <v>19</v>
      </c>
      <c r="N75" s="4215"/>
      <c r="O75" s="4274"/>
      <c r="P75" s="1844"/>
      <c r="Q75" s="2632"/>
      <c r="R75" s="117"/>
      <c r="S75" s="117"/>
      <c r="T75" s="315"/>
      <c r="U75" s="315"/>
      <c r="V75" s="315"/>
      <c r="W75" s="315"/>
      <c r="X75" s="315"/>
      <c r="Z75" s="823"/>
      <c r="AA75" s="823"/>
      <c r="AB75" s="823"/>
      <c r="AC75" s="4"/>
      <c r="AE75" s="823"/>
      <c r="AF75" s="823"/>
      <c r="AG75" s="823"/>
      <c r="AI75" s="823"/>
      <c r="AJ75" s="823"/>
      <c r="AK75" s="823"/>
      <c r="AM75" s="823"/>
      <c r="AN75" s="823"/>
      <c r="AO75" s="823"/>
      <c r="AQ75" s="823"/>
      <c r="AR75" s="823"/>
      <c r="AS75" s="823"/>
    </row>
    <row r="76" spans="1:45" s="978" customFormat="1" ht="11.25" customHeight="1">
      <c r="A76" s="117"/>
      <c r="B76" s="270"/>
      <c r="C76" s="266"/>
      <c r="D76" s="266"/>
      <c r="E76" s="266"/>
      <c r="F76" s="266"/>
      <c r="G76" s="266"/>
      <c r="H76" s="266"/>
      <c r="I76" s="266"/>
      <c r="J76" s="268"/>
      <c r="K76" s="268"/>
      <c r="L76" s="268"/>
      <c r="M76" s="2640"/>
      <c r="N76" s="4320" t="str">
        <f>IF(R87&gt;0,"The value in Line 21 must be shown as a negative amount.","")</f>
        <v/>
      </c>
      <c r="O76" s="4321"/>
      <c r="P76" s="1830"/>
      <c r="Q76" s="2633"/>
      <c r="R76" s="117"/>
      <c r="S76" s="117"/>
      <c r="T76" s="11"/>
      <c r="U76" s="11"/>
      <c r="V76" s="11"/>
      <c r="W76" s="11"/>
      <c r="X76" s="11"/>
      <c r="Z76" s="314"/>
      <c r="AA76" s="314"/>
      <c r="AB76" s="314"/>
      <c r="AC76" s="4"/>
      <c r="AE76" s="314"/>
      <c r="AF76" s="314"/>
      <c r="AG76" s="314"/>
      <c r="AI76" s="314"/>
      <c r="AJ76" s="314"/>
      <c r="AK76" s="314"/>
      <c r="AM76" s="314"/>
      <c r="AN76" s="314"/>
      <c r="AO76" s="314"/>
      <c r="AQ76" s="314"/>
      <c r="AR76" s="314"/>
      <c r="AS76" s="314"/>
    </row>
    <row r="77" spans="1:45" s="984" customFormat="1" ht="15" customHeight="1">
      <c r="A77" s="117"/>
      <c r="B77" s="995">
        <v>20</v>
      </c>
      <c r="C77" s="976" t="s">
        <v>41</v>
      </c>
      <c r="D77" s="976"/>
      <c r="E77" s="976"/>
      <c r="F77" s="976"/>
      <c r="G77" s="976"/>
      <c r="H77" s="976"/>
      <c r="I77" s="976"/>
      <c r="J77" s="981"/>
      <c r="K77" s="981"/>
      <c r="L77" s="981"/>
      <c r="M77" s="2640"/>
      <c r="N77" s="4322"/>
      <c r="O77" s="4323"/>
      <c r="P77" s="1845"/>
      <c r="Q77" s="2634"/>
      <c r="R77" s="117"/>
      <c r="S77" s="117"/>
      <c r="T77" s="917"/>
      <c r="U77" s="917"/>
      <c r="V77" s="917"/>
      <c r="W77" s="917"/>
      <c r="X77" s="917"/>
      <c r="Z77" s="2781"/>
      <c r="AA77" s="2781"/>
      <c r="AB77" s="2781"/>
      <c r="AC77" s="2788"/>
      <c r="AE77" s="2781"/>
      <c r="AF77" s="2781"/>
      <c r="AG77" s="2781"/>
      <c r="AI77" s="2781"/>
      <c r="AJ77" s="2781"/>
      <c r="AK77" s="2781"/>
      <c r="AM77" s="2781"/>
      <c r="AN77" s="2781"/>
      <c r="AO77" s="2781"/>
      <c r="AQ77" s="2781"/>
      <c r="AR77" s="2781"/>
      <c r="AS77" s="2781"/>
    </row>
    <row r="78" spans="1:45" s="978" customFormat="1" ht="11.25" customHeight="1">
      <c r="A78" s="117"/>
      <c r="B78" s="438"/>
      <c r="C78" s="1640" t="str">
        <f>IF(AND(A60,C68="X"),IF(AND(OR(N72="",N72=0),OR(N75="",N75=0)),"X",""),"")</f>
        <v/>
      </c>
      <c r="D78" s="997"/>
      <c r="E78" s="192" t="s">
        <v>1516</v>
      </c>
      <c r="F78" s="366"/>
      <c r="G78" s="366"/>
      <c r="H78" s="366"/>
      <c r="I78" s="366"/>
      <c r="J78" s="268"/>
      <c r="K78" s="268"/>
      <c r="L78" s="977"/>
      <c r="M78" s="2640"/>
      <c r="N78" s="4322"/>
      <c r="O78" s="4323"/>
      <c r="P78" s="1844"/>
      <c r="Q78" s="2632"/>
      <c r="R78" s="117"/>
      <c r="S78" s="117"/>
      <c r="T78" s="315"/>
      <c r="U78" s="315"/>
      <c r="V78" s="315"/>
      <c r="W78" s="315"/>
      <c r="X78" s="315"/>
      <c r="Z78" s="823"/>
      <c r="AA78" s="823"/>
      <c r="AB78" s="823"/>
      <c r="AC78" s="4"/>
      <c r="AE78" s="823"/>
      <c r="AF78" s="823"/>
      <c r="AG78" s="823"/>
      <c r="AI78" s="823"/>
      <c r="AJ78" s="823"/>
      <c r="AK78" s="823"/>
      <c r="AM78" s="823"/>
      <c r="AN78" s="823"/>
      <c r="AO78" s="823"/>
      <c r="AQ78" s="823"/>
      <c r="AR78" s="823"/>
      <c r="AS78" s="823"/>
    </row>
    <row r="79" spans="1:45" s="978" customFormat="1" ht="15" customHeight="1">
      <c r="A79" s="117"/>
      <c r="B79" s="270"/>
      <c r="C79" s="266"/>
      <c r="D79" s="266"/>
      <c r="E79" s="1683" t="s">
        <v>1517</v>
      </c>
      <c r="F79" s="266"/>
      <c r="G79" s="266"/>
      <c r="H79" s="266"/>
      <c r="I79" s="266"/>
      <c r="J79" s="268"/>
      <c r="K79" s="977"/>
      <c r="L79" s="268"/>
      <c r="M79" s="2640"/>
      <c r="N79" s="4322"/>
      <c r="O79" s="4323"/>
      <c r="P79" s="1830"/>
      <c r="Q79" s="2633"/>
      <c r="R79" s="117"/>
      <c r="S79" s="117"/>
      <c r="T79" s="11"/>
      <c r="U79" s="11"/>
      <c r="V79" s="11"/>
      <c r="W79" s="11"/>
      <c r="X79" s="11"/>
      <c r="Z79" s="314"/>
      <c r="AA79" s="314"/>
      <c r="AB79" s="314"/>
      <c r="AC79" s="4"/>
      <c r="AE79" s="314"/>
      <c r="AF79" s="314"/>
      <c r="AG79" s="314"/>
      <c r="AI79" s="314"/>
      <c r="AJ79" s="314"/>
      <c r="AK79" s="314"/>
      <c r="AM79" s="314"/>
      <c r="AN79" s="314"/>
      <c r="AO79" s="314"/>
      <c r="AQ79" s="314"/>
      <c r="AR79" s="314"/>
      <c r="AS79" s="314"/>
    </row>
    <row r="80" spans="1:45" s="978" customFormat="1" ht="15" customHeight="1">
      <c r="A80" s="117"/>
      <c r="B80" s="270"/>
      <c r="C80" s="266"/>
      <c r="D80" s="266"/>
      <c r="E80" s="1683" t="s">
        <v>1518</v>
      </c>
      <c r="F80" s="266"/>
      <c r="G80" s="266"/>
      <c r="H80" s="266"/>
      <c r="I80" s="266"/>
      <c r="J80" s="268"/>
      <c r="K80" s="268"/>
      <c r="L80" s="268"/>
      <c r="M80" s="2640"/>
      <c r="N80" s="4322"/>
      <c r="O80" s="4323"/>
      <c r="P80" s="1830"/>
      <c r="Q80" s="2633"/>
      <c r="R80" s="117"/>
      <c r="S80" s="117"/>
      <c r="T80" s="11"/>
      <c r="U80" s="11"/>
      <c r="V80" s="11"/>
      <c r="W80" s="11"/>
      <c r="X80" s="11"/>
      <c r="Z80" s="314"/>
      <c r="AA80" s="314"/>
      <c r="AB80" s="314"/>
      <c r="AC80" s="4"/>
      <c r="AE80" s="314"/>
      <c r="AF80" s="314"/>
      <c r="AG80" s="314"/>
      <c r="AI80" s="314"/>
      <c r="AJ80" s="314"/>
      <c r="AK80" s="314"/>
      <c r="AM80" s="314"/>
      <c r="AN80" s="314"/>
      <c r="AO80" s="314"/>
      <c r="AQ80" s="314"/>
      <c r="AR80" s="314"/>
      <c r="AS80" s="314"/>
    </row>
    <row r="81" spans="1:45" s="978" customFormat="1" ht="8.25" customHeight="1">
      <c r="A81" s="117"/>
      <c r="B81" s="270"/>
      <c r="C81" s="266"/>
      <c r="D81" s="266"/>
      <c r="E81" s="266"/>
      <c r="F81" s="266"/>
      <c r="G81" s="266"/>
      <c r="H81" s="266"/>
      <c r="I81" s="266"/>
      <c r="J81" s="268"/>
      <c r="K81" s="268"/>
      <c r="L81" s="268"/>
      <c r="M81" s="2640"/>
      <c r="N81" s="4322"/>
      <c r="O81" s="4323"/>
      <c r="P81" s="1830"/>
      <c r="Q81" s="2633"/>
      <c r="R81" s="117"/>
      <c r="S81" s="117"/>
      <c r="T81" s="11"/>
      <c r="U81" s="11"/>
      <c r="V81" s="11"/>
      <c r="W81" s="11"/>
      <c r="X81" s="11"/>
      <c r="Z81" s="314"/>
      <c r="AA81" s="314"/>
      <c r="AB81" s="314"/>
      <c r="AC81" s="4"/>
      <c r="AE81" s="314"/>
      <c r="AF81" s="314"/>
      <c r="AG81" s="314"/>
      <c r="AI81" s="314"/>
      <c r="AJ81" s="314"/>
      <c r="AK81" s="314"/>
      <c r="AM81" s="314"/>
      <c r="AN81" s="314"/>
      <c r="AO81" s="314"/>
      <c r="AQ81" s="314"/>
      <c r="AR81" s="314"/>
      <c r="AS81" s="314"/>
    </row>
    <row r="82" spans="1:45" s="978" customFormat="1" ht="11.25" customHeight="1">
      <c r="A82" s="117"/>
      <c r="B82" s="438"/>
      <c r="C82" s="1640" t="str">
        <f>IF(AND(A60,C68="X"),IF(AND(OR(N72="",N72=0),OR(N75="",N75=0)),"","X"),"")</f>
        <v/>
      </c>
      <c r="D82" s="997"/>
      <c r="E82" s="192" t="s">
        <v>1519</v>
      </c>
      <c r="F82" s="366"/>
      <c r="G82" s="366"/>
      <c r="H82" s="366"/>
      <c r="I82" s="366"/>
      <c r="J82" s="268"/>
      <c r="K82" s="268"/>
      <c r="L82" s="977"/>
      <c r="M82" s="2640"/>
      <c r="N82" s="4322"/>
      <c r="O82" s="4323"/>
      <c r="P82" s="1844"/>
      <c r="Q82" s="2632"/>
      <c r="R82" s="117"/>
      <c r="S82" s="117"/>
      <c r="T82" s="315"/>
      <c r="U82" s="315"/>
      <c r="V82" s="315"/>
      <c r="W82" s="315"/>
      <c r="X82" s="315"/>
      <c r="Z82" s="823"/>
      <c r="AA82" s="823"/>
      <c r="AB82" s="823"/>
      <c r="AC82" s="4"/>
      <c r="AE82" s="823"/>
      <c r="AF82" s="823"/>
      <c r="AG82" s="823"/>
      <c r="AI82" s="823"/>
      <c r="AJ82" s="823"/>
      <c r="AK82" s="823"/>
      <c r="AM82" s="823"/>
      <c r="AN82" s="823"/>
      <c r="AO82" s="823"/>
      <c r="AQ82" s="823"/>
      <c r="AR82" s="823"/>
      <c r="AS82" s="823"/>
    </row>
    <row r="83" spans="1:45" s="978" customFormat="1" ht="15" customHeight="1">
      <c r="A83" s="117"/>
      <c r="B83" s="270"/>
      <c r="C83" s="266"/>
      <c r="D83" s="266"/>
      <c r="E83" s="1683" t="s">
        <v>1520</v>
      </c>
      <c r="F83" s="266"/>
      <c r="G83" s="266"/>
      <c r="H83" s="266"/>
      <c r="I83" s="266"/>
      <c r="J83" s="268"/>
      <c r="K83" s="268"/>
      <c r="L83" s="268"/>
      <c r="M83" s="2640"/>
      <c r="N83" s="4322"/>
      <c r="O83" s="4323"/>
      <c r="P83" s="1830"/>
      <c r="Q83" s="2633"/>
      <c r="R83" s="117"/>
      <c r="S83" s="117"/>
      <c r="T83" s="11"/>
      <c r="U83" s="11"/>
      <c r="V83" s="11"/>
      <c r="W83" s="11"/>
      <c r="X83" s="11"/>
      <c r="Z83" s="314"/>
      <c r="AA83" s="314"/>
      <c r="AB83" s="314"/>
      <c r="AC83" s="4"/>
      <c r="AE83" s="314"/>
      <c r="AF83" s="314"/>
      <c r="AG83" s="314"/>
      <c r="AI83" s="314"/>
      <c r="AJ83" s="314"/>
      <c r="AK83" s="314"/>
      <c r="AM83" s="314"/>
      <c r="AN83" s="314"/>
      <c r="AO83" s="314"/>
      <c r="AQ83" s="314"/>
      <c r="AR83" s="314"/>
      <c r="AS83" s="314"/>
    </row>
    <row r="84" spans="1:45" s="978" customFormat="1" ht="15.75" customHeight="1">
      <c r="A84" s="117"/>
      <c r="B84" s="270"/>
      <c r="C84" s="266"/>
      <c r="D84" s="266"/>
      <c r="E84" s="266"/>
      <c r="F84" s="266"/>
      <c r="G84" s="266"/>
      <c r="H84" s="266"/>
      <c r="I84" s="266"/>
      <c r="J84" s="268"/>
      <c r="K84" s="268"/>
      <c r="L84" s="268"/>
      <c r="M84" s="2640"/>
      <c r="N84" s="4322"/>
      <c r="O84" s="4323"/>
      <c r="P84" s="1830"/>
      <c r="Q84" s="2633"/>
      <c r="R84" s="1864"/>
      <c r="S84" s="117"/>
      <c r="T84" s="11"/>
      <c r="U84" s="11"/>
      <c r="V84" s="11"/>
      <c r="W84" s="11"/>
      <c r="X84" s="11"/>
      <c r="Z84" s="314"/>
      <c r="AA84" s="314"/>
      <c r="AB84" s="314"/>
      <c r="AC84" s="4"/>
      <c r="AE84" s="314"/>
      <c r="AF84" s="314"/>
      <c r="AG84" s="314"/>
      <c r="AI84" s="314"/>
      <c r="AJ84" s="314"/>
      <c r="AK84" s="314"/>
      <c r="AM84" s="314"/>
      <c r="AN84" s="314"/>
      <c r="AO84" s="314"/>
      <c r="AQ84" s="314"/>
      <c r="AR84" s="314"/>
      <c r="AS84" s="314"/>
    </row>
    <row r="85" spans="1:45" s="978" customFormat="1" ht="14.25" customHeight="1">
      <c r="A85" s="117"/>
      <c r="B85" s="995">
        <v>21</v>
      </c>
      <c r="C85" s="1683" t="s">
        <v>1185</v>
      </c>
      <c r="D85" s="266"/>
      <c r="E85" s="266"/>
      <c r="F85" s="266"/>
      <c r="G85" s="266"/>
      <c r="H85" s="266"/>
      <c r="I85" s="266"/>
      <c r="J85" s="268"/>
      <c r="K85" s="268"/>
      <c r="L85" s="268"/>
      <c r="M85" s="2640"/>
      <c r="N85" s="4322"/>
      <c r="O85" s="4323"/>
      <c r="P85" s="1830"/>
      <c r="Q85" s="2633"/>
      <c r="R85" s="1864" t="s">
        <v>152</v>
      </c>
      <c r="S85" s="117"/>
      <c r="T85" s="11"/>
      <c r="U85" s="11"/>
      <c r="V85" s="11"/>
      <c r="W85" s="11"/>
      <c r="X85" s="11"/>
      <c r="Z85" s="314"/>
      <c r="AA85" s="314"/>
      <c r="AB85" s="314"/>
      <c r="AC85" s="4"/>
      <c r="AE85" s="314"/>
      <c r="AF85" s="314"/>
      <c r="AG85" s="314"/>
      <c r="AI85" s="314"/>
      <c r="AJ85" s="314"/>
      <c r="AK85" s="314"/>
      <c r="AM85" s="314"/>
      <c r="AN85" s="314"/>
      <c r="AO85" s="314"/>
      <c r="AQ85" s="314"/>
      <c r="AR85" s="314"/>
      <c r="AS85" s="314"/>
    </row>
    <row r="86" spans="1:45" s="978" customFormat="1" ht="12.75" customHeight="1">
      <c r="A86" s="117"/>
      <c r="B86" s="270"/>
      <c r="C86" s="579"/>
      <c r="D86" s="2608"/>
      <c r="E86" s="266"/>
      <c r="F86" s="266"/>
      <c r="G86" s="266"/>
      <c r="H86" s="266"/>
      <c r="I86" s="266"/>
      <c r="J86" s="268"/>
      <c r="K86" s="268"/>
      <c r="L86" s="311"/>
      <c r="M86" s="2640"/>
      <c r="N86" s="4324"/>
      <c r="O86" s="4325"/>
      <c r="P86" s="1830"/>
      <c r="Q86" s="2633"/>
      <c r="R86" s="1864" t="s">
        <v>706</v>
      </c>
      <c r="S86" s="117"/>
      <c r="T86" s="11"/>
      <c r="U86" s="11"/>
      <c r="V86" s="11"/>
      <c r="W86" s="11"/>
      <c r="X86" s="11"/>
      <c r="Z86" s="314"/>
      <c r="AA86" s="314"/>
      <c r="AB86" s="314"/>
      <c r="AC86" s="4"/>
      <c r="AE86" s="314"/>
      <c r="AF86" s="314"/>
      <c r="AG86" s="314"/>
      <c r="AI86" s="314"/>
      <c r="AJ86" s="314"/>
      <c r="AK86" s="314"/>
      <c r="AM86" s="314"/>
      <c r="AN86" s="314"/>
      <c r="AO86" s="314"/>
      <c r="AQ86" s="314"/>
      <c r="AR86" s="314"/>
      <c r="AS86" s="314"/>
    </row>
    <row r="87" spans="1:45" s="978" customFormat="1" ht="12.75" customHeight="1">
      <c r="A87" s="117"/>
      <c r="B87" s="270"/>
      <c r="C87" s="579" t="s">
        <v>147</v>
      </c>
      <c r="D87" s="253" t="s">
        <v>136</v>
      </c>
      <c r="E87" s="266"/>
      <c r="F87" s="266"/>
      <c r="G87" s="266"/>
      <c r="H87" s="266"/>
      <c r="I87" s="266"/>
      <c r="J87" s="268"/>
      <c r="K87" s="268"/>
      <c r="L87" s="311" t="s">
        <v>632</v>
      </c>
      <c r="M87" s="333">
        <f>B85</f>
        <v>21</v>
      </c>
      <c r="N87" s="4165" t="str">
        <f>IF(R87&lt;&gt;"",R87,IF(OR(A62,A64),IF(N58&lt;0,-MIN(-N58,-R91),""),""))</f>
        <v/>
      </c>
      <c r="O87" s="4271"/>
      <c r="P87" s="1830"/>
      <c r="Q87" s="2633"/>
      <c r="R87" s="2113"/>
      <c r="S87" s="117"/>
      <c r="T87" s="11"/>
      <c r="U87" s="11"/>
      <c r="V87" s="11"/>
      <c r="W87" s="11"/>
      <c r="X87" s="11"/>
      <c r="Z87" s="314"/>
      <c r="AA87" s="314"/>
      <c r="AB87" s="314"/>
      <c r="AC87" s="4"/>
      <c r="AE87" s="314"/>
      <c r="AF87" s="314"/>
      <c r="AG87" s="314"/>
      <c r="AI87" s="314"/>
      <c r="AJ87" s="314"/>
      <c r="AK87" s="314"/>
      <c r="AM87" s="314"/>
      <c r="AN87" s="314"/>
      <c r="AO87" s="314"/>
      <c r="AQ87" s="314"/>
      <c r="AR87" s="314"/>
      <c r="AS87" s="314"/>
    </row>
    <row r="88" spans="1:45" s="978" customFormat="1" ht="12.75" customHeight="1">
      <c r="A88" s="117"/>
      <c r="B88" s="270"/>
      <c r="C88" s="579" t="s">
        <v>148</v>
      </c>
      <c r="D88" s="1246" t="str">
        <f>TEXT(R89,"($0,000)")&amp;", or if married filing separately, "&amp;TEXT(R90,"($0,000)")</f>
        <v>($3,000), or if married filing separately, ($1,500)</v>
      </c>
      <c r="E88" s="266"/>
      <c r="F88" s="266"/>
      <c r="G88" s="266"/>
      <c r="H88" s="266"/>
      <c r="I88" s="266"/>
      <c r="J88" s="1245"/>
      <c r="K88" s="268"/>
      <c r="L88" s="268"/>
      <c r="M88" s="1820"/>
      <c r="N88" s="1821"/>
      <c r="O88" s="1821"/>
      <c r="P88" s="1830"/>
      <c r="Q88" s="2633"/>
      <c r="R88" s="117"/>
      <c r="S88" s="117"/>
      <c r="T88" s="11"/>
      <c r="U88" s="11"/>
      <c r="V88" s="11"/>
      <c r="W88" s="11"/>
      <c r="X88" s="11"/>
      <c r="Z88" s="314"/>
      <c r="AA88" s="314"/>
      <c r="AB88" s="314"/>
      <c r="AC88" s="4"/>
      <c r="AE88" s="314"/>
      <c r="AF88" s="314"/>
      <c r="AG88" s="314"/>
      <c r="AI88" s="314"/>
      <c r="AJ88" s="314"/>
      <c r="AK88" s="314"/>
      <c r="AM88" s="314"/>
      <c r="AN88" s="314"/>
      <c r="AO88" s="314"/>
      <c r="AQ88" s="314"/>
      <c r="AR88" s="314"/>
      <c r="AS88" s="314"/>
    </row>
    <row r="89" spans="1:45" s="978" customFormat="1" ht="6.75" customHeight="1">
      <c r="A89" s="117"/>
      <c r="B89" s="270"/>
      <c r="C89" s="579"/>
      <c r="D89" s="579"/>
      <c r="E89" s="266"/>
      <c r="F89" s="266"/>
      <c r="G89" s="266"/>
      <c r="H89" s="266"/>
      <c r="I89" s="266"/>
      <c r="J89" s="268"/>
      <c r="K89" s="268"/>
      <c r="L89" s="268"/>
      <c r="M89" s="1822"/>
      <c r="N89" s="981"/>
      <c r="O89" s="1823"/>
      <c r="P89" s="1830"/>
      <c r="Q89" s="2633"/>
      <c r="R89" s="1863">
        <v>3000</v>
      </c>
      <c r="S89" s="117"/>
      <c r="T89" s="11"/>
      <c r="U89" s="11"/>
      <c r="V89" s="11"/>
      <c r="W89" s="11"/>
      <c r="X89" s="11"/>
      <c r="Z89" s="314"/>
      <c r="AA89" s="314"/>
      <c r="AB89" s="314"/>
      <c r="AC89" s="4"/>
      <c r="AE89" s="314"/>
      <c r="AF89" s="314"/>
      <c r="AG89" s="314"/>
      <c r="AI89" s="314"/>
      <c r="AJ89" s="314"/>
      <c r="AK89" s="314"/>
      <c r="AM89" s="314"/>
      <c r="AN89" s="314"/>
      <c r="AO89" s="314"/>
      <c r="AQ89" s="314"/>
      <c r="AR89" s="314"/>
      <c r="AS89" s="314"/>
    </row>
    <row r="90" spans="1:45" s="978" customFormat="1" ht="12.75" customHeight="1">
      <c r="A90" s="117"/>
      <c r="B90" s="270"/>
      <c r="C90" s="546" t="s">
        <v>762</v>
      </c>
      <c r="D90" s="546"/>
      <c r="E90" s="266"/>
      <c r="F90" s="266"/>
      <c r="G90" s="266"/>
      <c r="H90" s="266"/>
      <c r="I90" s="266"/>
      <c r="J90" s="268"/>
      <c r="K90" s="268"/>
      <c r="L90" s="268"/>
      <c r="M90" s="1824"/>
      <c r="N90" s="977"/>
      <c r="O90" s="973"/>
      <c r="P90" s="1830"/>
      <c r="Q90" s="2633"/>
      <c r="R90" s="1863">
        <v>1500</v>
      </c>
      <c r="S90" s="117"/>
      <c r="T90" s="11"/>
      <c r="U90" s="11"/>
      <c r="V90" s="11"/>
      <c r="W90" s="11"/>
      <c r="X90" s="11"/>
      <c r="Z90" s="314"/>
      <c r="AA90" s="314"/>
      <c r="AB90" s="314"/>
      <c r="AC90" s="4"/>
      <c r="AE90" s="314"/>
      <c r="AF90" s="314"/>
      <c r="AG90" s="314"/>
      <c r="AI90" s="314"/>
      <c r="AJ90" s="314"/>
      <c r="AK90" s="314"/>
      <c r="AM90" s="314"/>
      <c r="AN90" s="314"/>
      <c r="AO90" s="314"/>
      <c r="AQ90" s="314"/>
      <c r="AR90" s="314"/>
      <c r="AS90" s="314"/>
    </row>
    <row r="91" spans="1:45" s="978" customFormat="1" ht="12.75" customHeight="1">
      <c r="A91" s="117"/>
      <c r="B91" s="270"/>
      <c r="C91" s="579"/>
      <c r="D91" s="579"/>
      <c r="E91" s="266"/>
      <c r="F91" s="266"/>
      <c r="G91" s="266"/>
      <c r="H91" s="266"/>
      <c r="I91" s="266"/>
      <c r="J91" s="268"/>
      <c r="K91" s="268"/>
      <c r="L91" s="268"/>
      <c r="M91" s="1824"/>
      <c r="N91" s="977"/>
      <c r="O91" s="973"/>
      <c r="P91" s="1830"/>
      <c r="Q91" s="2633"/>
      <c r="R91" s="1863">
        <f>IF(File_Marr_Sep="",-R89,-R90)</f>
        <v>-3000</v>
      </c>
      <c r="S91" s="117"/>
      <c r="T91" s="11"/>
      <c r="U91" s="11"/>
      <c r="V91" s="11"/>
      <c r="W91" s="11"/>
      <c r="X91" s="11"/>
      <c r="Z91" s="314"/>
      <c r="AA91" s="314"/>
      <c r="AB91" s="314"/>
      <c r="AC91" s="4"/>
      <c r="AE91" s="314"/>
      <c r="AF91" s="314"/>
      <c r="AG91" s="314"/>
      <c r="AI91" s="314"/>
      <c r="AJ91" s="314"/>
      <c r="AK91" s="314"/>
      <c r="AM91" s="314"/>
      <c r="AN91" s="314"/>
      <c r="AO91" s="314"/>
      <c r="AQ91" s="314"/>
      <c r="AR91" s="314"/>
      <c r="AS91" s="314"/>
    </row>
    <row r="92" spans="1:45" s="984" customFormat="1" ht="19.5" customHeight="1">
      <c r="A92" s="117"/>
      <c r="B92" s="995">
        <v>22</v>
      </c>
      <c r="C92" s="976" t="s">
        <v>489</v>
      </c>
      <c r="D92" s="976"/>
      <c r="E92" s="976"/>
      <c r="F92" s="976"/>
      <c r="G92" s="976"/>
      <c r="H92" s="976"/>
      <c r="I92" s="976"/>
      <c r="J92" s="981"/>
      <c r="K92" s="981"/>
      <c r="L92" s="981"/>
      <c r="M92" s="1825"/>
      <c r="N92" s="268"/>
      <c r="O92" s="1826"/>
      <c r="P92" s="1845"/>
      <c r="Q92" s="2634"/>
      <c r="R92" s="1863">
        <f>IF(N58&gt;=0,N58,N87)</f>
        <v>0</v>
      </c>
      <c r="S92" s="117"/>
      <c r="T92" s="917"/>
      <c r="U92" s="917"/>
      <c r="V92" s="917"/>
      <c r="W92" s="917"/>
      <c r="X92" s="917"/>
      <c r="Z92" s="2781"/>
      <c r="AA92" s="2781"/>
      <c r="AB92" s="2781"/>
      <c r="AC92" s="2788"/>
      <c r="AE92" s="2781"/>
      <c r="AF92" s="2781"/>
      <c r="AG92" s="2781"/>
      <c r="AI92" s="2781"/>
      <c r="AJ92" s="2781"/>
      <c r="AK92" s="2781"/>
      <c r="AM92" s="2781"/>
      <c r="AN92" s="2781"/>
      <c r="AO92" s="2781"/>
      <c r="AQ92" s="2781"/>
      <c r="AR92" s="2781"/>
      <c r="AS92" s="2781"/>
    </row>
    <row r="93" spans="1:45" s="978" customFormat="1" ht="12" customHeight="1">
      <c r="A93" s="117"/>
      <c r="B93" s="438"/>
      <c r="C93" s="1640" t="str">
        <f>IF(Qualified_Dividends&lt;&gt;"","X","")</f>
        <v/>
      </c>
      <c r="D93" s="997"/>
      <c r="E93" s="192" t="s">
        <v>1516</v>
      </c>
      <c r="F93" s="366"/>
      <c r="G93" s="366"/>
      <c r="H93" s="366"/>
      <c r="I93" s="366"/>
      <c r="J93" s="268"/>
      <c r="K93" s="268"/>
      <c r="L93" s="977"/>
      <c r="M93" s="1825"/>
      <c r="N93" s="268"/>
      <c r="O93" s="1826"/>
      <c r="P93" s="1844"/>
      <c r="Q93" s="2632"/>
      <c r="R93" s="117"/>
      <c r="S93" s="117"/>
      <c r="T93" s="315"/>
      <c r="U93" s="315"/>
      <c r="V93" s="315"/>
      <c r="W93" s="315"/>
      <c r="X93" s="315"/>
      <c r="Z93" s="823"/>
      <c r="AA93" s="823"/>
      <c r="AB93" s="823"/>
      <c r="AC93" s="4"/>
      <c r="AE93" s="823"/>
      <c r="AF93" s="823"/>
      <c r="AG93" s="823"/>
      <c r="AI93" s="823"/>
      <c r="AJ93" s="823"/>
      <c r="AK93" s="823"/>
      <c r="AM93" s="823"/>
      <c r="AN93" s="823"/>
      <c r="AO93" s="823"/>
      <c r="AQ93" s="823"/>
      <c r="AR93" s="823"/>
      <c r="AS93" s="823"/>
    </row>
    <row r="94" spans="1:45" s="978" customFormat="1" ht="15" customHeight="1">
      <c r="A94" s="117"/>
      <c r="B94" s="270"/>
      <c r="C94" s="266"/>
      <c r="D94" s="266"/>
      <c r="E94" s="1683" t="s">
        <v>1653</v>
      </c>
      <c r="F94" s="266"/>
      <c r="G94" s="266"/>
      <c r="H94" s="266"/>
      <c r="I94" s="266"/>
      <c r="J94" s="268"/>
      <c r="K94" s="268"/>
      <c r="L94" s="268"/>
      <c r="M94" s="1825"/>
      <c r="N94" s="268"/>
      <c r="O94" s="1826"/>
      <c r="P94" s="1830"/>
      <c r="Q94" s="2633"/>
      <c r="R94" s="117"/>
      <c r="S94" s="117"/>
      <c r="T94" s="11"/>
      <c r="U94" s="11"/>
      <c r="V94" s="11"/>
      <c r="W94" s="11"/>
      <c r="X94" s="11"/>
      <c r="Z94" s="314"/>
      <c r="AA94" s="314"/>
      <c r="AB94" s="314"/>
      <c r="AC94" s="4"/>
      <c r="AE94" s="314"/>
      <c r="AF94" s="314"/>
      <c r="AG94" s="314"/>
      <c r="AI94" s="314"/>
      <c r="AJ94" s="314"/>
      <c r="AK94" s="314"/>
      <c r="AM94" s="314"/>
      <c r="AN94" s="314"/>
      <c r="AO94" s="314"/>
      <c r="AQ94" s="314"/>
      <c r="AR94" s="314"/>
      <c r="AS94" s="314"/>
    </row>
    <row r="95" spans="1:45" s="978" customFormat="1" ht="19.5" customHeight="1">
      <c r="A95" s="117"/>
      <c r="B95" s="270"/>
      <c r="C95" s="266"/>
      <c r="D95" s="266"/>
      <c r="E95" s="1641"/>
      <c r="F95" s="266"/>
      <c r="G95" s="266"/>
      <c r="H95" s="266"/>
      <c r="I95" s="266"/>
      <c r="J95" s="268"/>
      <c r="K95" s="268"/>
      <c r="L95" s="268"/>
      <c r="M95" s="1825"/>
      <c r="N95" s="268"/>
      <c r="O95" s="1826"/>
      <c r="P95" s="1830"/>
      <c r="Q95" s="2633"/>
      <c r="R95" s="117"/>
      <c r="S95" s="117"/>
      <c r="T95" s="11"/>
      <c r="U95" s="11"/>
      <c r="V95" s="11"/>
      <c r="W95" s="11"/>
      <c r="X95" s="11"/>
      <c r="Z95" s="314"/>
      <c r="AA95" s="314"/>
      <c r="AB95" s="314"/>
      <c r="AC95" s="4"/>
      <c r="AE95" s="314"/>
      <c r="AF95" s="314"/>
      <c r="AG95" s="314"/>
      <c r="AI95" s="314"/>
      <c r="AJ95" s="314"/>
      <c r="AK95" s="314"/>
      <c r="AM95" s="314"/>
      <c r="AN95" s="314"/>
      <c r="AO95" s="314"/>
      <c r="AQ95" s="314"/>
      <c r="AR95" s="314"/>
      <c r="AS95" s="314"/>
    </row>
    <row r="96" spans="1:45" s="978" customFormat="1" ht="11.25" customHeight="1">
      <c r="A96" s="117"/>
      <c r="B96" s="270"/>
      <c r="C96" s="1640" t="str">
        <f>IF(AND(OR(N72="",N72=0),OR(N75="",N75=0)),"",IF(Qualified_Dividends&lt;&gt;"","","X"))</f>
        <v/>
      </c>
      <c r="D96" s="997"/>
      <c r="E96" s="366" t="s">
        <v>953</v>
      </c>
      <c r="F96" s="266"/>
      <c r="G96" s="266"/>
      <c r="H96" s="266"/>
      <c r="I96" s="266"/>
      <c r="J96" s="268"/>
      <c r="K96" s="268"/>
      <c r="L96" s="268"/>
      <c r="M96" s="1825"/>
      <c r="N96" s="268"/>
      <c r="O96" s="1826"/>
      <c r="P96" s="1830"/>
      <c r="Q96" s="2633"/>
      <c r="R96" s="117"/>
      <c r="S96" s="117"/>
      <c r="T96" s="11"/>
      <c r="U96" s="11"/>
      <c r="V96" s="11"/>
      <c r="W96" s="11"/>
      <c r="X96" s="11"/>
      <c r="Z96" s="314"/>
      <c r="AA96" s="314"/>
      <c r="AB96" s="314"/>
      <c r="AC96" s="4"/>
      <c r="AE96" s="314"/>
      <c r="AF96" s="314"/>
      <c r="AG96" s="314"/>
      <c r="AI96" s="314"/>
      <c r="AJ96" s="314"/>
      <c r="AK96" s="314"/>
      <c r="AM96" s="314"/>
      <c r="AN96" s="314"/>
      <c r="AO96" s="314"/>
      <c r="AQ96" s="314"/>
      <c r="AR96" s="314"/>
      <c r="AS96" s="314"/>
    </row>
    <row r="97" spans="1:45" s="978" customFormat="1" ht="15" customHeight="1" thickBot="1">
      <c r="A97" s="117"/>
      <c r="B97" s="996"/>
      <c r="C97" s="971"/>
      <c r="D97" s="971"/>
      <c r="E97" s="972"/>
      <c r="F97" s="971"/>
      <c r="G97" s="971"/>
      <c r="H97" s="971"/>
      <c r="I97" s="971"/>
      <c r="J97" s="993"/>
      <c r="K97" s="993"/>
      <c r="L97" s="993"/>
      <c r="M97" s="1827"/>
      <c r="N97" s="993"/>
      <c r="O97" s="1828"/>
      <c r="P97" s="1830"/>
      <c r="Q97" s="2633"/>
      <c r="R97" s="117"/>
      <c r="S97" s="117"/>
      <c r="T97" s="11"/>
      <c r="U97" s="11"/>
      <c r="V97" s="11"/>
      <c r="W97" s="11"/>
      <c r="X97" s="11"/>
      <c r="Z97" s="314"/>
      <c r="AA97" s="314"/>
      <c r="AB97" s="314"/>
      <c r="AC97" s="4"/>
      <c r="AE97" s="314"/>
      <c r="AF97" s="314"/>
      <c r="AG97" s="314"/>
      <c r="AI97" s="314"/>
      <c r="AJ97" s="314"/>
      <c r="AK97" s="314"/>
      <c r="AM97" s="314"/>
      <c r="AN97" s="314"/>
      <c r="AO97" s="314"/>
      <c r="AQ97" s="314"/>
      <c r="AR97" s="314"/>
      <c r="AS97" s="314"/>
    </row>
    <row r="98" spans="1:45" s="978" customFormat="1" ht="15" customHeight="1">
      <c r="A98" s="117"/>
      <c r="B98" s="266"/>
      <c r="C98" s="266"/>
      <c r="D98" s="266"/>
      <c r="E98" s="366"/>
      <c r="F98" s="266"/>
      <c r="G98" s="266"/>
      <c r="H98" s="266"/>
      <c r="I98" s="266"/>
      <c r="J98" s="268"/>
      <c r="K98" s="268"/>
      <c r="L98" s="268"/>
      <c r="M98" s="268"/>
      <c r="N98" s="268"/>
      <c r="O98" s="1829" t="str">
        <f>"Schedule D (Form 1040)   "&amp;TaxYear</f>
        <v>Schedule D (Form 1040)   2014</v>
      </c>
      <c r="P98" s="1830"/>
      <c r="Q98" s="2633"/>
      <c r="R98" s="117"/>
      <c r="S98" s="117"/>
      <c r="T98" s="11"/>
      <c r="U98" s="11"/>
      <c r="V98" s="11"/>
      <c r="W98" s="11"/>
      <c r="X98" s="11"/>
      <c r="Z98" s="314"/>
      <c r="AA98" s="314"/>
      <c r="AB98" s="314"/>
      <c r="AC98" s="4"/>
      <c r="AE98" s="314"/>
      <c r="AF98" s="314"/>
      <c r="AG98" s="314"/>
      <c r="AI98" s="314"/>
      <c r="AJ98" s="314"/>
      <c r="AK98" s="314"/>
      <c r="AM98" s="314"/>
      <c r="AN98" s="314"/>
      <c r="AO98" s="314"/>
      <c r="AQ98" s="314"/>
      <c r="AR98" s="314"/>
      <c r="AS98" s="314"/>
    </row>
    <row r="99" spans="1:45" s="978" customFormat="1" ht="9" customHeight="1">
      <c r="A99" s="117"/>
      <c r="B99" s="117"/>
      <c r="C99" s="117"/>
      <c r="D99" s="117"/>
      <c r="E99" s="117"/>
      <c r="F99" s="117"/>
      <c r="G99" s="117"/>
      <c r="H99" s="117"/>
      <c r="I99" s="117"/>
      <c r="J99" s="117"/>
      <c r="K99" s="117"/>
      <c r="L99" s="117"/>
      <c r="M99" s="117"/>
      <c r="N99" s="117"/>
      <c r="O99" s="117"/>
      <c r="P99" s="117"/>
      <c r="Q99" s="2614"/>
      <c r="R99" s="117"/>
      <c r="S99" s="117"/>
      <c r="T99" s="11"/>
      <c r="U99" s="11"/>
      <c r="V99" s="11"/>
      <c r="W99" s="11"/>
      <c r="X99" s="11"/>
      <c r="Z99" s="314"/>
      <c r="AA99" s="314"/>
      <c r="AB99" s="314"/>
      <c r="AC99" s="4"/>
      <c r="AE99" s="314"/>
      <c r="AF99" s="314"/>
      <c r="AG99" s="314"/>
      <c r="AI99" s="314"/>
      <c r="AJ99" s="314"/>
      <c r="AK99" s="314"/>
      <c r="AM99" s="314"/>
      <c r="AN99" s="314"/>
      <c r="AO99" s="314"/>
      <c r="AQ99" s="314"/>
      <c r="AR99" s="314"/>
      <c r="AS99" s="314"/>
    </row>
    <row r="100" spans="1:45" s="978" customFormat="1" ht="12.75" customHeight="1">
      <c r="A100" s="117"/>
      <c r="B100" s="117"/>
      <c r="C100" s="117"/>
      <c r="D100" s="117"/>
      <c r="E100" s="117"/>
      <c r="F100" s="117"/>
      <c r="G100" s="117"/>
      <c r="H100" s="117"/>
      <c r="I100" s="117"/>
      <c r="J100" s="117"/>
      <c r="K100" s="117"/>
      <c r="L100" s="117"/>
      <c r="M100" s="117"/>
      <c r="N100" s="117"/>
      <c r="O100" s="117"/>
      <c r="P100" s="117"/>
      <c r="Q100" s="2614"/>
      <c r="R100" s="117"/>
      <c r="S100" s="117"/>
      <c r="T100" s="11"/>
      <c r="U100" s="11"/>
      <c r="V100" s="11"/>
      <c r="W100" s="11"/>
      <c r="X100" s="11"/>
      <c r="Z100" s="314"/>
      <c r="AA100" s="314"/>
      <c r="AB100" s="314"/>
      <c r="AC100" s="4"/>
      <c r="AE100" s="314"/>
      <c r="AF100" s="314"/>
      <c r="AG100" s="314"/>
      <c r="AI100" s="314"/>
      <c r="AJ100" s="314"/>
      <c r="AK100" s="314"/>
      <c r="AM100" s="314"/>
      <c r="AN100" s="314"/>
      <c r="AO100" s="314"/>
      <c r="AQ100" s="314"/>
      <c r="AR100" s="314"/>
      <c r="AS100" s="314"/>
    </row>
    <row r="101" spans="1:45" ht="13.5" customHeight="1">
      <c r="A101" s="117"/>
      <c r="B101" s="117"/>
      <c r="C101" s="117"/>
      <c r="D101" s="117"/>
      <c r="E101" s="117"/>
      <c r="F101" s="117"/>
      <c r="G101" s="117"/>
      <c r="H101" s="117"/>
      <c r="I101" s="117"/>
      <c r="J101" s="117"/>
      <c r="K101" s="117"/>
      <c r="L101" s="117"/>
      <c r="M101" s="117"/>
      <c r="N101" s="117"/>
      <c r="O101" s="117"/>
      <c r="P101" s="117"/>
      <c r="Q101" s="2614"/>
      <c r="R101" s="117"/>
      <c r="S101" s="117"/>
      <c r="T101" s="11"/>
      <c r="U101" s="11"/>
      <c r="V101" s="11"/>
      <c r="W101" s="11"/>
      <c r="X101" s="11"/>
      <c r="Z101" s="314"/>
      <c r="AA101" s="314"/>
      <c r="AB101" s="314"/>
      <c r="AE101" s="314"/>
      <c r="AF101" s="314"/>
      <c r="AG101" s="314"/>
      <c r="AI101" s="314"/>
      <c r="AJ101" s="314"/>
      <c r="AK101" s="314"/>
      <c r="AM101" s="314"/>
      <c r="AN101" s="314"/>
      <c r="AO101" s="314"/>
      <c r="AQ101" s="314"/>
      <c r="AR101" s="314"/>
      <c r="AS101" s="314"/>
    </row>
    <row r="102" spans="1:45" ht="13.5" customHeight="1">
      <c r="A102" s="117"/>
      <c r="B102" s="117"/>
      <c r="C102" s="117"/>
      <c r="D102" s="117"/>
      <c r="E102" s="117"/>
      <c r="F102" s="117"/>
      <c r="G102" s="117"/>
      <c r="H102" s="117"/>
      <c r="I102" s="117"/>
      <c r="J102" s="117"/>
      <c r="K102" s="117"/>
      <c r="L102" s="117"/>
      <c r="M102" s="117"/>
      <c r="N102" s="117"/>
      <c r="O102" s="117"/>
      <c r="P102" s="117"/>
      <c r="Q102" s="2614"/>
      <c r="R102" s="117"/>
      <c r="S102" s="117"/>
      <c r="T102" s="11"/>
      <c r="U102" s="11"/>
      <c r="V102" s="11"/>
      <c r="W102" s="11"/>
      <c r="X102" s="11"/>
      <c r="Z102" s="314"/>
      <c r="AA102" s="314"/>
      <c r="AB102" s="314"/>
      <c r="AE102" s="314"/>
      <c r="AF102" s="314"/>
      <c r="AG102" s="314"/>
      <c r="AI102" s="314"/>
      <c r="AJ102" s="314"/>
      <c r="AK102" s="314"/>
      <c r="AM102" s="314"/>
      <c r="AN102" s="314"/>
      <c r="AO102" s="314"/>
      <c r="AQ102" s="314"/>
      <c r="AR102" s="314"/>
      <c r="AS102" s="314"/>
    </row>
    <row r="103" spans="1:45">
      <c r="A103" s="318"/>
      <c r="B103" s="318"/>
      <c r="C103" s="318"/>
      <c r="D103" s="318"/>
      <c r="E103" s="318"/>
      <c r="F103" s="318"/>
      <c r="G103" s="318"/>
      <c r="H103" s="318"/>
      <c r="I103" s="318"/>
      <c r="J103" s="318"/>
      <c r="K103" s="318"/>
      <c r="L103" s="318"/>
      <c r="M103" s="318"/>
      <c r="N103" s="318"/>
      <c r="O103" s="318"/>
      <c r="P103" s="318"/>
      <c r="Q103" s="2635"/>
      <c r="R103" s="318"/>
      <c r="S103" s="318"/>
      <c r="T103" s="11"/>
      <c r="U103" s="11"/>
      <c r="V103" s="11"/>
      <c r="W103" s="11"/>
      <c r="X103" s="11"/>
      <c r="Z103" s="314"/>
      <c r="AA103" s="314"/>
      <c r="AB103" s="314"/>
      <c r="AE103" s="314"/>
      <c r="AF103" s="314"/>
      <c r="AG103" s="314"/>
      <c r="AI103" s="314"/>
      <c r="AJ103" s="314"/>
      <c r="AK103" s="314"/>
      <c r="AM103" s="314"/>
      <c r="AN103" s="314"/>
      <c r="AO103" s="314"/>
      <c r="AQ103" s="314"/>
      <c r="AR103" s="314"/>
      <c r="AS103" s="314"/>
    </row>
    <row r="104" spans="1:45" s="68" customFormat="1" ht="13.5" thickBot="1">
      <c r="B104" s="217"/>
      <c r="C104" s="217"/>
      <c r="D104" s="346"/>
      <c r="E104" s="346"/>
      <c r="F104" s="346"/>
      <c r="J104" s="353"/>
      <c r="K104" s="353"/>
      <c r="L104" s="353"/>
      <c r="M104" s="353"/>
      <c r="N104" s="353"/>
      <c r="O104" s="353"/>
      <c r="P104" s="353"/>
      <c r="Q104" s="467"/>
      <c r="R104" s="353"/>
      <c r="S104" s="353"/>
      <c r="T104" s="11"/>
      <c r="U104" s="11"/>
      <c r="V104" s="11"/>
      <c r="W104" s="11"/>
      <c r="X104" s="11"/>
      <c r="Z104" s="314"/>
      <c r="AA104" s="314"/>
      <c r="AB104" s="314"/>
      <c r="AC104" s="314"/>
      <c r="AE104" s="314"/>
      <c r="AF104" s="314"/>
      <c r="AG104" s="314"/>
      <c r="AI104" s="314"/>
      <c r="AJ104" s="314"/>
      <c r="AK104" s="314"/>
      <c r="AM104" s="314"/>
      <c r="AN104" s="314"/>
      <c r="AO104" s="314"/>
      <c r="AQ104" s="314"/>
      <c r="AR104" s="314"/>
      <c r="AS104" s="314"/>
    </row>
    <row r="105" spans="1:45" s="68" customFormat="1" ht="14.25" thickTop="1" thickBot="1">
      <c r="D105" s="3787" t="s">
        <v>547</v>
      </c>
      <c r="E105" s="4120"/>
      <c r="F105" s="4120"/>
      <c r="G105" s="4120"/>
      <c r="H105" s="4121"/>
      <c r="I105" s="1018"/>
      <c r="J105" s="353"/>
      <c r="K105" s="353"/>
      <c r="L105" s="353"/>
      <c r="M105" s="353"/>
      <c r="N105" s="353"/>
      <c r="O105" s="353"/>
      <c r="P105" s="353"/>
      <c r="Q105" s="467"/>
      <c r="R105" s="353"/>
      <c r="S105" s="353"/>
      <c r="T105" s="11"/>
      <c r="U105" s="11"/>
      <c r="V105" s="11"/>
      <c r="W105" s="11"/>
      <c r="X105" s="11"/>
      <c r="Z105" s="314"/>
      <c r="AA105" s="314"/>
      <c r="AB105" s="314"/>
      <c r="AC105" s="314"/>
      <c r="AE105" s="314"/>
      <c r="AF105" s="314"/>
      <c r="AG105" s="314"/>
      <c r="AI105" s="314"/>
      <c r="AJ105" s="314"/>
      <c r="AK105" s="314"/>
      <c r="AM105" s="314"/>
      <c r="AN105" s="314"/>
      <c r="AO105" s="314"/>
      <c r="AQ105" s="314"/>
      <c r="AR105" s="314"/>
      <c r="AS105" s="314"/>
    </row>
    <row r="106" spans="1:45" s="68" customFormat="1" ht="14.25" thickTop="1" thickBot="1">
      <c r="D106" s="346"/>
      <c r="E106" s="346"/>
      <c r="H106" s="353"/>
      <c r="I106" s="353"/>
      <c r="J106" s="353"/>
      <c r="K106" s="353"/>
      <c r="L106" s="353"/>
      <c r="M106" s="353"/>
      <c r="N106" s="353"/>
      <c r="O106" s="353"/>
      <c r="P106" s="353"/>
      <c r="Q106" s="467"/>
      <c r="S106" s="353"/>
      <c r="T106" s="11"/>
      <c r="U106" s="11"/>
      <c r="V106" s="11"/>
      <c r="W106" s="11"/>
      <c r="X106" s="11"/>
      <c r="Z106" s="314"/>
      <c r="AA106" s="314"/>
      <c r="AB106" s="314"/>
      <c r="AC106" s="314"/>
      <c r="AE106" s="314"/>
      <c r="AF106" s="314"/>
      <c r="AG106" s="314"/>
      <c r="AI106" s="314"/>
      <c r="AJ106" s="314"/>
      <c r="AK106" s="314"/>
      <c r="AM106" s="314"/>
      <c r="AN106" s="314"/>
      <c r="AO106" s="314"/>
      <c r="AQ106" s="314"/>
      <c r="AR106" s="314"/>
      <c r="AS106" s="314"/>
    </row>
    <row r="107" spans="1:45" s="68" customFormat="1" ht="14.25" thickTop="1" thickBot="1">
      <c r="D107" s="4052" t="s">
        <v>115</v>
      </c>
      <c r="E107" s="4120"/>
      <c r="F107" s="4120"/>
      <c r="G107" s="4120"/>
      <c r="H107" s="4121"/>
      <c r="I107" s="1018"/>
      <c r="J107" s="353"/>
      <c r="K107" s="353"/>
      <c r="L107" s="353"/>
      <c r="M107" s="353"/>
      <c r="N107" s="353"/>
      <c r="O107" s="353"/>
      <c r="P107" s="353"/>
      <c r="Q107" s="467"/>
      <c r="S107" s="353"/>
      <c r="T107" s="11"/>
      <c r="U107" s="11"/>
      <c r="V107" s="11"/>
      <c r="W107" s="11"/>
      <c r="X107" s="11"/>
      <c r="Z107" s="314"/>
      <c r="AA107" s="314"/>
      <c r="AB107" s="314"/>
      <c r="AC107" s="314"/>
      <c r="AE107" s="314"/>
      <c r="AF107" s="314"/>
      <c r="AG107" s="314"/>
      <c r="AI107" s="314"/>
      <c r="AJ107" s="314"/>
      <c r="AK107" s="314"/>
      <c r="AM107" s="314"/>
      <c r="AN107" s="314"/>
      <c r="AO107" s="314"/>
      <c r="AQ107" s="314"/>
      <c r="AR107" s="314"/>
      <c r="AS107" s="314"/>
    </row>
    <row r="108" spans="1:45" s="68" customFormat="1" ht="13.5" thickTop="1">
      <c r="P108" s="353"/>
      <c r="Q108" s="467"/>
      <c r="R108"/>
      <c r="S108" s="353"/>
      <c r="Z108" s="314"/>
      <c r="AA108" s="314"/>
      <c r="AB108" s="314"/>
      <c r="AC108" s="314"/>
      <c r="AE108" s="314"/>
      <c r="AF108" s="314"/>
      <c r="AG108" s="314"/>
      <c r="AI108" s="314"/>
      <c r="AJ108" s="314"/>
      <c r="AK108" s="314"/>
      <c r="AM108" s="314"/>
      <c r="AN108" s="314"/>
      <c r="AO108" s="314"/>
      <c r="AQ108" s="314"/>
      <c r="AR108" s="314"/>
      <c r="AS108" s="314"/>
    </row>
    <row r="109" spans="1:45" s="68" customFormat="1">
      <c r="P109" s="353"/>
      <c r="Q109" s="467"/>
      <c r="R109"/>
      <c r="Z109" s="314"/>
      <c r="AA109" s="314"/>
      <c r="AB109" s="314"/>
      <c r="AC109" s="314"/>
      <c r="AE109" s="314"/>
      <c r="AF109" s="314"/>
      <c r="AG109" s="314"/>
      <c r="AI109" s="314"/>
      <c r="AJ109" s="314"/>
      <c r="AK109" s="314"/>
      <c r="AM109" s="314"/>
      <c r="AN109" s="314"/>
      <c r="AO109" s="314"/>
      <c r="AQ109" s="314"/>
      <c r="AR109" s="314"/>
      <c r="AS109" s="314"/>
    </row>
    <row r="110" spans="1:45" s="68" customFormat="1">
      <c r="Q110" s="456"/>
      <c r="R110"/>
      <c r="Z110" s="314"/>
      <c r="AA110" s="314"/>
      <c r="AB110" s="314"/>
      <c r="AC110" s="314"/>
      <c r="AE110" s="314"/>
      <c r="AF110" s="314"/>
      <c r="AG110" s="314"/>
      <c r="AI110" s="314"/>
      <c r="AJ110" s="314"/>
      <c r="AK110" s="314"/>
      <c r="AM110" s="314"/>
      <c r="AN110" s="314"/>
      <c r="AO110" s="314"/>
      <c r="AQ110" s="314"/>
      <c r="AR110" s="314"/>
      <c r="AS110" s="314"/>
    </row>
    <row r="111" spans="1:45">
      <c r="P111" s="68"/>
      <c r="Q111" s="456"/>
      <c r="S111" s="68"/>
    </row>
    <row r="112" spans="1:45">
      <c r="P112" s="68"/>
      <c r="Q112" s="456"/>
    </row>
  </sheetData>
  <sheetProtection password="F07E" sheet="1" objects="1" scenarios="1"/>
  <mergeCells count="110">
    <mergeCell ref="C49:L50"/>
    <mergeCell ref="C27:L28"/>
    <mergeCell ref="H14:I14"/>
    <mergeCell ref="K14:M14"/>
    <mergeCell ref="N14:O14"/>
    <mergeCell ref="F5:L5"/>
    <mergeCell ref="F4:L4"/>
    <mergeCell ref="H35:I35"/>
    <mergeCell ref="K35:M35"/>
    <mergeCell ref="H37:I37"/>
    <mergeCell ref="K37:M37"/>
    <mergeCell ref="C35:G36"/>
    <mergeCell ref="B30:G32"/>
    <mergeCell ref="H30:I32"/>
    <mergeCell ref="J30:J32"/>
    <mergeCell ref="K30:M32"/>
    <mergeCell ref="H36:I36"/>
    <mergeCell ref="C33:G34"/>
    <mergeCell ref="H34:I34"/>
    <mergeCell ref="N41:O41"/>
    <mergeCell ref="C41:L42"/>
    <mergeCell ref="N44:O44"/>
    <mergeCell ref="N45:O45"/>
    <mergeCell ref="C39:G40"/>
    <mergeCell ref="AQ8:AS8"/>
    <mergeCell ref="Z8:AC8"/>
    <mergeCell ref="AE8:AG8"/>
    <mergeCell ref="AI8:AK8"/>
    <mergeCell ref="AM8:AO8"/>
    <mergeCell ref="N76:O86"/>
    <mergeCell ref="N19:O19"/>
    <mergeCell ref="N38:O38"/>
    <mergeCell ref="N39:O39"/>
    <mergeCell ref="W30:W32"/>
    <mergeCell ref="N36:O36"/>
    <mergeCell ref="N20:O20"/>
    <mergeCell ref="N28:O28"/>
    <mergeCell ref="N21:O21"/>
    <mergeCell ref="N24:O24"/>
    <mergeCell ref="N23:O23"/>
    <mergeCell ref="N25:O25"/>
    <mergeCell ref="N26:O26"/>
    <mergeCell ref="U30:U32"/>
    <mergeCell ref="N30:O32"/>
    <mergeCell ref="N22:O22"/>
    <mergeCell ref="V30:V32"/>
    <mergeCell ref="N27:O27"/>
    <mergeCell ref="W10:W12"/>
    <mergeCell ref="F2:L3"/>
    <mergeCell ref="L7:O7"/>
    <mergeCell ref="L8:O8"/>
    <mergeCell ref="K18:M18"/>
    <mergeCell ref="H15:I15"/>
    <mergeCell ref="H18:I18"/>
    <mergeCell ref="M2:O2"/>
    <mergeCell ref="J10:J12"/>
    <mergeCell ref="N10:O12"/>
    <mergeCell ref="M3:O4"/>
    <mergeCell ref="M5:O6"/>
    <mergeCell ref="K17:M17"/>
    <mergeCell ref="N17:O17"/>
    <mergeCell ref="K10:M12"/>
    <mergeCell ref="C15:G16"/>
    <mergeCell ref="C17:G18"/>
    <mergeCell ref="D107:H107"/>
    <mergeCell ref="T30:T32"/>
    <mergeCell ref="N87:O87"/>
    <mergeCell ref="D105:H105"/>
    <mergeCell ref="B55:D55"/>
    <mergeCell ref="N42:O42"/>
    <mergeCell ref="K36:M36"/>
    <mergeCell ref="N58:O58"/>
    <mergeCell ref="N72:O72"/>
    <mergeCell ref="N75:O75"/>
    <mergeCell ref="N50:O50"/>
    <mergeCell ref="K40:M40"/>
    <mergeCell ref="N40:O40"/>
    <mergeCell ref="H40:I40"/>
    <mergeCell ref="H38:I38"/>
    <mergeCell ref="K38:M38"/>
    <mergeCell ref="N35:O35"/>
    <mergeCell ref="N57:O57"/>
    <mergeCell ref="N46:O46"/>
    <mergeCell ref="N48:O48"/>
    <mergeCell ref="N47:O47"/>
    <mergeCell ref="N49:O49"/>
    <mergeCell ref="N37:O37"/>
    <mergeCell ref="C37:G38"/>
    <mergeCell ref="H39:I39"/>
    <mergeCell ref="K39:M39"/>
    <mergeCell ref="U10:U12"/>
    <mergeCell ref="T10:T12"/>
    <mergeCell ref="V10:V12"/>
    <mergeCell ref="B10:G12"/>
    <mergeCell ref="N18:O18"/>
    <mergeCell ref="H20:I20"/>
    <mergeCell ref="H19:I19"/>
    <mergeCell ref="K19:M19"/>
    <mergeCell ref="C19:G20"/>
    <mergeCell ref="H17:I17"/>
    <mergeCell ref="K20:M20"/>
    <mergeCell ref="H16:I16"/>
    <mergeCell ref="K16:M16"/>
    <mergeCell ref="N16:O16"/>
    <mergeCell ref="N15:O15"/>
    <mergeCell ref="H10:I12"/>
    <mergeCell ref="K15:M15"/>
    <mergeCell ref="C13:G14"/>
    <mergeCell ref="K34:M34"/>
    <mergeCell ref="N34:O34"/>
  </mergeCells>
  <phoneticPr fontId="12" type="noConversion"/>
  <conditionalFormatting sqref="J29">
    <cfRule type="expression" dxfId="814" priority="125" stopIfTrue="1">
      <formula>IF(SUM(#REF!)&gt;0,1,0)</formula>
    </cfRule>
  </conditionalFormatting>
  <conditionalFormatting sqref="J9 H9">
    <cfRule type="expression" dxfId="813" priority="472" stopIfTrue="1">
      <formula>IF(SUM(#REF!)&gt;0,1,0)</formula>
    </cfRule>
  </conditionalFormatting>
  <conditionalFormatting sqref="H29">
    <cfRule type="expression" dxfId="812" priority="474" stopIfTrue="1">
      <formula>IF(SUM(#REF!)&gt;0,1,0)</formula>
    </cfRule>
  </conditionalFormatting>
  <conditionalFormatting sqref="B8:O8">
    <cfRule type="expression" dxfId="811" priority="50">
      <formula>IF(NoColor,1,0)</formula>
    </cfRule>
  </conditionalFormatting>
  <conditionalFormatting sqref="H16:O16">
    <cfRule type="expression" dxfId="810" priority="49">
      <formula>IF(NoColor,1,0)</formula>
    </cfRule>
  </conditionalFormatting>
  <conditionalFormatting sqref="N22:O22">
    <cfRule type="expression" dxfId="809" priority="46">
      <formula>IF(NoColor,1,0)</formula>
    </cfRule>
  </conditionalFormatting>
  <conditionalFormatting sqref="N24:O24">
    <cfRule type="expression" dxfId="808" priority="45">
      <formula>IF(NoColor,1,0)</formula>
    </cfRule>
  </conditionalFormatting>
  <conditionalFormatting sqref="N26:O26">
    <cfRule type="expression" dxfId="807" priority="44">
      <formula>IF(NoColor,1,0)</formula>
    </cfRule>
  </conditionalFormatting>
  <conditionalFormatting sqref="N87:O87">
    <cfRule type="expression" dxfId="806" priority="30">
      <formula>IF(NoColor,1,0)</formula>
    </cfRule>
  </conditionalFormatting>
  <conditionalFormatting sqref="N42:O42">
    <cfRule type="expression" dxfId="805" priority="42">
      <formula>IF(NoColor,1,0)</formula>
    </cfRule>
  </conditionalFormatting>
  <conditionalFormatting sqref="N44:O44">
    <cfRule type="expression" dxfId="804" priority="41">
      <formula>IF(NoColor,1,0)</formula>
    </cfRule>
  </conditionalFormatting>
  <conditionalFormatting sqref="N46:O46">
    <cfRule type="expression" dxfId="803" priority="40">
      <formula>IF(NoColor,1,0)</formula>
    </cfRule>
  </conditionalFormatting>
  <conditionalFormatting sqref="N48:O48">
    <cfRule type="expression" dxfId="802" priority="39">
      <formula>IF(NoColor,1,0)</formula>
    </cfRule>
  </conditionalFormatting>
  <conditionalFormatting sqref="N28:O28">
    <cfRule type="expression" dxfId="801" priority="37">
      <formula>IF(NoColor,1,0)</formula>
    </cfRule>
  </conditionalFormatting>
  <conditionalFormatting sqref="N58:O58">
    <cfRule type="expression" dxfId="800" priority="33">
      <formula>IF(NoColor,1,0)</formula>
    </cfRule>
  </conditionalFormatting>
  <conditionalFormatting sqref="N72:O72">
    <cfRule type="expression" dxfId="799" priority="32">
      <formula>IF(NoColor,1,0)</formula>
    </cfRule>
  </conditionalFormatting>
  <conditionalFormatting sqref="N75:O75">
    <cfRule type="expression" dxfId="798" priority="31">
      <formula>IF(NoColor,1,0)</formula>
    </cfRule>
  </conditionalFormatting>
  <conditionalFormatting sqref="H18:O18">
    <cfRule type="expression" dxfId="797" priority="11">
      <formula>IF(NoColor,1,0)</formula>
    </cfRule>
  </conditionalFormatting>
  <conditionalFormatting sqref="H20:O20">
    <cfRule type="expression" dxfId="796" priority="10">
      <formula>IF(NoColor,1,0)</formula>
    </cfRule>
  </conditionalFormatting>
  <conditionalFormatting sqref="H36:O36">
    <cfRule type="expression" dxfId="795" priority="9">
      <formula>IF(NoColor,1,0)</formula>
    </cfRule>
  </conditionalFormatting>
  <conditionalFormatting sqref="H38:O38">
    <cfRule type="expression" dxfId="794" priority="8">
      <formula>IF(NoColor,1,0)</formula>
    </cfRule>
  </conditionalFormatting>
  <conditionalFormatting sqref="H40:O40">
    <cfRule type="expression" dxfId="793" priority="7">
      <formula>IF(NoColor,1,0)</formula>
    </cfRule>
  </conditionalFormatting>
  <conditionalFormatting sqref="N50:O50">
    <cfRule type="expression" dxfId="792" priority="6">
      <formula>IF(NoColor,1,0)</formula>
    </cfRule>
  </conditionalFormatting>
  <conditionalFormatting sqref="H14:I14 K14:M14">
    <cfRule type="expression" dxfId="791" priority="5">
      <formula>IF(NoColor,1,0)</formula>
    </cfRule>
  </conditionalFormatting>
  <conditionalFormatting sqref="H34:M34">
    <cfRule type="expression" dxfId="790" priority="4">
      <formula>IF(NoColor,1,0)</formula>
    </cfRule>
  </conditionalFormatting>
  <conditionalFormatting sqref="N14:O14">
    <cfRule type="expression" dxfId="789" priority="3">
      <formula>IF(NoColor,1,0)</formula>
    </cfRule>
  </conditionalFormatting>
  <conditionalFormatting sqref="N34:O34">
    <cfRule type="expression" dxfId="788" priority="2">
      <formula>IF(NoColor,1,0)</formula>
    </cfRule>
  </conditionalFormatting>
  <conditionalFormatting sqref="J14">
    <cfRule type="expression" dxfId="787" priority="1">
      <formula>IF(NoColor,1,0)</formula>
    </cfRule>
  </conditionalFormatting>
  <hyperlinks>
    <hyperlink ref="D105:H105" r:id="rId1" display="Download Form 1040 Schedule D"/>
    <hyperlink ref="D107:H107" r:id="rId2" display="Download Form 1040 Schedule D Instructions"/>
  </hyperlinks>
  <printOptions horizontalCentered="1"/>
  <pageMargins left="0.44" right="0.25" top="0.34" bottom="0.25" header="0.28000000000000003" footer="0.25"/>
  <pageSetup scale="90" fitToHeight="0" orientation="portrait" horizontalDpi="120" verticalDpi="144" r:id="rId3"/>
  <headerFooter alignWithMargins="0"/>
  <rowBreaks count="2" manualBreakCount="2">
    <brk id="51" min="1" max="13" man="1"/>
    <brk id="100" min="1" max="12" man="1"/>
  </rowBreak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294</vt:i4>
      </vt:variant>
    </vt:vector>
  </HeadingPairs>
  <TitlesOfParts>
    <vt:vector size="325" baseType="lpstr">
      <vt:lpstr>Disclaimer</vt:lpstr>
      <vt:lpstr>W-2s</vt:lpstr>
      <vt:lpstr>1099-R</vt:lpstr>
      <vt:lpstr>SSA-1099</vt:lpstr>
      <vt:lpstr>1040</vt:lpstr>
      <vt:lpstr>Sch. A</vt:lpstr>
      <vt:lpstr>Sch. B</vt:lpstr>
      <vt:lpstr>Sch. C</vt:lpstr>
      <vt:lpstr>Sch. D</vt:lpstr>
      <vt:lpstr>Sch. D WS</vt:lpstr>
      <vt:lpstr>Sch. E (1)</vt:lpstr>
      <vt:lpstr>Sch. E (2)</vt:lpstr>
      <vt:lpstr>Sch. F</vt:lpstr>
      <vt:lpstr>Sch. SE</vt:lpstr>
      <vt:lpstr>2441</vt:lpstr>
      <vt:lpstr>6251</vt:lpstr>
      <vt:lpstr>8949A</vt:lpstr>
      <vt:lpstr>8949B</vt:lpstr>
      <vt:lpstr>8949C</vt:lpstr>
      <vt:lpstr>8959</vt:lpstr>
      <vt:lpstr>8960</vt:lpstr>
      <vt:lpstr>8962</vt:lpstr>
      <vt:lpstr>Line 10</vt:lpstr>
      <vt:lpstr>Line 16</vt:lpstr>
      <vt:lpstr>Line 20</vt:lpstr>
      <vt:lpstr>Line 32</vt:lpstr>
      <vt:lpstr>Line 44</vt:lpstr>
      <vt:lpstr>Line 52</vt:lpstr>
      <vt:lpstr>Tax Table</vt:lpstr>
      <vt:lpstr>Changes</vt:lpstr>
      <vt:lpstr>Sheet1</vt:lpstr>
      <vt:lpstr>Adj_Gross_Inc</vt:lpstr>
      <vt:lpstr>Alaska</vt:lpstr>
      <vt:lpstr>AltMinTax</vt:lpstr>
      <vt:lpstr>AltMinTaxInc</vt:lpstr>
      <vt:lpstr>AMT</vt:lpstr>
      <vt:lpstr>AMTExemption</vt:lpstr>
      <vt:lpstr>AMTExemptionFlag</vt:lpstr>
      <vt:lpstr>Business_Profit</vt:lpstr>
      <vt:lpstr>Cap_Gain</vt:lpstr>
      <vt:lpstr>Care_Expenses</vt:lpstr>
      <vt:lpstr>CGTW</vt:lpstr>
      <vt:lpstr>CGTW_Line1</vt:lpstr>
      <vt:lpstr>CGTW_Line7</vt:lpstr>
      <vt:lpstr>CGTW_Tax</vt:lpstr>
      <vt:lpstr>Child_Tax_Credit</vt:lpstr>
      <vt:lpstr>Child_Tax_Credit_1040</vt:lpstr>
      <vt:lpstr>ChildCareCredit</vt:lpstr>
      <vt:lpstr>ChildUnder24</vt:lpstr>
      <vt:lpstr>Ded_4_Exmptn_Wrks</vt:lpstr>
      <vt:lpstr>Deduction</vt:lpstr>
      <vt:lpstr>Dependent_Care</vt:lpstr>
      <vt:lpstr>DependentSPOUSE</vt:lpstr>
      <vt:lpstr>DependentYOU</vt:lpstr>
      <vt:lpstr>Dividend_Inc</vt:lpstr>
      <vt:lpstr>Dotted_Line</vt:lpstr>
      <vt:lpstr>Dual_Status_Alien</vt:lpstr>
      <vt:lpstr>EarnedIncome</vt:lpstr>
      <vt:lpstr>EarnedIncomeCredit</vt:lpstr>
      <vt:lpstr>Education</vt:lpstr>
      <vt:lpstr>EndOfTaxYear</vt:lpstr>
      <vt:lpstr>ExcessSSTax</vt:lpstr>
      <vt:lpstr>ExemptionAllowance</vt:lpstr>
      <vt:lpstr>F1040_Line10</vt:lpstr>
      <vt:lpstr>F1040_Line41</vt:lpstr>
      <vt:lpstr>F1040_Line47</vt:lpstr>
      <vt:lpstr>F6251_Needed</vt:lpstr>
      <vt:lpstr>F6251_PIII</vt:lpstr>
      <vt:lpstr>F8949ALBOXA</vt:lpstr>
      <vt:lpstr>F8949ALBOXB</vt:lpstr>
      <vt:lpstr>F8949ALBOXC</vt:lpstr>
      <vt:lpstr>F8949ALT</vt:lpstr>
      <vt:lpstr>F8949ALTD</vt:lpstr>
      <vt:lpstr>F8949ALTE</vt:lpstr>
      <vt:lpstr>F8949ALTG</vt:lpstr>
      <vt:lpstr>F8949ALTH</vt:lpstr>
      <vt:lpstr>F8949ASBOXA</vt:lpstr>
      <vt:lpstr>F8949ASBOXB</vt:lpstr>
      <vt:lpstr>F8949ASBOXC</vt:lpstr>
      <vt:lpstr>F8949AST</vt:lpstr>
      <vt:lpstr>F8949ASTD</vt:lpstr>
      <vt:lpstr>F8949ASTE</vt:lpstr>
      <vt:lpstr>F8949ASTG</vt:lpstr>
      <vt:lpstr>F8949ASTH</vt:lpstr>
      <vt:lpstr>F8949BLBOXA</vt:lpstr>
      <vt:lpstr>F8949BLBOXB</vt:lpstr>
      <vt:lpstr>F8949BLBOXC</vt:lpstr>
      <vt:lpstr>F8949BLT</vt:lpstr>
      <vt:lpstr>F8949BLTD</vt:lpstr>
      <vt:lpstr>F8949BLTE</vt:lpstr>
      <vt:lpstr>F8949BLTG</vt:lpstr>
      <vt:lpstr>F8949BLTH</vt:lpstr>
      <vt:lpstr>F8949BSBOXA</vt:lpstr>
      <vt:lpstr>F8949BSBOXB</vt:lpstr>
      <vt:lpstr>F8949BSBOXC</vt:lpstr>
      <vt:lpstr>F8949BST</vt:lpstr>
      <vt:lpstr>F8949BSTD</vt:lpstr>
      <vt:lpstr>F8949BSTE</vt:lpstr>
      <vt:lpstr>F8949BSTG</vt:lpstr>
      <vt:lpstr>F8949BSTH</vt:lpstr>
      <vt:lpstr>F8949CLBOXA</vt:lpstr>
      <vt:lpstr>F8949CLBOXB</vt:lpstr>
      <vt:lpstr>F8949CLBOXC</vt:lpstr>
      <vt:lpstr>F8949CLT</vt:lpstr>
      <vt:lpstr>F8949CLTD</vt:lpstr>
      <vt:lpstr>F8949CLTE</vt:lpstr>
      <vt:lpstr>F8949CLTG</vt:lpstr>
      <vt:lpstr>F8949CLTH</vt:lpstr>
      <vt:lpstr>F8949CSBOXA</vt:lpstr>
      <vt:lpstr>F8949CSBOXB</vt:lpstr>
      <vt:lpstr>F8949CSBOXC</vt:lpstr>
      <vt:lpstr>F8949CST</vt:lpstr>
      <vt:lpstr>F8949CSTD</vt:lpstr>
      <vt:lpstr>F8949CSTE</vt:lpstr>
      <vt:lpstr>F8949CSTG</vt:lpstr>
      <vt:lpstr>F8949CSTH</vt:lpstr>
      <vt:lpstr>F8959_Tax</vt:lpstr>
      <vt:lpstr>F8959_WH</vt:lpstr>
      <vt:lpstr>F8960_Tax</vt:lpstr>
      <vt:lpstr>FarmProfitNet</vt:lpstr>
      <vt:lpstr>File_Head</vt:lpstr>
      <vt:lpstr>File_Marr_Joint</vt:lpstr>
      <vt:lpstr>File_Marr_Sep</vt:lpstr>
      <vt:lpstr>File_Qual_Widow</vt:lpstr>
      <vt:lpstr>File_Single</vt:lpstr>
      <vt:lpstr>Foreign_Tax_Credit</vt:lpstr>
      <vt:lpstr>Form_2441</vt:lpstr>
      <vt:lpstr>Gambling_Loss</vt:lpstr>
      <vt:lpstr>Hawaii</vt:lpstr>
      <vt:lpstr>Interest_Inc</vt:lpstr>
      <vt:lpstr>IRA_Deduction</vt:lpstr>
      <vt:lpstr>IRA_Fed_Tax_WH</vt:lpstr>
      <vt:lpstr>IRA_Taxable</vt:lpstr>
      <vt:lpstr>Item_Deduct_Wks_L9</vt:lpstr>
      <vt:lpstr>ItemizeAnyway</vt:lpstr>
      <vt:lpstr>ItemizedDeduct</vt:lpstr>
      <vt:lpstr>Lived_apart</vt:lpstr>
      <vt:lpstr>LivedApart</vt:lpstr>
      <vt:lpstr>LivedWithYou</vt:lpstr>
      <vt:lpstr>LocalTaxIRA</vt:lpstr>
      <vt:lpstr>LocalTaxPA</vt:lpstr>
      <vt:lpstr>LocalTaxW2</vt:lpstr>
      <vt:lpstr>MaxSSTax</vt:lpstr>
      <vt:lpstr>MaxSSTaxEarnings</vt:lpstr>
      <vt:lpstr>MedCare_Tax_Withheld</vt:lpstr>
      <vt:lpstr>MedCare_wages</vt:lpstr>
      <vt:lpstr>Name_1st_Sp</vt:lpstr>
      <vt:lpstr>Name_1st_Yours</vt:lpstr>
      <vt:lpstr>Name_Last_Sp</vt:lpstr>
      <vt:lpstr>Name_Last_Yours</vt:lpstr>
      <vt:lpstr>Names</vt:lpstr>
      <vt:lpstr>NameSpouse</vt:lpstr>
      <vt:lpstr>NameYours</vt:lpstr>
      <vt:lpstr>NoColor</vt:lpstr>
      <vt:lpstr>NumFileStatusBoxes</vt:lpstr>
      <vt:lpstr>Over_65_or_Blind</vt:lpstr>
      <vt:lpstr>Overpaid</vt:lpstr>
      <vt:lpstr>PA_Fed_Tax_WH</vt:lpstr>
      <vt:lpstr>Pension_taxable</vt:lpstr>
      <vt:lpstr>Pension_total</vt:lpstr>
      <vt:lpstr>'1040'!Print_Area</vt:lpstr>
      <vt:lpstr>'1099-R'!Print_Area</vt:lpstr>
      <vt:lpstr>'2441'!Print_Area</vt:lpstr>
      <vt:lpstr>'6251'!Print_Area</vt:lpstr>
      <vt:lpstr>'8949A'!Print_Area</vt:lpstr>
      <vt:lpstr>'8949B'!Print_Area</vt:lpstr>
      <vt:lpstr>'8949C'!Print_Area</vt:lpstr>
      <vt:lpstr>'8959'!Print_Area</vt:lpstr>
      <vt:lpstr>'8960'!Print_Area</vt:lpstr>
      <vt:lpstr>'8962'!Print_Area</vt:lpstr>
      <vt:lpstr>'Line 10'!Print_Area</vt:lpstr>
      <vt:lpstr>'Line 16'!Print_Area</vt:lpstr>
      <vt:lpstr>'Line 20'!Print_Area</vt:lpstr>
      <vt:lpstr>'Line 32'!Print_Area</vt:lpstr>
      <vt:lpstr>'Line 44'!Print_Area</vt:lpstr>
      <vt:lpstr>'Line 52'!Print_Area</vt:lpstr>
      <vt:lpstr>'Sch. A'!Print_Area</vt:lpstr>
      <vt:lpstr>'Sch. B'!Print_Area</vt:lpstr>
      <vt:lpstr>'Sch. C'!Print_Area</vt:lpstr>
      <vt:lpstr>'Sch. D'!Print_Area</vt:lpstr>
      <vt:lpstr>'Sch. D WS'!Print_Area</vt:lpstr>
      <vt:lpstr>'Sch. E (1)'!Print_Area</vt:lpstr>
      <vt:lpstr>'Sch. E (2)'!Print_Area</vt:lpstr>
      <vt:lpstr>'Sch. F'!Print_Area</vt:lpstr>
      <vt:lpstr>'Sch. SE'!Print_Area</vt:lpstr>
      <vt:lpstr>'SSA-1099'!Print_Area</vt:lpstr>
      <vt:lpstr>'Tax Table'!Print_Area</vt:lpstr>
      <vt:lpstr>'W-2s'!Print_Area</vt:lpstr>
      <vt:lpstr>'Tax Table'!Print_Titles</vt:lpstr>
      <vt:lpstr>Pub_972</vt:lpstr>
      <vt:lpstr>Qual_Child_Count</vt:lpstr>
      <vt:lpstr>Qualified_Dividends</vt:lpstr>
      <vt:lpstr>ResEnergyCredits</vt:lpstr>
      <vt:lpstr>Retirement_Savings</vt:lpstr>
      <vt:lpstr>SchA_Filed</vt:lpstr>
      <vt:lpstr>SchD_NotReqd</vt:lpstr>
      <vt:lpstr>SchDLine15</vt:lpstr>
      <vt:lpstr>SchDLine16</vt:lpstr>
      <vt:lpstr>SchDLine18</vt:lpstr>
      <vt:lpstr>SchDLine19</vt:lpstr>
      <vt:lpstr>SchDTW_Line1</vt:lpstr>
      <vt:lpstr>SchDTW_Line19</vt:lpstr>
      <vt:lpstr>SchDTW_Used</vt:lpstr>
      <vt:lpstr>SchE1_Line26</vt:lpstr>
      <vt:lpstr>SchE2_Completed</vt:lpstr>
      <vt:lpstr>SchE2_Line32</vt:lpstr>
      <vt:lpstr>SchE2_Line37</vt:lpstr>
      <vt:lpstr>SchE2_Line39</vt:lpstr>
      <vt:lpstr>SchE2_Line40</vt:lpstr>
      <vt:lpstr>SchE2_Line41</vt:lpstr>
      <vt:lpstr>SCHEDULE_C</vt:lpstr>
      <vt:lpstr>SCHEDULE_D</vt:lpstr>
      <vt:lpstr>ScheduleF_PartIII</vt:lpstr>
      <vt:lpstr>SD_Head</vt:lpstr>
      <vt:lpstr>SD_MFJW</vt:lpstr>
      <vt:lpstr>SD_Single</vt:lpstr>
      <vt:lpstr>SectA_a3</vt:lpstr>
      <vt:lpstr>SectA_a4</vt:lpstr>
      <vt:lpstr>SectA_a5</vt:lpstr>
      <vt:lpstr>SectA_a6</vt:lpstr>
      <vt:lpstr>SectA_b4</vt:lpstr>
      <vt:lpstr>SectA_b5</vt:lpstr>
      <vt:lpstr>SectA_b6</vt:lpstr>
      <vt:lpstr>SectA_b7</vt:lpstr>
      <vt:lpstr>SectA_D1</vt:lpstr>
      <vt:lpstr>SectA_d4</vt:lpstr>
      <vt:lpstr>SectA_d5</vt:lpstr>
      <vt:lpstr>SectA_d6</vt:lpstr>
      <vt:lpstr>SectA_d7</vt:lpstr>
      <vt:lpstr>SectB_a2</vt:lpstr>
      <vt:lpstr>SectB_a3</vt:lpstr>
      <vt:lpstr>SectB_a4</vt:lpstr>
      <vt:lpstr>SectB_a5</vt:lpstr>
      <vt:lpstr>SectB_a6</vt:lpstr>
      <vt:lpstr>SectB_b3</vt:lpstr>
      <vt:lpstr>SectB_b4</vt:lpstr>
      <vt:lpstr>SectB_b5</vt:lpstr>
      <vt:lpstr>SectB_b6</vt:lpstr>
      <vt:lpstr>SectB_b7</vt:lpstr>
      <vt:lpstr>SectB_d3</vt:lpstr>
      <vt:lpstr>SectB_d4</vt:lpstr>
      <vt:lpstr>SectB_d5</vt:lpstr>
      <vt:lpstr>SectB_d6</vt:lpstr>
      <vt:lpstr>SectB_d7</vt:lpstr>
      <vt:lpstr>SectC_a2</vt:lpstr>
      <vt:lpstr>SectC_a3</vt:lpstr>
      <vt:lpstr>SectC_a4</vt:lpstr>
      <vt:lpstr>SectC_a5</vt:lpstr>
      <vt:lpstr>SectC_b3</vt:lpstr>
      <vt:lpstr>SectC_b4</vt:lpstr>
      <vt:lpstr>SectC_b5</vt:lpstr>
      <vt:lpstr>SectC_b6</vt:lpstr>
      <vt:lpstr>SectC_d3</vt:lpstr>
      <vt:lpstr>SectC_d4</vt:lpstr>
      <vt:lpstr>SectC_d5</vt:lpstr>
      <vt:lpstr>SectC_d6</vt:lpstr>
      <vt:lpstr>SectD_a2</vt:lpstr>
      <vt:lpstr>SectD_a3</vt:lpstr>
      <vt:lpstr>SectD_a4</vt:lpstr>
      <vt:lpstr>SectD_a5</vt:lpstr>
      <vt:lpstr>SectD_a6</vt:lpstr>
      <vt:lpstr>SectD_b3</vt:lpstr>
      <vt:lpstr>SectD_b4</vt:lpstr>
      <vt:lpstr>SectD_b5</vt:lpstr>
      <vt:lpstr>SectD_b6</vt:lpstr>
      <vt:lpstr>SectD_b7</vt:lpstr>
      <vt:lpstr>SectD_d3</vt:lpstr>
      <vt:lpstr>SectD_d4</vt:lpstr>
      <vt:lpstr>SectD_d5</vt:lpstr>
      <vt:lpstr>SectD_d6</vt:lpstr>
      <vt:lpstr>SectD_d7</vt:lpstr>
      <vt:lpstr>Skip2141</vt:lpstr>
      <vt:lpstr>Skip3141</vt:lpstr>
      <vt:lpstr>Skip3338</vt:lpstr>
      <vt:lpstr>Skip3941</vt:lpstr>
      <vt:lpstr>sp_blind</vt:lpstr>
      <vt:lpstr>sp_over_64</vt:lpstr>
      <vt:lpstr>SpaceUsed_1040</vt:lpstr>
      <vt:lpstr>SpaceUsed_8949A</vt:lpstr>
      <vt:lpstr>SpaceUsed_8949A_LT</vt:lpstr>
      <vt:lpstr>SpaceUsed_8949A_ST</vt:lpstr>
      <vt:lpstr>SpaceUsed_8949B_LT</vt:lpstr>
      <vt:lpstr>SpaceUsed_8949B_ST</vt:lpstr>
      <vt:lpstr>SpaceUsed_8949C_LT</vt:lpstr>
      <vt:lpstr>SpaceUsed_8949C_ST</vt:lpstr>
      <vt:lpstr>Spouse</vt:lpstr>
      <vt:lpstr>SpouseAge</vt:lpstr>
      <vt:lpstr>SpouseAgeDecimal</vt:lpstr>
      <vt:lpstr>SS_Spouse</vt:lpstr>
      <vt:lpstr>SS_Yours</vt:lpstr>
      <vt:lpstr>Standard</vt:lpstr>
      <vt:lpstr>state</vt:lpstr>
      <vt:lpstr>State_Local_Tax_Refund</vt:lpstr>
      <vt:lpstr>StateTaxIRA</vt:lpstr>
      <vt:lpstr>StateTaxPA</vt:lpstr>
      <vt:lpstr>StateTaxW2</vt:lpstr>
      <vt:lpstr>Std_Ded_Wrks</vt:lpstr>
      <vt:lpstr>Std_Ded_Wrks_For_Dep</vt:lpstr>
      <vt:lpstr>StdDeduct</vt:lpstr>
      <vt:lpstr>Tax</vt:lpstr>
      <vt:lpstr>Tax_SS_Benefits</vt:lpstr>
      <vt:lpstr>Taxable_Inc</vt:lpstr>
      <vt:lpstr>TaxableInterest</vt:lpstr>
      <vt:lpstr>TaxPenalty</vt:lpstr>
      <vt:lpstr>TaxYear</vt:lpstr>
      <vt:lpstr>TaxYear2</vt:lpstr>
      <vt:lpstr>Tot_credits</vt:lpstr>
      <vt:lpstr>Tot_Exemptions</vt:lpstr>
      <vt:lpstr>Tot_Item_Deduct</vt:lpstr>
      <vt:lpstr>Tot_Payments</vt:lpstr>
      <vt:lpstr>Tot_Tax</vt:lpstr>
      <vt:lpstr>W2_Other</vt:lpstr>
      <vt:lpstr>W2_SS_Tax_Excess</vt:lpstr>
      <vt:lpstr>W2_SS_Tax_Withheld</vt:lpstr>
      <vt:lpstr>W2_SS_Wages</vt:lpstr>
      <vt:lpstr>W2_Tax_Withheld</vt:lpstr>
      <vt:lpstr>W2_Wages</vt:lpstr>
      <vt:lpstr>Wages</vt:lpstr>
      <vt:lpstr>you_blind</vt:lpstr>
      <vt:lpstr>you_over_64</vt:lpstr>
      <vt:lpstr>you_over_65</vt:lpstr>
      <vt:lpstr>You_Owe</vt:lpstr>
      <vt:lpstr>YourAge</vt:lpstr>
      <vt:lpstr>YourAgeDecimal</vt:lpstr>
      <vt:lpstr>Yourself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2014 Federal Income Tax Spreadsheet (www.excel1040.com)</dc:title>
  <dc:creator>(c) Glenn Reeves;2015</dc:creator>
  <cp:lastModifiedBy>Glenn W. Reeves</cp:lastModifiedBy>
  <cp:lastPrinted>2015-04-15T16:52:56Z</cp:lastPrinted>
  <dcterms:created xsi:type="dcterms:W3CDTF">1997-11-09T08:01:41Z</dcterms:created>
  <dcterms:modified xsi:type="dcterms:W3CDTF">2016-01-08T15:50:52Z</dcterms:modified>
</cp:coreProperties>
</file>