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5D445021-ED16-4A90-993F-2A06A5A83930}" xr6:coauthVersionLast="45" xr6:coauthVersionMax="45" xr10:uidLastSave="{00000000-0000-0000-0000-000000000000}"/>
  <bookViews>
    <workbookView xWindow="-110" yWindow="-110" windowWidth="18490" windowHeight="11020" activeTab="4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19" i="15"/>
  <c r="I19" i="15" s="1"/>
  <c r="J19" i="15" s="1"/>
  <c r="K19" i="15" s="1"/>
  <c r="M19" i="15"/>
  <c r="G19" i="15"/>
  <c r="E19" i="15"/>
  <c r="F19" i="15"/>
  <c r="D19" i="15"/>
  <c r="C19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19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2" i="15"/>
  <c r="I32" i="15" s="1"/>
  <c r="J32" i="15" s="1"/>
  <c r="K32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1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1" i="15"/>
  <c r="F32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2" i="15"/>
  <c r="F22" i="15"/>
  <c r="H22" i="15"/>
  <c r="I22" i="15" s="1"/>
  <c r="J22" i="15" s="1"/>
  <c r="K22" i="15" s="1"/>
  <c r="M22" i="15"/>
  <c r="E22" i="15"/>
  <c r="C22" i="15"/>
  <c r="D22" i="15"/>
  <c r="L19" i="11"/>
  <c r="L43" i="11" s="1"/>
  <c r="L67" i="11" s="1"/>
  <c r="BN8" i="14"/>
  <c r="BO8" i="14" s="1"/>
  <c r="BQ8" i="14" s="1"/>
  <c r="BP8" i="14" s="1"/>
  <c r="G31" i="15"/>
  <c r="CE4" i="14"/>
  <c r="CG4" i="14" s="1"/>
  <c r="CF4" i="14" s="1"/>
  <c r="M33" i="15"/>
  <c r="G33" i="15"/>
  <c r="E33" i="15"/>
  <c r="H33" i="15"/>
  <c r="I33" i="15" s="1"/>
  <c r="J33" i="15" s="1"/>
  <c r="K33" i="15" s="1"/>
  <c r="F33" i="15"/>
  <c r="C33" i="15"/>
  <c r="D33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2" i="15"/>
  <c r="M31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2" i="15"/>
  <c r="H31" i="15"/>
  <c r="I31" i="15" s="1"/>
  <c r="J31" i="15" s="1"/>
  <c r="K31" i="15" s="1"/>
  <c r="T25" i="11"/>
  <c r="T49" i="11" s="1"/>
  <c r="T73" i="11" s="1"/>
  <c r="T26" i="11"/>
  <c r="T50" i="11" s="1"/>
  <c r="T74" i="11" s="1"/>
  <c r="G32" i="15"/>
  <c r="D31" i="15"/>
  <c r="L31" i="15" s="1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2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0" i="15"/>
  <c r="I30" i="15" s="1"/>
  <c r="J30" i="15" s="1"/>
  <c r="K30" i="15" s="1"/>
  <c r="M30" i="15"/>
  <c r="G30" i="15"/>
  <c r="E30" i="15"/>
  <c r="F30" i="15"/>
  <c r="D30" i="15"/>
  <c r="C30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2" i="15"/>
  <c r="F31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AD12" i="14" l="1"/>
  <c r="AE12" i="14" s="1"/>
  <c r="AG12" i="14" s="1"/>
  <c r="AF12" i="14" s="1"/>
  <c r="L17" i="11"/>
  <c r="L41" i="11" s="1"/>
  <c r="L65" i="11" s="1"/>
  <c r="L33" i="15"/>
  <c r="O21" i="11"/>
  <c r="O45" i="11" s="1"/>
  <c r="O69" i="11" s="1"/>
  <c r="F20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3" i="15"/>
  <c r="H23" i="15"/>
  <c r="I23" i="15" s="1"/>
  <c r="J23" i="15" s="1"/>
  <c r="K23" i="15" s="1"/>
  <c r="F23" i="15"/>
  <c r="M23" i="15"/>
  <c r="E23" i="15"/>
  <c r="D23" i="15"/>
  <c r="C23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0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0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7" i="15"/>
  <c r="I17" i="15" s="1"/>
  <c r="J17" i="15" s="1"/>
  <c r="K17" i="15" s="1"/>
  <c r="M17" i="15"/>
  <c r="G17" i="15"/>
  <c r="E17" i="15"/>
  <c r="F17" i="15"/>
  <c r="C17" i="15"/>
  <c r="D17" i="15"/>
  <c r="F21" i="15"/>
  <c r="N25" i="11"/>
  <c r="N49" i="11" s="1"/>
  <c r="N73" i="11" s="1"/>
  <c r="M20" i="11"/>
  <c r="M44" i="11" s="1"/>
  <c r="M68" i="11" s="1"/>
  <c r="H21" i="15"/>
  <c r="I21" i="15" s="1"/>
  <c r="J21" i="15" s="1"/>
  <c r="K21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0" i="15"/>
  <c r="I20" i="15" s="1"/>
  <c r="J20" i="15" s="1"/>
  <c r="K20" i="15" s="1"/>
  <c r="M18" i="11"/>
  <c r="M42" i="11" s="1"/>
  <c r="M66" i="11" s="1"/>
  <c r="L22" i="15"/>
  <c r="O20" i="11"/>
  <c r="O44" i="11" s="1"/>
  <c r="O68" i="11" s="1"/>
  <c r="E21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27" i="15"/>
  <c r="I27" i="15" s="1"/>
  <c r="J27" i="15" s="1"/>
  <c r="K27" i="15" s="1"/>
  <c r="M27" i="15"/>
  <c r="G27" i="15"/>
  <c r="E27" i="15"/>
  <c r="F27" i="15"/>
  <c r="C27" i="15"/>
  <c r="D27" i="15"/>
  <c r="L22" i="11"/>
  <c r="L46" i="11" s="1"/>
  <c r="L70" i="11" s="1"/>
  <c r="G21" i="15"/>
  <c r="N21" i="11"/>
  <c r="N45" i="11" s="1"/>
  <c r="N69" i="11" s="1"/>
  <c r="M20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0" i="15"/>
  <c r="M23" i="11"/>
  <c r="M47" i="11" s="1"/>
  <c r="M71" i="11" s="1"/>
  <c r="M21" i="15"/>
  <c r="N22" i="11"/>
  <c r="N46" i="11" s="1"/>
  <c r="N70" i="11" s="1"/>
  <c r="D20" i="15"/>
  <c r="M24" i="11"/>
  <c r="M48" i="11" s="1"/>
  <c r="M72" i="11" s="1"/>
  <c r="L32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4" i="15"/>
  <c r="H24" i="15"/>
  <c r="I24" i="15" s="1"/>
  <c r="J24" i="15" s="1"/>
  <c r="K24" i="15" s="1"/>
  <c r="F24" i="15"/>
  <c r="M24" i="15"/>
  <c r="E24" i="15"/>
  <c r="C24" i="15"/>
  <c r="D24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0" i="15"/>
  <c r="D21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18" i="15"/>
  <c r="I18" i="15" s="1"/>
  <c r="J18" i="15" s="1"/>
  <c r="K18" i="15" s="1"/>
  <c r="M18" i="15"/>
  <c r="G18" i="15"/>
  <c r="E18" i="15"/>
  <c r="F18" i="15"/>
  <c r="D18" i="15"/>
  <c r="C18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1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4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1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4" i="15"/>
  <c r="H14" i="15"/>
  <c r="I14" i="15" s="1"/>
  <c r="J14" i="15" s="1"/>
  <c r="K14" i="15" s="1"/>
  <c r="F14" i="15"/>
  <c r="M14" i="15"/>
  <c r="E14" i="15"/>
  <c r="C14" i="15"/>
  <c r="D14" i="15"/>
  <c r="V10" i="10"/>
  <c r="X10" i="10" s="1"/>
  <c r="W10" i="10" s="1"/>
  <c r="AT11" i="10"/>
  <c r="AV11" i="10" s="1"/>
  <c r="AU11" i="10" s="1"/>
  <c r="L23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3" i="15"/>
  <c r="H13" i="15"/>
  <c r="I13" i="15" s="1"/>
  <c r="J13" i="15" s="1"/>
  <c r="K13" i="15" s="1"/>
  <c r="F13" i="15"/>
  <c r="M13" i="15"/>
  <c r="E13" i="15"/>
  <c r="C13" i="15"/>
  <c r="D13" i="15"/>
  <c r="L13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18" i="15"/>
  <c r="AT4" i="10"/>
  <c r="AV4" i="10" s="1"/>
  <c r="AU4" i="10" s="1"/>
  <c r="L27" i="15"/>
  <c r="L17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0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4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L10" i="15" s="1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L8" i="15" s="1"/>
  <c r="C8" i="15"/>
  <c r="E42" i="10"/>
  <c r="E41" i="10"/>
  <c r="L9" i="15" l="1"/>
  <c r="L7" i="15"/>
  <c r="L6" i="15"/>
  <c r="L5" i="15"/>
</calcChain>
</file>

<file path=xl/sharedStrings.xml><?xml version="1.0" encoding="utf-8"?>
<sst xmlns="http://schemas.openxmlformats.org/spreadsheetml/2006/main" count="3968" uniqueCount="929">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</sst>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10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1" fillId="0" borderId="2" xfId="0" applyFont="1" applyBorder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37" xfId="0" applyBorder="1"/>
    <xf numFmtId="0" fontId="0" fillId="0" borderId="39" xfId="0" applyBorder="1"/>
    <xf numFmtId="0" fontId="0" fillId="0" borderId="38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0" fontId="11" fillId="19" borderId="37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9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6:M27" totalsRowShown="0">
  <autoFilter ref="A26:M27" xr:uid="{DC51DB93-E186-401C-BFDE-86D3770E1402}"/>
  <tableColumns count="13">
    <tableColumn id="1" xr3:uid="{DEDE42EA-9948-4E36-9660-189B00C2A580}" name="Array" dataDxfId="7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6" dataCellStyle="Percent">
      <calculatedColumnFormula>H27/COUNT(processed_data!A:A)/3</calculatedColumnFormula>
    </tableColumn>
    <tableColumn id="10" xr3:uid="{7731E94D-8D4D-48A8-BDB8-BC0015A52542}" name="quartile index">
      <calculatedColumnFormula>IF(I27&lt;=20%, "very low", IF(I27&lt;=40%, "low", IF(I27&lt;=60%, "moderate", IF(I27&lt;=80%, "high", "very high"))))</calculatedColumnFormula>
    </tableColumn>
    <tableColumn id="11" xr3:uid="{F7D1F862-011A-49E3-B25D-40A4B7679FAC}" name="index">
      <calculatedColumnFormula>IF(J27="very high", 5, IF(J27="high", 4, IF(J27="moderate", 3, IF(J27="low", 2, 1))))</calculatedColumnFormula>
    </tableColumn>
    <tableColumn id="12" xr3:uid="{59158F77-C214-4AFC-AC99-E45154774598}" name="range">
      <calculatedColumnFormula>D27-C27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29:M33" totalsRowShown="0">
  <autoFilter ref="A29:M33" xr:uid="{2C770B99-7B41-4FE2-85F6-330D5B3CEDF5}"/>
  <tableColumns count="13">
    <tableColumn id="1" xr3:uid="{AA97BE23-90D2-4E96-AF43-8DA8E313A3A9}" name="Array" dataDxfId="5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4" dataCellStyle="Percent"/>
    <tableColumn id="10" xr3:uid="{74F02060-94EC-400D-A5F6-CBC144B3F410}" name="quartile index">
      <calculatedColumnFormula>IF(I30&lt;=20%, "very low", IF(I30&lt;=40%, "low", IF(I30&lt;=60%, "moderate", IF(I30&lt;=80%, "high", "very high"))))</calculatedColumnFormula>
    </tableColumn>
    <tableColumn id="11" xr3:uid="{69514121-0CA9-4D24-B3DF-0CB75EA97A7E}" name="index">
      <calculatedColumnFormula>IF(J30="very high", 5, IF(J30="high", 4, IF(J30="moderate", 3, IF(J30="low", 2, 1))))</calculatedColumnFormula>
    </tableColumn>
    <tableColumn id="12" xr3:uid="{1E683287-59A9-4524-A523-5182C7AEE951}" name="range">
      <calculatedColumnFormula>D30-C30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8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7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6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5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4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3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2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2:M14" totalsRowShown="0">
  <autoFilter ref="A12:M14" xr:uid="{04BFEA51-1F22-4F60-A22D-D8727EDAD7CD}"/>
  <tableColumns count="13">
    <tableColumn id="1" xr3:uid="{730E3A46-A887-49D0-9C26-EEC8E0959119}" name="Array" dataDxfId="11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10" dataCellStyle="Percent">
      <calculatedColumnFormula>H13/COUNT(processed_data!A:A)/40</calculatedColumnFormula>
    </tableColumn>
    <tableColumn id="10" xr3:uid="{110BDF92-BFF1-41AE-88A8-FFE0CF5238F7}" name="quartile index">
      <calculatedColumnFormula>IF(I13&lt;=20%, "very low", IF(I13&lt;=40%, "low", IF(I13&lt;=60%, "moderate", IF(I13&lt;=80%, "high", "very high"))))</calculatedColumnFormula>
    </tableColumn>
    <tableColumn id="11" xr3:uid="{7AD209FF-1B5B-41B6-8585-D2BAB1A5B04A}" name="index">
      <calculatedColumnFormula>IF(J13="very high", 5, IF(J13="high", 4, IF(J13="moderate", 3, IF(J13="low", 2, 1))))</calculatedColumnFormula>
    </tableColumn>
    <tableColumn id="12" xr3:uid="{A383D281-48C3-44C8-B02D-9836D2A94B51}" name="range">
      <calculatedColumnFormula>D13-C13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6:M24" totalsRowShown="0">
  <autoFilter ref="A16:M24" xr:uid="{C5FC9BBE-D7C8-4E24-AF4E-FCE1FCC47FA4}"/>
  <tableColumns count="13">
    <tableColumn id="1" xr3:uid="{C7171BCA-EC5A-43DF-A7B0-81379CB6F1DD}" name="Array" dataDxfId="9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8" dataCellStyle="Percent"/>
    <tableColumn id="10" xr3:uid="{1D49422A-6353-45F4-8FE4-98CE694C5193}" name="quartile index">
      <calculatedColumnFormula>IF(I17&lt;=20%, "very low", IF(I17&lt;=40%, "low", IF(I17&lt;=60%, "moderate", IF(I17&lt;=80%, "high", "very high"))))</calculatedColumnFormula>
    </tableColumn>
    <tableColumn id="11" xr3:uid="{2681B3DD-F385-43BB-8A3B-D11CC9110515}" name="index">
      <calculatedColumnFormula>IF(J17="very high", 5, IF(J17="high", 4, IF(J17="moderate", 3, IF(J17="low", 2, 1))))</calculatedColumnFormula>
    </tableColumn>
    <tableColumn id="12" xr3:uid="{2376277E-5A3F-4219-B509-302F462CFEAC}" name="range">
      <calculatedColumnFormula>D17-C17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F21" sqref="F21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16" t="s">
        <v>25</v>
      </c>
      <c r="M1" s="117"/>
      <c r="N1" s="117"/>
      <c r="O1" s="117"/>
      <c r="P1" s="117"/>
      <c r="Q1" s="118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24"/>
      <c r="N3" s="124"/>
      <c r="O3" s="124"/>
      <c r="P3" s="124"/>
      <c r="Q3" s="125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24"/>
      <c r="N4" s="124"/>
      <c r="O4" s="124"/>
      <c r="P4" s="124"/>
      <c r="Q4" s="125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21"/>
      <c r="M5" s="122"/>
      <c r="N5" s="122"/>
      <c r="O5" s="122"/>
      <c r="P5" s="122"/>
      <c r="Q5" s="123"/>
      <c r="R5" s="4"/>
    </row>
    <row r="6" spans="1:18" x14ac:dyDescent="0.35">
      <c r="A6" s="146" t="s">
        <v>11</v>
      </c>
      <c r="B6" s="147"/>
      <c r="C6" s="147"/>
      <c r="D6" s="147"/>
      <c r="E6" s="147"/>
      <c r="F6" s="147"/>
      <c r="G6" s="148" t="s">
        <v>10</v>
      </c>
      <c r="H6" s="149"/>
      <c r="I6" s="149"/>
      <c r="J6" s="149"/>
      <c r="K6" s="150"/>
      <c r="L6" s="121"/>
      <c r="M6" s="122"/>
      <c r="N6" s="122"/>
      <c r="O6" s="122"/>
      <c r="P6" s="122"/>
      <c r="Q6" s="123"/>
      <c r="R6" s="4"/>
    </row>
    <row r="7" spans="1:18" x14ac:dyDescent="0.35">
      <c r="A7" s="10" t="s">
        <v>9</v>
      </c>
      <c r="B7" s="103" t="s">
        <v>19</v>
      </c>
      <c r="C7" s="104"/>
      <c r="D7" s="104"/>
      <c r="E7" s="104"/>
      <c r="F7" s="104"/>
      <c r="G7" s="134" t="s">
        <v>8</v>
      </c>
      <c r="H7" s="135"/>
      <c r="I7" s="135"/>
      <c r="J7" s="135"/>
      <c r="K7" s="136"/>
      <c r="L7" s="121"/>
      <c r="M7" s="122"/>
      <c r="N7" s="122"/>
      <c r="O7" s="122"/>
      <c r="P7" s="122"/>
      <c r="Q7" s="123"/>
      <c r="R7" s="4"/>
    </row>
    <row r="8" spans="1:18" x14ac:dyDescent="0.35">
      <c r="A8" s="2" t="s">
        <v>7</v>
      </c>
      <c r="B8" s="112" t="s">
        <v>19</v>
      </c>
      <c r="C8" s="113"/>
      <c r="D8" s="113"/>
      <c r="E8" s="113"/>
      <c r="F8" s="113"/>
      <c r="G8" s="15" t="s">
        <v>6</v>
      </c>
      <c r="H8" s="139" t="s">
        <v>15</v>
      </c>
      <c r="I8" s="139"/>
      <c r="J8" s="139"/>
      <c r="K8" s="140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93" t="str">
        <f>CONCATENATE("(n = ", COUNT(raw_data!A:A), ")")</f>
        <v>(n = 10)</v>
      </c>
      <c r="C9" s="92" t="s">
        <v>927</v>
      </c>
      <c r="D9" s="94" t="s">
        <v>928</v>
      </c>
      <c r="E9" s="92"/>
      <c r="F9" s="92"/>
      <c r="G9" s="16" t="s">
        <v>12</v>
      </c>
      <c r="H9" s="137" t="s">
        <v>16</v>
      </c>
      <c r="I9" s="137"/>
      <c r="J9" s="137"/>
      <c r="K9" s="138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12" t="s">
        <v>19</v>
      </c>
      <c r="C10" s="113"/>
      <c r="D10" s="113"/>
      <c r="E10" s="113"/>
      <c r="F10" s="113"/>
      <c r="G10" s="17" t="s">
        <v>20</v>
      </c>
      <c r="H10" s="95" t="s">
        <v>26</v>
      </c>
      <c r="I10" s="96"/>
      <c r="J10" s="96"/>
      <c r="K10" s="97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14" t="s">
        <v>19</v>
      </c>
      <c r="C11" s="115"/>
      <c r="D11" s="115"/>
      <c r="E11" s="115"/>
      <c r="F11" s="115"/>
      <c r="G11" s="16" t="s">
        <v>13</v>
      </c>
      <c r="H11" s="98" t="s">
        <v>5</v>
      </c>
      <c r="I11" s="98"/>
      <c r="J11" s="98"/>
      <c r="K11" s="99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05" t="s">
        <v>1</v>
      </c>
      <c r="B12" s="106"/>
      <c r="C12" s="106"/>
      <c r="D12" s="106"/>
      <c r="E12" s="106"/>
      <c r="F12" s="106"/>
      <c r="G12" s="18" t="s">
        <v>21</v>
      </c>
      <c r="H12" s="100" t="s">
        <v>27</v>
      </c>
      <c r="I12" s="101"/>
      <c r="J12" s="101"/>
      <c r="K12" s="102"/>
      <c r="L12" s="23"/>
      <c r="M12" s="24"/>
      <c r="N12" s="24"/>
      <c r="O12" s="24"/>
      <c r="P12" s="24"/>
      <c r="Q12" s="25"/>
      <c r="R12" s="4"/>
    </row>
    <row r="13" spans="1:18" x14ac:dyDescent="0.35">
      <c r="A13" s="107" t="s">
        <v>23</v>
      </c>
      <c r="B13" s="108"/>
      <c r="C13" s="109"/>
      <c r="D13" s="110" t="s">
        <v>0</v>
      </c>
      <c r="E13" s="111"/>
      <c r="F13" s="111"/>
      <c r="G13" s="19" t="s">
        <v>14</v>
      </c>
      <c r="H13" s="141" t="s">
        <v>17</v>
      </c>
      <c r="I13" s="141"/>
      <c r="J13" s="141"/>
      <c r="K13" s="142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29" t="s">
        <v>24</v>
      </c>
      <c r="B14" s="130"/>
      <c r="C14" s="131"/>
      <c r="D14" s="132" t="s">
        <v>0</v>
      </c>
      <c r="E14" s="133"/>
      <c r="F14" s="133"/>
      <c r="G14" s="31" t="s">
        <v>22</v>
      </c>
      <c r="H14" s="143" t="s">
        <v>28</v>
      </c>
      <c r="I14" s="143"/>
      <c r="J14" s="144"/>
      <c r="K14" s="145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126" t="s">
        <v>0</v>
      </c>
      <c r="C15" s="127"/>
      <c r="D15" s="127"/>
      <c r="E15" s="127"/>
      <c r="F15" s="127"/>
      <c r="G15" s="127"/>
      <c r="H15" s="127"/>
      <c r="I15" s="128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19"/>
      <c r="I22" s="120"/>
      <c r="J22" s="120"/>
      <c r="K22" s="120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topLeftCell="IS1" workbookViewId="0">
      <selection activeCell="JB3" sqref="JB3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91" t="s">
        <v>925</v>
      </c>
      <c r="B1" s="154" t="s">
        <v>479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6"/>
      <c r="CR1" s="157" t="s">
        <v>480</v>
      </c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9"/>
      <c r="EF1" s="160" t="s">
        <v>481</v>
      </c>
      <c r="EG1" s="161"/>
      <c r="EH1" s="161"/>
      <c r="EI1" s="161"/>
      <c r="EJ1" s="161"/>
      <c r="EK1" s="161"/>
      <c r="EL1" s="161"/>
      <c r="EM1" s="161"/>
      <c r="EN1" s="161"/>
      <c r="EO1" s="162"/>
      <c r="EP1" s="163" t="s">
        <v>482</v>
      </c>
      <c r="EQ1" s="164"/>
      <c r="ER1" s="164"/>
      <c r="ES1" s="164"/>
      <c r="ET1" s="164"/>
      <c r="EU1" s="164"/>
      <c r="EV1" s="164"/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/>
      <c r="FK1" s="164"/>
      <c r="FL1" s="164"/>
      <c r="FM1" s="164"/>
      <c r="FN1" s="164"/>
      <c r="FO1" s="164"/>
      <c r="FP1" s="164"/>
      <c r="FQ1" s="164"/>
      <c r="FR1" s="164"/>
      <c r="FS1" s="164"/>
      <c r="FT1" s="164"/>
      <c r="FU1" s="164"/>
      <c r="FV1" s="164"/>
      <c r="FW1" s="164"/>
      <c r="FX1" s="164"/>
      <c r="FY1" s="164"/>
      <c r="FZ1" s="164"/>
      <c r="GA1" s="164"/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64"/>
      <c r="GQ1" s="164"/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/>
      <c r="HC1" s="164"/>
      <c r="HD1" s="164"/>
      <c r="HE1" s="171" t="s">
        <v>485</v>
      </c>
      <c r="HF1" s="172"/>
      <c r="HG1" s="173"/>
      <c r="HH1" s="177" t="s">
        <v>483</v>
      </c>
      <c r="HI1" s="178"/>
      <c r="HJ1" s="178"/>
      <c r="HK1" s="178"/>
      <c r="HL1" s="178"/>
      <c r="HM1" s="178"/>
      <c r="HN1" s="178"/>
      <c r="HO1" s="178"/>
      <c r="HP1" s="178"/>
      <c r="HQ1" s="178"/>
      <c r="HR1" s="178"/>
      <c r="HS1" s="178"/>
      <c r="HT1" s="178"/>
      <c r="HU1" s="178"/>
      <c r="HV1" s="178"/>
      <c r="HW1" s="178"/>
      <c r="HX1" s="178"/>
      <c r="HY1" s="178"/>
      <c r="HZ1" s="178"/>
      <c r="IA1" s="178"/>
      <c r="IB1" s="178"/>
      <c r="IC1" s="178"/>
      <c r="ID1" s="178"/>
      <c r="IE1" s="178"/>
      <c r="IF1" s="178"/>
      <c r="IG1" s="178"/>
      <c r="IH1" s="178"/>
      <c r="II1" s="178"/>
      <c r="IJ1" s="179"/>
      <c r="IK1" s="180" t="s">
        <v>484</v>
      </c>
      <c r="IL1" s="181"/>
      <c r="IM1" s="181"/>
      <c r="IN1" s="181"/>
      <c r="IO1" s="181"/>
      <c r="IP1" s="181"/>
      <c r="IQ1" s="181"/>
      <c r="IR1" s="181"/>
      <c r="IS1" s="181"/>
      <c r="IT1" s="181"/>
      <c r="IU1" s="181"/>
      <c r="IV1" s="181"/>
      <c r="IW1" s="181"/>
      <c r="IX1" s="181"/>
      <c r="IY1" s="181"/>
      <c r="IZ1" s="181"/>
      <c r="JA1" s="181"/>
      <c r="JB1" s="181"/>
      <c r="JC1" s="181"/>
      <c r="JD1" s="181"/>
      <c r="JE1" s="181"/>
      <c r="JF1" s="181"/>
      <c r="JG1" s="181"/>
      <c r="JH1" s="181"/>
      <c r="JI1" s="182"/>
    </row>
    <row r="2" spans="1:269" ht="15" thickBot="1" x14ac:dyDescent="0.4">
      <c r="B2" s="151" t="s">
        <v>477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3"/>
      <c r="BF2" s="151" t="s">
        <v>478</v>
      </c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3"/>
      <c r="CR2" s="151" t="s">
        <v>454</v>
      </c>
      <c r="CS2" s="152"/>
      <c r="CT2" s="152"/>
      <c r="CU2" s="152"/>
      <c r="CV2" s="153"/>
      <c r="CW2" s="151" t="s">
        <v>455</v>
      </c>
      <c r="CX2" s="152"/>
      <c r="CY2" s="152"/>
      <c r="CZ2" s="152"/>
      <c r="DA2" s="152"/>
      <c r="DB2" s="153"/>
      <c r="DC2" s="151" t="s">
        <v>456</v>
      </c>
      <c r="DD2" s="152"/>
      <c r="DE2" s="152"/>
      <c r="DF2" s="152"/>
      <c r="DG2" s="152"/>
      <c r="DH2" s="152"/>
      <c r="DI2" s="152"/>
      <c r="DJ2" s="153"/>
      <c r="DK2" s="151" t="s">
        <v>456</v>
      </c>
      <c r="DL2" s="152"/>
      <c r="DM2" s="152"/>
      <c r="DN2" s="152"/>
      <c r="DO2" s="152"/>
      <c r="DP2" s="152"/>
      <c r="DQ2" s="152"/>
      <c r="DR2" s="153"/>
      <c r="DS2" s="151" t="s">
        <v>457</v>
      </c>
      <c r="DT2" s="152"/>
      <c r="DU2" s="152"/>
      <c r="DV2" s="152"/>
      <c r="DW2" s="153"/>
      <c r="DX2" s="151" t="s">
        <v>458</v>
      </c>
      <c r="DY2" s="152"/>
      <c r="DZ2" s="152"/>
      <c r="EA2" s="152"/>
      <c r="EB2" s="152"/>
      <c r="EC2" s="152"/>
      <c r="ED2" s="152"/>
      <c r="EE2" s="153"/>
      <c r="EF2" s="151" t="s">
        <v>459</v>
      </c>
      <c r="EG2" s="153"/>
      <c r="EH2" s="168" t="s">
        <v>460</v>
      </c>
      <c r="EI2" s="169"/>
      <c r="EJ2" s="169"/>
      <c r="EK2" s="169"/>
      <c r="EL2" s="169"/>
      <c r="EM2" s="169"/>
      <c r="EN2" s="169"/>
      <c r="EO2" s="170"/>
      <c r="EP2" s="151" t="s">
        <v>461</v>
      </c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153"/>
      <c r="FB2" s="151" t="s">
        <v>462</v>
      </c>
      <c r="FC2" s="152"/>
      <c r="FD2" s="152"/>
      <c r="FE2" s="152"/>
      <c r="FF2" s="152"/>
      <c r="FG2" s="152"/>
      <c r="FH2" s="152"/>
      <c r="FI2" s="153"/>
      <c r="FJ2" s="151" t="s">
        <v>463</v>
      </c>
      <c r="FK2" s="152"/>
      <c r="FL2" s="152"/>
      <c r="FM2" s="152"/>
      <c r="FN2" s="152"/>
      <c r="FO2" s="152"/>
      <c r="FP2" s="152"/>
      <c r="FQ2" s="152"/>
      <c r="FR2" s="152"/>
      <c r="FS2" s="152"/>
      <c r="FT2" s="152"/>
      <c r="FU2" s="152"/>
      <c r="FV2" s="153"/>
      <c r="FW2" s="151" t="s">
        <v>464</v>
      </c>
      <c r="FX2" s="153"/>
      <c r="FY2" s="151" t="s">
        <v>465</v>
      </c>
      <c r="FZ2" s="152"/>
      <c r="GA2" s="152"/>
      <c r="GB2" s="152"/>
      <c r="GC2" s="152"/>
      <c r="GD2" s="152"/>
      <c r="GE2" s="152"/>
      <c r="GF2" s="152"/>
      <c r="GG2" s="152"/>
      <c r="GH2" s="152"/>
      <c r="GI2" s="152"/>
      <c r="GJ2" s="152"/>
      <c r="GK2" s="153"/>
      <c r="GL2" s="151" t="s">
        <v>466</v>
      </c>
      <c r="GM2" s="152"/>
      <c r="GN2" s="152"/>
      <c r="GO2" s="152"/>
      <c r="GP2" s="152"/>
      <c r="GQ2" s="152"/>
      <c r="GR2" s="153"/>
      <c r="GS2" s="151" t="s">
        <v>467</v>
      </c>
      <c r="GT2" s="152"/>
      <c r="GU2" s="152"/>
      <c r="GV2" s="152"/>
      <c r="GW2" s="152"/>
      <c r="GX2" s="152"/>
      <c r="GY2" s="152"/>
      <c r="GZ2" s="152"/>
      <c r="HA2" s="152"/>
      <c r="HB2" s="153"/>
      <c r="HC2" s="151" t="s">
        <v>468</v>
      </c>
      <c r="HD2" s="153"/>
      <c r="HE2" s="174"/>
      <c r="HF2" s="175"/>
      <c r="HG2" s="176"/>
      <c r="HH2" s="151" t="s">
        <v>470</v>
      </c>
      <c r="HI2" s="152"/>
      <c r="HJ2" s="152"/>
      <c r="HK2" s="152"/>
      <c r="HL2" s="152"/>
      <c r="HM2" s="152"/>
      <c r="HN2" s="153"/>
      <c r="HO2" s="151" t="s">
        <v>614</v>
      </c>
      <c r="HP2" s="152"/>
      <c r="HQ2" s="152"/>
      <c r="HR2" s="152"/>
      <c r="HS2" s="152"/>
      <c r="HT2" s="152"/>
      <c r="HU2" s="152"/>
      <c r="HV2" s="152"/>
      <c r="HW2" s="152"/>
      <c r="HX2" s="152"/>
      <c r="HY2" s="152"/>
      <c r="HZ2" s="152"/>
      <c r="IA2" s="152"/>
      <c r="IB2" s="153"/>
      <c r="IC2" s="151" t="s">
        <v>472</v>
      </c>
      <c r="ID2" s="152"/>
      <c r="IE2" s="152"/>
      <c r="IF2" s="152"/>
      <c r="IG2" s="153"/>
      <c r="IH2" s="151" t="s">
        <v>473</v>
      </c>
      <c r="II2" s="152"/>
      <c r="IJ2" s="153"/>
      <c r="IK2" s="151" t="s">
        <v>474</v>
      </c>
      <c r="IL2" s="152"/>
      <c r="IM2" s="152"/>
      <c r="IN2" s="152"/>
      <c r="IO2" s="152"/>
      <c r="IP2" s="153"/>
      <c r="IQ2" s="151" t="s">
        <v>475</v>
      </c>
      <c r="IR2" s="152"/>
      <c r="IS2" s="152"/>
      <c r="IT2" s="152"/>
      <c r="IU2" s="152"/>
      <c r="IV2" s="153"/>
      <c r="IW2" s="165" t="s">
        <v>907</v>
      </c>
      <c r="IX2" s="166"/>
      <c r="IY2" s="166"/>
      <c r="IZ2" s="166"/>
      <c r="JA2" s="166"/>
      <c r="JB2" s="166"/>
      <c r="JC2" s="166"/>
      <c r="JD2" s="166"/>
      <c r="JE2" s="167"/>
      <c r="JF2" s="165" t="s">
        <v>476</v>
      </c>
      <c r="JG2" s="166"/>
      <c r="JH2" s="166"/>
      <c r="JI2" s="167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H2:IJ2"/>
    <mergeCell ref="FY2:GK2"/>
    <mergeCell ref="GL2:GR2"/>
    <mergeCell ref="GS2:HB2"/>
    <mergeCell ref="HC2:HD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topLeftCell="IS1" workbookViewId="0">
      <selection activeCell="JD17" sqref="JD17"/>
    </sheetView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91" t="s">
        <v>925</v>
      </c>
      <c r="B1" s="154" t="s">
        <v>479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6"/>
      <c r="CR1" s="157" t="s">
        <v>480</v>
      </c>
      <c r="CS1" s="158"/>
      <c r="CT1" s="158"/>
      <c r="CU1" s="158"/>
      <c r="CV1" s="158"/>
      <c r="CW1" s="158"/>
      <c r="CX1" s="158"/>
      <c r="CY1" s="158"/>
      <c r="CZ1" s="158"/>
      <c r="DA1" s="158"/>
      <c r="DB1" s="158"/>
      <c r="DC1" s="158"/>
      <c r="DD1" s="158"/>
      <c r="DE1" s="158"/>
      <c r="DF1" s="158"/>
      <c r="DG1" s="158"/>
      <c r="DH1" s="158"/>
      <c r="DI1" s="158"/>
      <c r="DJ1" s="158"/>
      <c r="DK1" s="158"/>
      <c r="DL1" s="158"/>
      <c r="DM1" s="158"/>
      <c r="DN1" s="158"/>
      <c r="DO1" s="158"/>
      <c r="DP1" s="158"/>
      <c r="DQ1" s="158"/>
      <c r="DR1" s="158"/>
      <c r="DS1" s="158"/>
      <c r="DT1" s="158"/>
      <c r="DU1" s="158"/>
      <c r="DV1" s="158"/>
      <c r="DW1" s="158"/>
      <c r="DX1" s="158"/>
      <c r="DY1" s="158"/>
      <c r="DZ1" s="158"/>
      <c r="EA1" s="158"/>
      <c r="EB1" s="158"/>
      <c r="EC1" s="158"/>
      <c r="ED1" s="158"/>
      <c r="EE1" s="159"/>
      <c r="EF1" s="160" t="s">
        <v>481</v>
      </c>
      <c r="EG1" s="161"/>
      <c r="EH1" s="161"/>
      <c r="EI1" s="161"/>
      <c r="EJ1" s="161"/>
      <c r="EK1" s="161"/>
      <c r="EL1" s="161"/>
      <c r="EM1" s="161"/>
      <c r="EN1" s="161"/>
      <c r="EO1" s="162"/>
      <c r="EP1" s="163" t="s">
        <v>482</v>
      </c>
      <c r="EQ1" s="164"/>
      <c r="ER1" s="164"/>
      <c r="ES1" s="164"/>
      <c r="ET1" s="164"/>
      <c r="EU1" s="164"/>
      <c r="EV1" s="164"/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/>
      <c r="FK1" s="164"/>
      <c r="FL1" s="164"/>
      <c r="FM1" s="164"/>
      <c r="FN1" s="164"/>
      <c r="FO1" s="164"/>
      <c r="FP1" s="164"/>
      <c r="FQ1" s="164"/>
      <c r="FR1" s="164"/>
      <c r="FS1" s="164"/>
      <c r="FT1" s="164"/>
      <c r="FU1" s="164"/>
      <c r="FV1" s="164"/>
      <c r="FW1" s="164"/>
      <c r="FX1" s="164"/>
      <c r="FY1" s="164"/>
      <c r="FZ1" s="164"/>
      <c r="GA1" s="164"/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64"/>
      <c r="GQ1" s="164"/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/>
      <c r="HC1" s="164"/>
      <c r="HD1" s="164"/>
      <c r="HE1" s="171" t="s">
        <v>485</v>
      </c>
      <c r="HF1" s="172"/>
      <c r="HG1" s="173"/>
      <c r="HH1" s="177" t="s">
        <v>483</v>
      </c>
      <c r="HI1" s="178"/>
      <c r="HJ1" s="178"/>
      <c r="HK1" s="178"/>
      <c r="HL1" s="178"/>
      <c r="HM1" s="178"/>
      <c r="HN1" s="178"/>
      <c r="HO1" s="178"/>
      <c r="HP1" s="178"/>
      <c r="HQ1" s="178"/>
      <c r="HR1" s="178"/>
      <c r="HS1" s="178"/>
      <c r="HT1" s="178"/>
      <c r="HU1" s="178"/>
      <c r="HV1" s="178"/>
      <c r="HW1" s="178"/>
      <c r="HX1" s="178"/>
      <c r="HY1" s="178"/>
      <c r="HZ1" s="178"/>
      <c r="IA1" s="178"/>
      <c r="IB1" s="178"/>
      <c r="IC1" s="178"/>
      <c r="ID1" s="178"/>
      <c r="IE1" s="178"/>
      <c r="IF1" s="178"/>
      <c r="IG1" s="178"/>
      <c r="IH1" s="178"/>
      <c r="II1" s="178"/>
      <c r="IJ1" s="179"/>
      <c r="IK1" s="180" t="s">
        <v>484</v>
      </c>
      <c r="IL1" s="181"/>
      <c r="IM1" s="181"/>
      <c r="IN1" s="181"/>
      <c r="IO1" s="181"/>
      <c r="IP1" s="181"/>
      <c r="IQ1" s="181"/>
      <c r="IR1" s="181"/>
      <c r="IS1" s="181"/>
      <c r="IT1" s="181"/>
      <c r="IU1" s="181"/>
      <c r="IV1" s="181"/>
      <c r="IW1" s="181"/>
      <c r="IX1" s="181"/>
      <c r="IY1" s="181"/>
      <c r="IZ1" s="181"/>
      <c r="JA1" s="181"/>
      <c r="JB1" s="181"/>
      <c r="JC1" s="181"/>
      <c r="JD1" s="181"/>
      <c r="JE1" s="181"/>
      <c r="JF1" s="181"/>
      <c r="JG1" s="181"/>
      <c r="JH1" s="181"/>
      <c r="JI1" s="182"/>
    </row>
    <row r="2" spans="1:269" ht="15" thickBot="1" x14ac:dyDescent="0.4">
      <c r="A2" s="1"/>
      <c r="B2" s="151" t="s">
        <v>477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3"/>
      <c r="BF2" s="151" t="s">
        <v>478</v>
      </c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3"/>
      <c r="CR2" s="151" t="s">
        <v>454</v>
      </c>
      <c r="CS2" s="152"/>
      <c r="CT2" s="152"/>
      <c r="CU2" s="152"/>
      <c r="CV2" s="153"/>
      <c r="CW2" s="151" t="s">
        <v>455</v>
      </c>
      <c r="CX2" s="152"/>
      <c r="CY2" s="152"/>
      <c r="CZ2" s="152"/>
      <c r="DA2" s="152"/>
      <c r="DB2" s="153"/>
      <c r="DC2" s="151" t="s">
        <v>456</v>
      </c>
      <c r="DD2" s="152"/>
      <c r="DE2" s="152"/>
      <c r="DF2" s="152"/>
      <c r="DG2" s="152"/>
      <c r="DH2" s="152"/>
      <c r="DI2" s="152"/>
      <c r="DJ2" s="153"/>
      <c r="DK2" s="151" t="s">
        <v>456</v>
      </c>
      <c r="DL2" s="152"/>
      <c r="DM2" s="152"/>
      <c r="DN2" s="152"/>
      <c r="DO2" s="152"/>
      <c r="DP2" s="152"/>
      <c r="DQ2" s="152"/>
      <c r="DR2" s="153"/>
      <c r="DS2" s="151" t="s">
        <v>457</v>
      </c>
      <c r="DT2" s="152"/>
      <c r="DU2" s="152"/>
      <c r="DV2" s="152"/>
      <c r="DW2" s="153"/>
      <c r="DX2" s="151" t="s">
        <v>458</v>
      </c>
      <c r="DY2" s="152"/>
      <c r="DZ2" s="152"/>
      <c r="EA2" s="152"/>
      <c r="EB2" s="152"/>
      <c r="EC2" s="152"/>
      <c r="ED2" s="152"/>
      <c r="EE2" s="153"/>
      <c r="EF2" s="151" t="s">
        <v>459</v>
      </c>
      <c r="EG2" s="153"/>
      <c r="EH2" s="168" t="s">
        <v>460</v>
      </c>
      <c r="EI2" s="169"/>
      <c r="EJ2" s="169"/>
      <c r="EK2" s="169"/>
      <c r="EL2" s="169"/>
      <c r="EM2" s="169"/>
      <c r="EN2" s="169"/>
      <c r="EO2" s="170"/>
      <c r="EP2" s="151" t="s">
        <v>461</v>
      </c>
      <c r="EQ2" s="152"/>
      <c r="ER2" s="152"/>
      <c r="ES2" s="152"/>
      <c r="ET2" s="152"/>
      <c r="EU2" s="152"/>
      <c r="EV2" s="152"/>
      <c r="EW2" s="152"/>
      <c r="EX2" s="152"/>
      <c r="EY2" s="152"/>
      <c r="EZ2" s="152"/>
      <c r="FA2" s="153"/>
      <c r="FB2" s="151" t="s">
        <v>462</v>
      </c>
      <c r="FC2" s="152"/>
      <c r="FD2" s="152"/>
      <c r="FE2" s="152"/>
      <c r="FF2" s="152"/>
      <c r="FG2" s="152"/>
      <c r="FH2" s="152"/>
      <c r="FI2" s="153"/>
      <c r="FJ2" s="151" t="s">
        <v>463</v>
      </c>
      <c r="FK2" s="152"/>
      <c r="FL2" s="152"/>
      <c r="FM2" s="152"/>
      <c r="FN2" s="152"/>
      <c r="FO2" s="152"/>
      <c r="FP2" s="152"/>
      <c r="FQ2" s="152"/>
      <c r="FR2" s="152"/>
      <c r="FS2" s="152"/>
      <c r="FT2" s="152"/>
      <c r="FU2" s="152"/>
      <c r="FV2" s="153"/>
      <c r="FW2" s="151" t="s">
        <v>464</v>
      </c>
      <c r="FX2" s="153"/>
      <c r="FY2" s="151" t="s">
        <v>465</v>
      </c>
      <c r="FZ2" s="152"/>
      <c r="GA2" s="152"/>
      <c r="GB2" s="152"/>
      <c r="GC2" s="152"/>
      <c r="GD2" s="152"/>
      <c r="GE2" s="152"/>
      <c r="GF2" s="152"/>
      <c r="GG2" s="152"/>
      <c r="GH2" s="152"/>
      <c r="GI2" s="152"/>
      <c r="GJ2" s="152"/>
      <c r="GK2" s="153"/>
      <c r="GL2" s="151" t="s">
        <v>466</v>
      </c>
      <c r="GM2" s="152"/>
      <c r="GN2" s="152"/>
      <c r="GO2" s="152"/>
      <c r="GP2" s="152"/>
      <c r="GQ2" s="152"/>
      <c r="GR2" s="153"/>
      <c r="GS2" s="151" t="s">
        <v>496</v>
      </c>
      <c r="GT2" s="152"/>
      <c r="GU2" s="152"/>
      <c r="GV2" s="152"/>
      <c r="GW2" s="152"/>
      <c r="GX2" s="152"/>
      <c r="GY2" s="152"/>
      <c r="GZ2" s="152"/>
      <c r="HA2" s="152"/>
      <c r="HB2" s="153"/>
      <c r="HC2" s="151" t="s">
        <v>468</v>
      </c>
      <c r="HD2" s="153"/>
      <c r="HE2" s="174"/>
      <c r="HF2" s="175"/>
      <c r="HG2" s="176"/>
      <c r="HH2" s="151" t="s">
        <v>470</v>
      </c>
      <c r="HI2" s="152"/>
      <c r="HJ2" s="152"/>
      <c r="HK2" s="152"/>
      <c r="HL2" s="152"/>
      <c r="HM2" s="152"/>
      <c r="HN2" s="153"/>
      <c r="HO2" s="151" t="s">
        <v>614</v>
      </c>
      <c r="HP2" s="152"/>
      <c r="HQ2" s="152"/>
      <c r="HR2" s="152"/>
      <c r="HS2" s="152"/>
      <c r="HT2" s="152"/>
      <c r="HU2" s="152"/>
      <c r="HV2" s="152"/>
      <c r="HW2" s="152"/>
      <c r="HX2" s="152"/>
      <c r="HY2" s="152"/>
      <c r="HZ2" s="152"/>
      <c r="IA2" s="152"/>
      <c r="IB2" s="153"/>
      <c r="IC2" s="151" t="s">
        <v>472</v>
      </c>
      <c r="ID2" s="152"/>
      <c r="IE2" s="152"/>
      <c r="IF2" s="152"/>
      <c r="IG2" s="153"/>
      <c r="IH2" s="151" t="s">
        <v>473</v>
      </c>
      <c r="II2" s="152"/>
      <c r="IJ2" s="153"/>
      <c r="IK2" s="151" t="s">
        <v>474</v>
      </c>
      <c r="IL2" s="152"/>
      <c r="IM2" s="152"/>
      <c r="IN2" s="152"/>
      <c r="IO2" s="152"/>
      <c r="IP2" s="153"/>
      <c r="IQ2" s="151" t="s">
        <v>475</v>
      </c>
      <c r="IR2" s="152"/>
      <c r="IS2" s="152"/>
      <c r="IT2" s="152"/>
      <c r="IU2" s="152"/>
      <c r="IV2" s="153"/>
      <c r="IW2" s="165" t="s">
        <v>907</v>
      </c>
      <c r="IX2" s="166"/>
      <c r="IY2" s="166"/>
      <c r="IZ2" s="166"/>
      <c r="JA2" s="166"/>
      <c r="JB2" s="166"/>
      <c r="JC2" s="166"/>
      <c r="JD2" s="166"/>
      <c r="JE2" s="167"/>
      <c r="JF2" s="165" t="s">
        <v>476</v>
      </c>
      <c r="JG2" s="166"/>
      <c r="JH2" s="166"/>
      <c r="JI2" s="167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JF2:JI2"/>
    <mergeCell ref="HO2:IB2"/>
    <mergeCell ref="IC2:IG2"/>
    <mergeCell ref="IH2:IJ2"/>
    <mergeCell ref="IW2:JE2"/>
    <mergeCell ref="IK2:IP2"/>
    <mergeCell ref="IQ2:IV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91" t="s">
        <v>925</v>
      </c>
      <c r="B1" s="186" t="s">
        <v>480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8"/>
      <c r="Z1" s="160" t="s">
        <v>481</v>
      </c>
      <c r="AA1" s="161"/>
      <c r="AB1" s="161"/>
      <c r="AC1" s="161"/>
      <c r="AD1" s="161"/>
      <c r="AE1" s="161"/>
      <c r="AF1" s="161"/>
      <c r="AG1" s="162"/>
      <c r="AH1" s="163" t="s">
        <v>482</v>
      </c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85"/>
      <c r="BN1" s="171" t="s">
        <v>485</v>
      </c>
      <c r="BO1" s="172"/>
      <c r="BP1" s="172"/>
      <c r="BQ1" s="173"/>
      <c r="BR1" s="177" t="s">
        <v>483</v>
      </c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4"/>
    </row>
    <row r="2" spans="1:85" ht="15" thickBot="1" x14ac:dyDescent="0.4">
      <c r="B2" s="189" t="s">
        <v>454</v>
      </c>
      <c r="C2" s="190"/>
      <c r="D2" s="190"/>
      <c r="E2" s="191"/>
      <c r="F2" s="189" t="s">
        <v>455</v>
      </c>
      <c r="G2" s="190"/>
      <c r="H2" s="190"/>
      <c r="I2" s="191"/>
      <c r="J2" s="189" t="s">
        <v>486</v>
      </c>
      <c r="K2" s="190"/>
      <c r="L2" s="190"/>
      <c r="M2" s="191"/>
      <c r="N2" s="189" t="s">
        <v>487</v>
      </c>
      <c r="O2" s="190"/>
      <c r="P2" s="190"/>
      <c r="Q2" s="191"/>
      <c r="R2" s="189" t="s">
        <v>457</v>
      </c>
      <c r="S2" s="190"/>
      <c r="T2" s="190"/>
      <c r="U2" s="191"/>
      <c r="V2" s="189" t="s">
        <v>458</v>
      </c>
      <c r="W2" s="190"/>
      <c r="X2" s="190"/>
      <c r="Y2" s="191"/>
      <c r="Z2" s="189" t="s">
        <v>459</v>
      </c>
      <c r="AA2" s="190"/>
      <c r="AB2" s="190"/>
      <c r="AC2" s="191"/>
      <c r="AD2" s="189" t="s">
        <v>460</v>
      </c>
      <c r="AE2" s="190"/>
      <c r="AF2" s="190"/>
      <c r="AG2" s="191"/>
      <c r="AH2" s="189" t="s">
        <v>498</v>
      </c>
      <c r="AI2" s="190"/>
      <c r="AJ2" s="190"/>
      <c r="AK2" s="191"/>
      <c r="AL2" s="189" t="s">
        <v>462</v>
      </c>
      <c r="AM2" s="190"/>
      <c r="AN2" s="190"/>
      <c r="AO2" s="191"/>
      <c r="AP2" s="192" t="s">
        <v>488</v>
      </c>
      <c r="AQ2" s="193"/>
      <c r="AR2" s="193"/>
      <c r="AS2" s="194"/>
      <c r="AT2" s="189" t="s">
        <v>464</v>
      </c>
      <c r="AU2" s="190"/>
      <c r="AV2" s="190"/>
      <c r="AW2" s="191"/>
      <c r="AX2" s="189" t="s">
        <v>465</v>
      </c>
      <c r="AY2" s="190"/>
      <c r="AZ2" s="190"/>
      <c r="BA2" s="191"/>
      <c r="BB2" s="189" t="s">
        <v>466</v>
      </c>
      <c r="BC2" s="190"/>
      <c r="BD2" s="190"/>
      <c r="BE2" s="191"/>
      <c r="BF2" s="189" t="s">
        <v>497</v>
      </c>
      <c r="BG2" s="190"/>
      <c r="BH2" s="190"/>
      <c r="BI2" s="191"/>
      <c r="BJ2" s="189" t="s">
        <v>489</v>
      </c>
      <c r="BK2" s="190"/>
      <c r="BL2" s="190"/>
      <c r="BM2" s="191"/>
      <c r="BN2" s="174"/>
      <c r="BO2" s="175"/>
      <c r="BP2" s="175"/>
      <c r="BQ2" s="176"/>
      <c r="BR2" s="189" t="s">
        <v>470</v>
      </c>
      <c r="BS2" s="190"/>
      <c r="BT2" s="190"/>
      <c r="BU2" s="191"/>
      <c r="BV2" s="189" t="s">
        <v>490</v>
      </c>
      <c r="BW2" s="190"/>
      <c r="BX2" s="190"/>
      <c r="BY2" s="191"/>
      <c r="BZ2" s="189" t="s">
        <v>471</v>
      </c>
      <c r="CA2" s="190"/>
      <c r="CB2" s="190"/>
      <c r="CC2" s="191"/>
      <c r="CD2" s="189" t="s">
        <v>473</v>
      </c>
      <c r="CE2" s="190"/>
      <c r="CF2" s="190"/>
      <c r="CG2" s="191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2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2" t="s">
        <v>569</v>
      </c>
      <c r="BN3" s="39" t="s">
        <v>570</v>
      </c>
      <c r="BO3" s="37" t="s">
        <v>571</v>
      </c>
      <c r="BP3" s="37" t="s">
        <v>572</v>
      </c>
      <c r="BQ3" s="42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2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tabSelected="1" topLeftCell="BA1" zoomScale="40" zoomScaleNormal="40" workbookViewId="0">
      <selection activeCell="BQ33" sqref="BQ33"/>
    </sheetView>
  </sheetViews>
  <sheetFormatPr defaultRowHeight="14.5" x14ac:dyDescent="0.35"/>
  <cols>
    <col min="1" max="1" width="4" style="58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8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8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59" t="s">
        <v>925</v>
      </c>
      <c r="B1" s="272" t="s">
        <v>781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4"/>
      <c r="S1" s="266" t="s">
        <v>822</v>
      </c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8"/>
      <c r="AL1" s="217" t="s">
        <v>481</v>
      </c>
      <c r="AM1" s="218"/>
      <c r="AN1" s="218"/>
      <c r="AO1" s="218"/>
      <c r="AP1" s="218"/>
      <c r="AQ1" s="218"/>
      <c r="AR1" s="218"/>
      <c r="AS1" s="218"/>
      <c r="AT1" s="218"/>
      <c r="AU1" s="218"/>
      <c r="AV1" s="219"/>
      <c r="AX1" s="223" t="s">
        <v>482</v>
      </c>
      <c r="AY1" s="224"/>
      <c r="AZ1" s="224"/>
      <c r="BA1" s="224"/>
      <c r="BB1" s="224"/>
      <c r="BC1" s="225"/>
      <c r="BE1" s="211" t="s">
        <v>483</v>
      </c>
      <c r="BF1" s="212"/>
      <c r="BG1" s="212"/>
      <c r="BH1" s="212"/>
      <c r="BI1" s="212"/>
      <c r="BJ1" s="213"/>
      <c r="BL1" s="200" t="s">
        <v>896</v>
      </c>
      <c r="BM1" s="201"/>
      <c r="BN1" s="201"/>
      <c r="BO1" s="201"/>
      <c r="BP1" s="201"/>
      <c r="BQ1" s="201"/>
      <c r="BR1" s="201"/>
      <c r="BS1" s="201"/>
      <c r="BT1" s="201"/>
      <c r="BU1" s="201"/>
      <c r="BV1" s="201"/>
      <c r="BW1" s="201"/>
      <c r="BX1" s="201"/>
      <c r="BY1" s="201"/>
      <c r="BZ1" s="201"/>
      <c r="CA1" s="201"/>
      <c r="CB1" s="201"/>
      <c r="CC1" s="201"/>
      <c r="CD1" s="202"/>
    </row>
    <row r="2" spans="1:82" ht="15" customHeight="1" thickBot="1" x14ac:dyDescent="0.4">
      <c r="A2" s="259"/>
      <c r="B2" s="275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7"/>
      <c r="S2" s="269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1"/>
      <c r="AL2" s="220"/>
      <c r="AM2" s="221"/>
      <c r="AN2" s="221"/>
      <c r="AO2" s="221"/>
      <c r="AP2" s="221"/>
      <c r="AQ2" s="221"/>
      <c r="AR2" s="221"/>
      <c r="AS2" s="221"/>
      <c r="AT2" s="221"/>
      <c r="AU2" s="221"/>
      <c r="AV2" s="222"/>
      <c r="AX2" s="226"/>
      <c r="AY2" s="227"/>
      <c r="AZ2" s="227"/>
      <c r="BA2" s="227"/>
      <c r="BB2" s="227"/>
      <c r="BC2" s="228"/>
      <c r="BE2" s="214"/>
      <c r="BF2" s="215"/>
      <c r="BG2" s="215"/>
      <c r="BH2" s="215"/>
      <c r="BI2" s="215"/>
      <c r="BJ2" s="216"/>
      <c r="BL2" s="203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5"/>
    </row>
    <row r="3" spans="1:82" ht="15" thickBot="1" x14ac:dyDescent="0.4">
      <c r="A3" s="58" t="s">
        <v>51</v>
      </c>
      <c r="B3" t="s">
        <v>626</v>
      </c>
      <c r="C3" t="s">
        <v>627</v>
      </c>
      <c r="D3" t="s">
        <v>628</v>
      </c>
      <c r="E3" t="s">
        <v>629</v>
      </c>
      <c r="G3" s="58" t="s">
        <v>51</v>
      </c>
      <c r="H3" t="s">
        <v>626</v>
      </c>
      <c r="I3" t="s">
        <v>627</v>
      </c>
      <c r="J3" t="s">
        <v>628</v>
      </c>
      <c r="K3" t="s">
        <v>629</v>
      </c>
      <c r="M3" s="58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 t="s">
        <v>920</v>
      </c>
      <c r="AC3" t="s">
        <v>921</v>
      </c>
      <c r="AD3" t="s">
        <v>922</v>
      </c>
      <c r="AE3" t="s">
        <v>923</v>
      </c>
      <c r="AF3" t="s">
        <v>924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 t="s">
        <v>920</v>
      </c>
      <c r="AO3" t="s">
        <v>921</v>
      </c>
      <c r="AP3" t="s">
        <v>922</v>
      </c>
      <c r="AQ3" t="s">
        <v>923</v>
      </c>
      <c r="AR3" t="s">
        <v>924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208" t="s">
        <v>897</v>
      </c>
      <c r="BM3" s="209"/>
      <c r="BN3" s="209"/>
      <c r="BO3" s="209"/>
      <c r="BP3" s="209"/>
      <c r="BQ3" s="209"/>
      <c r="BR3" s="210"/>
      <c r="BT3" s="208" t="s">
        <v>908</v>
      </c>
      <c r="BU3" s="210"/>
      <c r="BW3" s="208" t="s">
        <v>909</v>
      </c>
      <c r="BX3" s="209"/>
      <c r="BY3" s="209"/>
      <c r="BZ3" s="210"/>
      <c r="CB3" s="197" t="s">
        <v>476</v>
      </c>
      <c r="CC3" s="198"/>
      <c r="CD3" s="199"/>
    </row>
    <row r="4" spans="1:82" ht="14.5" customHeight="1" thickBot="1" x14ac:dyDescent="0.4">
      <c r="A4" s="240" t="s">
        <v>477</v>
      </c>
      <c r="B4" s="241"/>
      <c r="C4" s="241"/>
      <c r="D4" s="241"/>
      <c r="E4" s="242"/>
      <c r="G4" s="278" t="s">
        <v>680</v>
      </c>
      <c r="H4" s="279"/>
      <c r="I4" s="279"/>
      <c r="J4" s="279"/>
      <c r="K4" s="280"/>
      <c r="M4" s="235" t="s">
        <v>478</v>
      </c>
      <c r="N4" s="236"/>
      <c r="O4" s="236"/>
      <c r="P4" s="236"/>
      <c r="Q4" s="237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206" t="s">
        <v>898</v>
      </c>
      <c r="BM4" s="151" t="s">
        <v>899</v>
      </c>
      <c r="BN4" s="152"/>
      <c r="BO4" s="153"/>
      <c r="BP4" s="151" t="s">
        <v>900</v>
      </c>
      <c r="BQ4" s="152"/>
      <c r="BR4" s="153"/>
      <c r="BT4" s="12" t="s">
        <v>419</v>
      </c>
      <c r="BU4" s="46">
        <f>COUNTIF(coded_data!IW:IW, 1)</f>
        <v>7</v>
      </c>
      <c r="BW4" s="12" t="s">
        <v>898</v>
      </c>
      <c r="BX4" s="13" t="s">
        <v>901</v>
      </c>
      <c r="BY4" s="13" t="s">
        <v>902</v>
      </c>
      <c r="BZ4" s="46" t="s">
        <v>903</v>
      </c>
      <c r="CB4" s="12" t="s">
        <v>915</v>
      </c>
      <c r="CC4" s="13">
        <v>0</v>
      </c>
      <c r="CD4" s="46">
        <f>COUNTIF(coded_data!JD:JD, CC4)</f>
        <v>0</v>
      </c>
    </row>
    <row r="5" spans="1:82" ht="15" customHeight="1" x14ac:dyDescent="0.35">
      <c r="A5" s="256">
        <v>1</v>
      </c>
      <c r="B5" s="248" t="s">
        <v>630</v>
      </c>
      <c r="C5" s="1" t="s">
        <v>631</v>
      </c>
      <c r="D5" s="1">
        <v>7</v>
      </c>
      <c r="E5" s="33">
        <f>COUNTIF(coded_data!B:B, D5)</f>
        <v>0</v>
      </c>
      <c r="G5" s="256">
        <v>14</v>
      </c>
      <c r="H5" s="229" t="s">
        <v>731</v>
      </c>
      <c r="I5" s="1" t="s">
        <v>681</v>
      </c>
      <c r="J5" s="1"/>
      <c r="K5" s="33">
        <f>COUNT(raw_data!A:A) - COUNTIF(raw_data!AA:AA, J5)</f>
        <v>10</v>
      </c>
      <c r="M5" s="252">
        <v>21</v>
      </c>
      <c r="N5" s="231" t="s">
        <v>733</v>
      </c>
      <c r="O5" s="62" t="s">
        <v>734</v>
      </c>
      <c r="P5" s="62">
        <v>1</v>
      </c>
      <c r="Q5" s="67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07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7" t="s">
        <v>903</v>
      </c>
      <c r="BT5" s="14" t="s">
        <v>420</v>
      </c>
      <c r="BU5" s="47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47">
        <f>COUNTIF(raw_data!JE:JE, BW5)</f>
        <v>1</v>
      </c>
      <c r="CB5" s="14" t="s">
        <v>916</v>
      </c>
      <c r="CC5" s="1">
        <v>1</v>
      </c>
      <c r="CD5" s="47">
        <f>COUNTIF(coded_data!JD:JD, CC5)</f>
        <v>3</v>
      </c>
    </row>
    <row r="6" spans="1:82" x14ac:dyDescent="0.35">
      <c r="A6" s="254"/>
      <c r="B6" s="248"/>
      <c r="C6" s="1" t="s">
        <v>632</v>
      </c>
      <c r="D6" s="1">
        <v>6</v>
      </c>
      <c r="E6" s="33">
        <f>COUNTIF(coded_data!B:B, D6)</f>
        <v>1</v>
      </c>
      <c r="G6" s="254"/>
      <c r="H6" s="229"/>
      <c r="I6" s="1" t="s">
        <v>682</v>
      </c>
      <c r="J6" s="1"/>
      <c r="K6" s="33">
        <f>COUNT(raw_data!A:A) - COUNTIF(raw_data!AB:AB, J6)</f>
        <v>3</v>
      </c>
      <c r="M6" s="253"/>
      <c r="N6" s="230"/>
      <c r="O6" s="66" t="s">
        <v>735</v>
      </c>
      <c r="P6" s="66">
        <v>0</v>
      </c>
      <c r="Q6" s="67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64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7">
        <f>COUNTIF(raw_data!IS:IS, BL6)</f>
        <v>4</v>
      </c>
      <c r="BT6" s="14" t="s">
        <v>421</v>
      </c>
      <c r="BU6" s="47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47">
        <f>COUNTIF(raw_data!JE:JE, BW6)</f>
        <v>3</v>
      </c>
      <c r="CB6" s="86" t="s">
        <v>917</v>
      </c>
      <c r="CC6" s="1">
        <v>2</v>
      </c>
      <c r="CD6" s="47">
        <f>COUNTIF(coded_data!JD:JD, CC6)</f>
        <v>7</v>
      </c>
    </row>
    <row r="7" spans="1:82" ht="14.5" customHeight="1" x14ac:dyDescent="0.35">
      <c r="A7" s="254"/>
      <c r="B7" s="248"/>
      <c r="C7" s="1" t="s">
        <v>633</v>
      </c>
      <c r="D7" s="1">
        <v>5</v>
      </c>
      <c r="E7" s="33">
        <f>COUNTIF(coded_data!B:B, D7)</f>
        <v>2</v>
      </c>
      <c r="G7" s="254"/>
      <c r="H7" s="229"/>
      <c r="I7" s="1" t="s">
        <v>683</v>
      </c>
      <c r="J7" s="1"/>
      <c r="K7" s="33">
        <f>COUNT(raw_data!A:A) - COUNTIF(raw_data!AC:AC, J7)</f>
        <v>9</v>
      </c>
      <c r="M7" s="83">
        <v>22</v>
      </c>
      <c r="N7" s="82" t="s">
        <v>745</v>
      </c>
      <c r="O7" s="232" t="s">
        <v>693</v>
      </c>
      <c r="P7" s="233"/>
      <c r="Q7" s="234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64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7">
        <f>COUNTIF(raw_data!IS:IS, BL7)</f>
        <v>2</v>
      </c>
      <c r="BT7" s="14" t="s">
        <v>418</v>
      </c>
      <c r="BU7" s="47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47">
        <f>COUNTIF(raw_data!JE:JE, BW7)</f>
        <v>2</v>
      </c>
      <c r="CB7" s="86" t="s">
        <v>918</v>
      </c>
      <c r="CC7" s="34">
        <v>3</v>
      </c>
      <c r="CD7" s="47">
        <f>COUNTIF(coded_data!JD:JD, CC7)</f>
        <v>0</v>
      </c>
    </row>
    <row r="8" spans="1:82" x14ac:dyDescent="0.35">
      <c r="A8" s="254"/>
      <c r="B8" s="248"/>
      <c r="C8" s="1" t="s">
        <v>634</v>
      </c>
      <c r="D8" s="1">
        <v>4</v>
      </c>
      <c r="E8" s="33">
        <f>COUNTIF(coded_data!B:B, D8)</f>
        <v>1</v>
      </c>
      <c r="G8" s="254"/>
      <c r="H8" s="229"/>
      <c r="I8" s="1" t="s">
        <v>684</v>
      </c>
      <c r="J8" s="1"/>
      <c r="K8" s="33">
        <f>COUNT(raw_data!A:A) - COUNTIF(raw_data!AD:AD, J8)</f>
        <v>10</v>
      </c>
      <c r="M8" s="84"/>
      <c r="N8" s="81"/>
      <c r="O8" s="1" t="s">
        <v>736</v>
      </c>
      <c r="P8" s="1">
        <v>1</v>
      </c>
      <c r="Q8" s="67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64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7">
        <f>COUNTIF(raw_data!IS:IS, BL8)</f>
        <v>0</v>
      </c>
      <c r="BT8" s="14" t="s">
        <v>906</v>
      </c>
      <c r="BU8" s="47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47">
        <f>COUNTIF(raw_data!JE:JE, BW8)</f>
        <v>4</v>
      </c>
      <c r="CB8" s="86" t="s">
        <v>919</v>
      </c>
      <c r="CC8" s="34">
        <v>4</v>
      </c>
      <c r="CD8" s="47">
        <f>COUNTIF(coded_data!JD:JD, CC8)</f>
        <v>0</v>
      </c>
    </row>
    <row r="9" spans="1:82" ht="15" thickBot="1" x14ac:dyDescent="0.4">
      <c r="A9" s="254"/>
      <c r="B9" s="248"/>
      <c r="C9" s="1" t="s">
        <v>635</v>
      </c>
      <c r="D9" s="1">
        <v>3</v>
      </c>
      <c r="E9" s="33">
        <f>COUNTIF(coded_data!B:B, D9)</f>
        <v>3</v>
      </c>
      <c r="G9" s="254"/>
      <c r="H9" s="229"/>
      <c r="I9" s="1" t="s">
        <v>685</v>
      </c>
      <c r="J9" s="1"/>
      <c r="K9" s="33">
        <f>COUNT(raw_data!A:A) - COUNTIF(raw_data!AE:AE, J9)</f>
        <v>10</v>
      </c>
      <c r="M9" s="84"/>
      <c r="N9" s="81"/>
      <c r="O9" s="1" t="s">
        <v>737</v>
      </c>
      <c r="P9" s="1">
        <v>1</v>
      </c>
      <c r="Q9" s="67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64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7">
        <f>COUNTIF(raw_data!IS:IS, BL9)</f>
        <v>1</v>
      </c>
      <c r="BT9" s="85" t="s">
        <v>751</v>
      </c>
      <c r="BU9" s="49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47">
        <f>COUNTIF(raw_data!JE:JE, BW9)</f>
        <v>0</v>
      </c>
      <c r="CB9" s="87" t="s">
        <v>643</v>
      </c>
      <c r="CC9" s="88">
        <v>5</v>
      </c>
      <c r="CD9" s="49">
        <f>COUNTIF(coded_data!JD:JD, CC9)</f>
        <v>0</v>
      </c>
    </row>
    <row r="10" spans="1:82" ht="15" thickBot="1" x14ac:dyDescent="0.4">
      <c r="A10" s="254"/>
      <c r="B10" s="248"/>
      <c r="C10" s="1" t="s">
        <v>636</v>
      </c>
      <c r="D10" s="1">
        <v>2</v>
      </c>
      <c r="E10" s="33">
        <f>COUNTIF(coded_data!B:B, D10)</f>
        <v>1</v>
      </c>
      <c r="G10" s="254"/>
      <c r="H10" s="229"/>
      <c r="I10" s="1" t="s">
        <v>686</v>
      </c>
      <c r="J10" s="1"/>
      <c r="K10" s="33">
        <f>COUNT(raw_data!A:A) - COUNTIF(raw_data!AF:AF, J10)</f>
        <v>3</v>
      </c>
      <c r="M10" s="84"/>
      <c r="N10" s="81"/>
      <c r="O10" s="1" t="s">
        <v>738</v>
      </c>
      <c r="P10" s="1">
        <v>1</v>
      </c>
      <c r="Q10" s="67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64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7">
        <f>COUNTIF(raw_data!IS:IS, BL10)</f>
        <v>1</v>
      </c>
      <c r="BT10" s="1"/>
      <c r="BU10" s="1"/>
      <c r="BW10" s="85" t="s">
        <v>643</v>
      </c>
      <c r="BX10" s="48">
        <f>COUNTIF(coded_data!JC:JC, 2)</f>
        <v>7</v>
      </c>
      <c r="BY10" s="48">
        <f>COUNTIF(coded_data!JD:JD, 2)</f>
        <v>7</v>
      </c>
      <c r="BZ10" s="49">
        <f>COUNTIF(coded_data!JE:JE, 2)</f>
        <v>0</v>
      </c>
    </row>
    <row r="11" spans="1:82" x14ac:dyDescent="0.35">
      <c r="A11" s="254"/>
      <c r="B11" s="248"/>
      <c r="C11" s="1" t="s">
        <v>637</v>
      </c>
      <c r="D11" s="1">
        <v>1</v>
      </c>
      <c r="E11" s="33">
        <f>COUNTIF(coded_data!B:B, D11)</f>
        <v>1</v>
      </c>
      <c r="G11" s="254"/>
      <c r="H11" s="229"/>
      <c r="I11" s="1" t="s">
        <v>687</v>
      </c>
      <c r="J11" s="1"/>
      <c r="K11" s="33">
        <f>COUNT(raw_data!A:A) - COUNTIF(raw_data!AG:AG, J11)</f>
        <v>1</v>
      </c>
      <c r="M11" s="84"/>
      <c r="N11" s="81"/>
      <c r="O11" s="1" t="s">
        <v>739</v>
      </c>
      <c r="P11" s="1">
        <v>1</v>
      </c>
      <c r="Q11" s="67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64">
        <f>COUNTIF(raw_data!IK:IK, 2)</f>
        <v>0</v>
      </c>
      <c r="BN11" s="64">
        <f>COUNTIF(raw_data!IL:IL, 2)</f>
        <v>0</v>
      </c>
      <c r="BO11" s="64">
        <f>COUNTIF(raw_data!IM:IM, 2)</f>
        <v>0</v>
      </c>
      <c r="BP11" s="64">
        <f>COUNTIF(coded_data!IQ:IQ, 2)</f>
        <v>0</v>
      </c>
      <c r="BQ11" s="64">
        <f>COUNTIF(coded_data!IR:IR, 2)</f>
        <v>0</v>
      </c>
      <c r="BR11" s="64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53"/>
      <c r="B12" s="249"/>
      <c r="C12" s="66" t="s">
        <v>638</v>
      </c>
      <c r="D12" s="66">
        <v>0</v>
      </c>
      <c r="E12" s="67">
        <f>COUNTIF(coded_data!B:B, D12)</f>
        <v>1</v>
      </c>
      <c r="G12" s="253"/>
      <c r="H12" s="230"/>
      <c r="I12" s="66" t="s">
        <v>643</v>
      </c>
      <c r="J12" s="66"/>
      <c r="K12" s="33">
        <f>COUNT(raw_data!A:A) - COUNTIF(raw_data!AH:AH, J12)</f>
        <v>7</v>
      </c>
      <c r="M12" s="84"/>
      <c r="N12" s="81"/>
      <c r="O12" s="1" t="s">
        <v>740</v>
      </c>
      <c r="P12" s="1">
        <v>1</v>
      </c>
      <c r="Q12" s="67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5" t="s">
        <v>54</v>
      </c>
      <c r="BM12" s="89">
        <f>COUNTIF(raw_data!IK:IK, BL12)</f>
        <v>0</v>
      </c>
      <c r="BN12" s="48">
        <f>COUNTIF(raw_data!IL:IL, BL12)</f>
        <v>0</v>
      </c>
      <c r="BO12" s="90">
        <f>COUNTIF(raw_data!IM:IM, BL12)</f>
        <v>0</v>
      </c>
      <c r="BP12" s="48">
        <f>COUNTIF(raw_data!IQ:IQ, BL12)</f>
        <v>0</v>
      </c>
      <c r="BQ12" s="48">
        <f>COUNTIF(raw_data!IR:IR, BL12)</f>
        <v>0</v>
      </c>
      <c r="BR12" s="49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52">
        <v>2</v>
      </c>
      <c r="B13" s="247" t="s">
        <v>639</v>
      </c>
      <c r="C13" s="62" t="s">
        <v>718</v>
      </c>
      <c r="D13" s="62"/>
      <c r="E13" s="63">
        <f>AVERAGE(coded_data!C:C)</f>
        <v>42.3</v>
      </c>
      <c r="G13" s="252">
        <v>15</v>
      </c>
      <c r="H13" s="231" t="s">
        <v>688</v>
      </c>
      <c r="I13" s="62" t="s">
        <v>689</v>
      </c>
      <c r="J13" s="62">
        <v>0</v>
      </c>
      <c r="K13" s="63">
        <f>COUNTIF(coded_data!AJ:AJ, J13)</f>
        <v>4</v>
      </c>
      <c r="M13" s="84"/>
      <c r="N13" s="81"/>
      <c r="O13" s="1" t="s">
        <v>643</v>
      </c>
      <c r="P13" s="1">
        <v>1</v>
      </c>
      <c r="Q13" s="67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208" t="s">
        <v>904</v>
      </c>
      <c r="BM13" s="209"/>
      <c r="BN13" s="209"/>
      <c r="BO13" s="209"/>
      <c r="BP13" s="209"/>
      <c r="BQ13" s="209"/>
      <c r="BR13" s="210"/>
      <c r="BW13" s="1"/>
      <c r="BX13" s="1"/>
      <c r="BY13" s="1"/>
      <c r="BZ13" s="1"/>
    </row>
    <row r="14" spans="1:82" ht="15" thickBot="1" x14ac:dyDescent="0.4">
      <c r="A14" s="254"/>
      <c r="B14" s="248"/>
      <c r="C14" s="1" t="s">
        <v>719</v>
      </c>
      <c r="D14" s="1"/>
      <c r="E14" s="33">
        <f>MEDIAN(coded_data!C:C)</f>
        <v>39</v>
      </c>
      <c r="G14" s="254"/>
      <c r="H14" s="229"/>
      <c r="I14" s="1" t="s">
        <v>690</v>
      </c>
      <c r="J14" s="1">
        <v>1</v>
      </c>
      <c r="K14" s="33">
        <f>COUNTIF(coded_data!AJ:AJ, J14)</f>
        <v>1</v>
      </c>
      <c r="M14" s="84"/>
      <c r="N14" s="81"/>
      <c r="O14" s="232" t="s">
        <v>695</v>
      </c>
      <c r="P14" s="233"/>
      <c r="Q14" s="234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195" t="s">
        <v>905</v>
      </c>
      <c r="BM14" s="152" t="s">
        <v>899</v>
      </c>
      <c r="BN14" s="152"/>
      <c r="BO14" s="153"/>
      <c r="BP14" s="151" t="s">
        <v>900</v>
      </c>
      <c r="BQ14" s="152"/>
      <c r="BR14" s="153"/>
      <c r="BT14" s="1"/>
      <c r="BU14" s="1"/>
      <c r="BW14" s="1"/>
      <c r="BX14" s="1"/>
      <c r="BY14" s="1"/>
      <c r="BZ14" s="1"/>
    </row>
    <row r="15" spans="1:82" ht="15" thickBot="1" x14ac:dyDescent="0.4">
      <c r="A15" s="254"/>
      <c r="B15" s="248"/>
      <c r="C15" s="1" t="s">
        <v>720</v>
      </c>
      <c r="D15" s="1"/>
      <c r="E15" s="33">
        <f>MODE(coded_data!C:C)</f>
        <v>49</v>
      </c>
      <c r="G15" s="254"/>
      <c r="H15" s="229"/>
      <c r="I15" s="1" t="s">
        <v>691</v>
      </c>
      <c r="J15" s="1">
        <v>2</v>
      </c>
      <c r="K15" s="33">
        <f>COUNTIF(coded_data!AJ:AJ, J15)</f>
        <v>2</v>
      </c>
      <c r="M15" s="84"/>
      <c r="N15" s="81"/>
      <c r="O15" s="1" t="s">
        <v>736</v>
      </c>
      <c r="P15" s="1">
        <v>1</v>
      </c>
      <c r="Q15" s="67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196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7" t="s">
        <v>903</v>
      </c>
      <c r="BT15" s="1"/>
      <c r="BU15" s="1"/>
    </row>
    <row r="16" spans="1:82" x14ac:dyDescent="0.35">
      <c r="A16" s="254"/>
      <c r="B16" s="248"/>
      <c r="C16" s="1" t="s">
        <v>509</v>
      </c>
      <c r="D16" s="1"/>
      <c r="E16" s="33">
        <f>_xlfn.STDEV.S(coded_data!C:C)</f>
        <v>14.719978864719121</v>
      </c>
      <c r="G16" s="254"/>
      <c r="H16" s="229"/>
      <c r="I16" s="1" t="s">
        <v>692</v>
      </c>
      <c r="J16" s="1">
        <v>3</v>
      </c>
      <c r="K16" s="33">
        <f>COUNTIF(coded_data!AJ:AJ, J16)</f>
        <v>3</v>
      </c>
      <c r="M16" s="84"/>
      <c r="N16" s="81"/>
      <c r="O16" s="1" t="s">
        <v>737</v>
      </c>
      <c r="P16" s="1">
        <v>1</v>
      </c>
      <c r="Q16" s="67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7">
        <f>COUNTIF(raw_data!IV:IV, BL16)</f>
        <v>1</v>
      </c>
    </row>
    <row r="17" spans="1:70" x14ac:dyDescent="0.35">
      <c r="A17" s="253"/>
      <c r="B17" s="249"/>
      <c r="C17" s="66" t="s">
        <v>508</v>
      </c>
      <c r="D17" s="66"/>
      <c r="E17" s="67">
        <f>MAX(coded_data!C:C) - MIN(coded_data!C:C)</f>
        <v>45</v>
      </c>
      <c r="G17" s="253"/>
      <c r="H17" s="230"/>
      <c r="I17" s="1" t="s">
        <v>643</v>
      </c>
      <c r="J17" s="1">
        <v>4</v>
      </c>
      <c r="K17" s="33">
        <f>COUNTIF(coded_data!AJ:AJ, J17)</f>
        <v>0</v>
      </c>
      <c r="M17" s="84"/>
      <c r="N17" s="81"/>
      <c r="O17" s="1" t="s">
        <v>738</v>
      </c>
      <c r="P17" s="1">
        <v>1</v>
      </c>
      <c r="Q17" s="67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7">
        <f>COUNTIF(raw_data!IV:IV, BL17)</f>
        <v>5</v>
      </c>
    </row>
    <row r="18" spans="1:70" ht="14.5" customHeight="1" x14ac:dyDescent="0.35">
      <c r="A18" s="252">
        <v>3</v>
      </c>
      <c r="B18" s="281" t="s">
        <v>640</v>
      </c>
      <c r="C18" s="62" t="s">
        <v>641</v>
      </c>
      <c r="D18" s="62">
        <v>0</v>
      </c>
      <c r="E18" s="63">
        <f>COUNTIF(coded_data!D:D, D18)</f>
        <v>6</v>
      </c>
      <c r="G18" s="252">
        <v>16</v>
      </c>
      <c r="H18" s="245" t="s">
        <v>730</v>
      </c>
      <c r="I18" s="232" t="s">
        <v>693</v>
      </c>
      <c r="J18" s="233"/>
      <c r="K18" s="234"/>
      <c r="M18" s="84"/>
      <c r="N18" s="81"/>
      <c r="O18" s="1" t="s">
        <v>739</v>
      </c>
      <c r="P18" s="1">
        <v>1</v>
      </c>
      <c r="Q18" s="67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7">
        <f>COUNTIF(raw_data!IV:IV, BL18)</f>
        <v>4</v>
      </c>
    </row>
    <row r="19" spans="1:70" ht="15" thickBot="1" x14ac:dyDescent="0.4">
      <c r="A19" s="254"/>
      <c r="B19" s="282"/>
      <c r="C19" s="1" t="s">
        <v>642</v>
      </c>
      <c r="D19" s="1">
        <v>1</v>
      </c>
      <c r="E19" s="33">
        <f>COUNTIF(coded_data!D:D, D19)</f>
        <v>3</v>
      </c>
      <c r="G19" s="254"/>
      <c r="H19" s="229"/>
      <c r="I19" s="68" t="s">
        <v>689</v>
      </c>
      <c r="J19" s="68">
        <v>1</v>
      </c>
      <c r="K19" s="33">
        <f>COUNTIF(coded_data!AK:AK, J19)</f>
        <v>2</v>
      </c>
      <c r="M19" s="84"/>
      <c r="N19" s="81"/>
      <c r="O19" s="1" t="s">
        <v>740</v>
      </c>
      <c r="P19" s="1">
        <v>1</v>
      </c>
      <c r="Q19" s="67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5" t="s">
        <v>424</v>
      </c>
      <c r="BM19" s="48">
        <f>COUNTIF(raw_data!IN:IN, BL19)</f>
        <v>6</v>
      </c>
      <c r="BN19" s="48">
        <f>COUNTIF(raw_data!IO:IO, BL19)</f>
        <v>5</v>
      </c>
      <c r="BO19" s="48">
        <f>COUNTIF(raw_data!IP:IP, BL19)</f>
        <v>0</v>
      </c>
      <c r="BP19" s="48">
        <f>COUNTIF(raw_data!IT:IT, BL19)</f>
        <v>7</v>
      </c>
      <c r="BQ19" s="48">
        <f>COUNTIF(raw_data!IU:IU, BL19)</f>
        <v>2</v>
      </c>
      <c r="BR19" s="49">
        <f>COUNTIF(raw_data!IV:IV, BL19)</f>
        <v>0</v>
      </c>
    </row>
    <row r="20" spans="1:70" x14ac:dyDescent="0.35">
      <c r="A20" s="253"/>
      <c r="B20" s="283"/>
      <c r="C20" s="66" t="s">
        <v>643</v>
      </c>
      <c r="D20" s="66">
        <v>2</v>
      </c>
      <c r="E20" s="67">
        <f>COUNTIF(coded_data!D:D, D20)</f>
        <v>1</v>
      </c>
      <c r="G20" s="254"/>
      <c r="H20" s="229"/>
      <c r="I20" s="68" t="s">
        <v>694</v>
      </c>
      <c r="J20" s="68">
        <v>1</v>
      </c>
      <c r="K20" s="33">
        <f>COUNTIF(coded_data!AL:AL, J20)</f>
        <v>3</v>
      </c>
      <c r="M20" s="84"/>
      <c r="N20" s="81"/>
      <c r="O20" s="1" t="s">
        <v>741</v>
      </c>
      <c r="P20" s="1">
        <v>1</v>
      </c>
      <c r="Q20" s="67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52">
        <v>4</v>
      </c>
      <c r="B21" s="247" t="s">
        <v>714</v>
      </c>
      <c r="C21" s="62" t="s">
        <v>644</v>
      </c>
      <c r="D21" s="62">
        <v>0</v>
      </c>
      <c r="E21" s="63">
        <f>COUNTIF(coded_data!E:E, D21)</f>
        <v>1</v>
      </c>
      <c r="G21" s="254"/>
      <c r="H21" s="229"/>
      <c r="I21" s="68" t="s">
        <v>643</v>
      </c>
      <c r="J21" s="68">
        <v>1</v>
      </c>
      <c r="K21" s="33">
        <f>COUNTIF(coded_data!AM:AM, J21)</f>
        <v>0</v>
      </c>
      <c r="M21" s="84"/>
      <c r="N21" s="81"/>
      <c r="O21" s="232" t="s">
        <v>699</v>
      </c>
      <c r="P21" s="233"/>
      <c r="Q21" s="234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54"/>
      <c r="B22" s="248"/>
      <c r="C22" s="1" t="s">
        <v>645</v>
      </c>
      <c r="D22" s="1">
        <v>1</v>
      </c>
      <c r="E22" s="33">
        <f>COUNTIF(coded_data!E:E, D22)</f>
        <v>2</v>
      </c>
      <c r="G22" s="254"/>
      <c r="H22" s="246"/>
      <c r="I22" s="232" t="s">
        <v>695</v>
      </c>
      <c r="J22" s="233"/>
      <c r="K22" s="234"/>
      <c r="M22" s="84"/>
      <c r="N22" s="81"/>
      <c r="O22" s="1" t="s">
        <v>742</v>
      </c>
      <c r="P22" s="1">
        <v>1</v>
      </c>
      <c r="Q22" s="67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54"/>
      <c r="B23" s="248"/>
      <c r="C23" s="1" t="s">
        <v>646</v>
      </c>
      <c r="D23" s="1">
        <v>2</v>
      </c>
      <c r="E23" s="33">
        <f>COUNTIF(coded_data!E:E, D23)</f>
        <v>3</v>
      </c>
      <c r="G23" s="254"/>
      <c r="H23" s="229"/>
      <c r="I23" s="68" t="s">
        <v>689</v>
      </c>
      <c r="J23" s="60">
        <v>1</v>
      </c>
      <c r="K23" s="33">
        <f>COUNTIF(coded_data!AN:AN, J23)</f>
        <v>1</v>
      </c>
      <c r="M23" s="84"/>
      <c r="N23" s="81"/>
      <c r="O23" s="1" t="s">
        <v>743</v>
      </c>
      <c r="P23" s="1">
        <v>1</v>
      </c>
      <c r="Q23" s="67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53"/>
      <c r="B24" s="249"/>
      <c r="C24" s="66" t="s">
        <v>647</v>
      </c>
      <c r="D24" s="66">
        <v>3</v>
      </c>
      <c r="E24" s="67">
        <f>COUNTIF(coded_data!E:E, D24)</f>
        <v>4</v>
      </c>
      <c r="G24" s="254"/>
      <c r="H24" s="229"/>
      <c r="I24" s="68" t="s">
        <v>696</v>
      </c>
      <c r="J24" s="60">
        <v>1</v>
      </c>
      <c r="K24" s="33">
        <f>COUNTIF(coded_data!AO:AO, J24)</f>
        <v>3</v>
      </c>
      <c r="M24" s="84"/>
      <c r="N24" s="81"/>
      <c r="O24" s="1" t="s">
        <v>744</v>
      </c>
      <c r="P24" s="1">
        <v>1</v>
      </c>
      <c r="Q24" s="67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52">
        <v>5</v>
      </c>
      <c r="B25" s="250" t="s">
        <v>715</v>
      </c>
      <c r="C25" s="62" t="s">
        <v>648</v>
      </c>
      <c r="D25" s="62">
        <v>1</v>
      </c>
      <c r="E25" s="63">
        <f>COUNTIF(coded_data!F:F, D25)</f>
        <v>8</v>
      </c>
      <c r="G25" s="254"/>
      <c r="H25" s="229"/>
      <c r="I25" s="68" t="s">
        <v>697</v>
      </c>
      <c r="J25" s="60">
        <v>1</v>
      </c>
      <c r="K25" s="33">
        <f>COUNTIF(coded_data!AP:AP, J25)</f>
        <v>3</v>
      </c>
      <c r="M25" s="84"/>
      <c r="N25" s="81"/>
      <c r="O25" s="1" t="s">
        <v>740</v>
      </c>
      <c r="P25" s="1">
        <v>1</v>
      </c>
      <c r="Q25" s="67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255"/>
      <c r="B26" s="251"/>
      <c r="C26" s="1" t="s">
        <v>650</v>
      </c>
      <c r="D26" s="1">
        <v>0</v>
      </c>
      <c r="E26" s="33">
        <f>COUNTIF(coded_data!F:F, D26)</f>
        <v>2</v>
      </c>
      <c r="G26" s="254"/>
      <c r="H26" s="229"/>
      <c r="I26" s="68" t="s">
        <v>698</v>
      </c>
      <c r="J26" s="60">
        <v>1</v>
      </c>
      <c r="K26" s="33">
        <f>COUNTIF(coded_data!AQ:AQ, J26)</f>
        <v>3</v>
      </c>
      <c r="M26" s="84"/>
      <c r="N26" s="81"/>
      <c r="O26" s="66" t="s">
        <v>643</v>
      </c>
      <c r="P26" s="66">
        <v>1</v>
      </c>
      <c r="Q26" s="67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40" t="s">
        <v>651</v>
      </c>
      <c r="B27" s="241"/>
      <c r="C27" s="241"/>
      <c r="D27" s="241"/>
      <c r="E27" s="242"/>
      <c r="G27" s="254"/>
      <c r="H27" s="229"/>
      <c r="I27" s="68" t="s">
        <v>643</v>
      </c>
      <c r="J27" s="60">
        <v>1</v>
      </c>
      <c r="K27" s="33">
        <f>COUNTIF(coded_data!AR:AR, J27)</f>
        <v>0</v>
      </c>
      <c r="M27" s="75">
        <v>23</v>
      </c>
      <c r="N27" s="78" t="s">
        <v>746</v>
      </c>
      <c r="O27" s="62" t="s">
        <v>747</v>
      </c>
      <c r="P27" s="62">
        <v>1</v>
      </c>
      <c r="Q27" s="67">
        <f>COUNTIF(coded_data!BX:BX, P27)</f>
        <v>4</v>
      </c>
    </row>
    <row r="28" spans="1:70" ht="14.5" customHeight="1" x14ac:dyDescent="0.35">
      <c r="A28" s="256">
        <v>6</v>
      </c>
      <c r="B28" s="257" t="s">
        <v>652</v>
      </c>
      <c r="C28" s="1" t="s">
        <v>648</v>
      </c>
      <c r="D28" s="1">
        <v>1</v>
      </c>
      <c r="E28" s="33">
        <f>COUNTIF(coded_data!G:G, D28)</f>
        <v>4</v>
      </c>
      <c r="G28" s="254"/>
      <c r="H28" s="246"/>
      <c r="I28" s="232" t="s">
        <v>699</v>
      </c>
      <c r="J28" s="233"/>
      <c r="K28" s="234"/>
      <c r="M28" s="76"/>
      <c r="N28" s="79"/>
      <c r="O28" s="1" t="s">
        <v>748</v>
      </c>
      <c r="P28" s="1">
        <v>1</v>
      </c>
      <c r="Q28" s="67">
        <f>COUNTIF(coded_data!BY:BY, P28)</f>
        <v>9</v>
      </c>
      <c r="AX28" s="260" t="s">
        <v>872</v>
      </c>
      <c r="AY28" s="261"/>
      <c r="AZ28" s="261"/>
      <c r="BA28" s="261"/>
      <c r="BB28" s="261"/>
      <c r="BC28" s="262"/>
    </row>
    <row r="29" spans="1:70" ht="15" thickBot="1" x14ac:dyDescent="0.4">
      <c r="A29" s="253"/>
      <c r="B29" s="258"/>
      <c r="C29" s="66" t="s">
        <v>649</v>
      </c>
      <c r="D29" s="66">
        <v>0</v>
      </c>
      <c r="E29" s="67">
        <f>COUNTIF(coded_data!G:G, D29)</f>
        <v>6</v>
      </c>
      <c r="G29" s="254"/>
      <c r="H29" s="229"/>
      <c r="I29" s="68" t="s">
        <v>700</v>
      </c>
      <c r="J29" s="60">
        <v>1</v>
      </c>
      <c r="K29" s="33">
        <f>COUNTIF(coded_data!AS:AS, J29)</f>
        <v>2</v>
      </c>
      <c r="M29" s="76"/>
      <c r="N29" s="79"/>
      <c r="O29" s="1" t="s">
        <v>749</v>
      </c>
      <c r="P29" s="1">
        <v>1</v>
      </c>
      <c r="Q29" s="67">
        <f>COUNTIF(coded_data!BZ:BZ, P29)</f>
        <v>3</v>
      </c>
      <c r="AX29" s="263"/>
      <c r="AY29" s="264"/>
      <c r="AZ29" s="264"/>
      <c r="BA29" s="264"/>
      <c r="BB29" s="264"/>
      <c r="BC29" s="265"/>
    </row>
    <row r="30" spans="1:70" x14ac:dyDescent="0.35">
      <c r="A30" s="252">
        <v>7</v>
      </c>
      <c r="B30" s="231" t="s">
        <v>728</v>
      </c>
      <c r="C30" s="62" t="s">
        <v>653</v>
      </c>
      <c r="D30" s="62">
        <v>0</v>
      </c>
      <c r="E30" s="63">
        <f>COUNTIF(coded_data!H:H, D30)</f>
        <v>8</v>
      </c>
      <c r="G30" s="254"/>
      <c r="H30" s="229"/>
      <c r="I30" s="68" t="s">
        <v>701</v>
      </c>
      <c r="J30" s="60">
        <v>1</v>
      </c>
      <c r="K30" s="33">
        <f>COUNTIF(coded_data!AT:AT, J30)</f>
        <v>2</v>
      </c>
      <c r="M30" s="76"/>
      <c r="N30" s="79"/>
      <c r="O30" s="1" t="s">
        <v>750</v>
      </c>
      <c r="P30" s="1">
        <v>1</v>
      </c>
      <c r="Q30" s="67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254"/>
      <c r="B31" s="229"/>
      <c r="C31" s="1" t="s">
        <v>654</v>
      </c>
      <c r="D31" s="1">
        <v>1</v>
      </c>
      <c r="E31" s="33">
        <f>COUNTIF(coded_data!H:H, D31)</f>
        <v>2</v>
      </c>
      <c r="G31" s="254"/>
      <c r="H31" s="229"/>
      <c r="I31" s="68" t="s">
        <v>702</v>
      </c>
      <c r="J31" s="60">
        <v>1</v>
      </c>
      <c r="K31" s="33">
        <f>COUNTIF(coded_data!AU:AU, J31)</f>
        <v>2</v>
      </c>
      <c r="M31" s="77"/>
      <c r="N31" s="80"/>
      <c r="O31" s="66" t="s">
        <v>751</v>
      </c>
      <c r="P31" s="66">
        <v>1</v>
      </c>
      <c r="Q31" s="67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55"/>
      <c r="B32" s="229"/>
      <c r="C32" s="1" t="s">
        <v>643</v>
      </c>
      <c r="D32" s="1">
        <v>2</v>
      </c>
      <c r="E32" s="33">
        <f>COUNTIF(coded_data!H:H, D32)</f>
        <v>0</v>
      </c>
      <c r="G32" s="254"/>
      <c r="H32" s="229"/>
      <c r="I32" s="68" t="s">
        <v>703</v>
      </c>
      <c r="J32" s="60">
        <v>1</v>
      </c>
      <c r="K32" s="33">
        <f>COUNTIF(coded_data!AV:AV, J32)</f>
        <v>2</v>
      </c>
      <c r="M32" s="75">
        <v>24</v>
      </c>
      <c r="N32" s="78" t="s">
        <v>752</v>
      </c>
      <c r="O32" s="62" t="s">
        <v>753</v>
      </c>
      <c r="P32" s="62">
        <v>5</v>
      </c>
      <c r="Q32" s="67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40" t="s">
        <v>655</v>
      </c>
      <c r="B33" s="241"/>
      <c r="C33" s="241"/>
      <c r="D33" s="241"/>
      <c r="E33" s="242"/>
      <c r="G33" s="253"/>
      <c r="H33" s="230"/>
      <c r="I33" s="69" t="s">
        <v>643</v>
      </c>
      <c r="J33" s="70">
        <v>1</v>
      </c>
      <c r="K33" s="67">
        <f>COUNTIF(coded_data!AW:AW, J33)</f>
        <v>0</v>
      </c>
      <c r="M33" s="76"/>
      <c r="N33" s="79"/>
      <c r="O33" s="1" t="s">
        <v>754</v>
      </c>
      <c r="P33" s="1">
        <v>4</v>
      </c>
      <c r="Q33" s="67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56">
        <v>8</v>
      </c>
      <c r="B34" s="229" t="s">
        <v>716</v>
      </c>
      <c r="C34" s="1" t="s">
        <v>656</v>
      </c>
      <c r="D34" s="1">
        <v>0</v>
      </c>
      <c r="E34" s="33">
        <f>COUNTIF(coded_data!I:I, D34)</f>
        <v>0</v>
      </c>
      <c r="G34" s="252">
        <v>17</v>
      </c>
      <c r="H34" s="231" t="s">
        <v>704</v>
      </c>
      <c r="I34" s="71" t="s">
        <v>722</v>
      </c>
      <c r="J34" s="62" t="s">
        <v>503</v>
      </c>
      <c r="K34" s="72" t="str">
        <f>CONCATENATE(AVERAGE(coded_data!AX:AX), " sq. ft.")</f>
        <v>13.6 sq. ft.</v>
      </c>
      <c r="M34" s="76"/>
      <c r="N34" s="79"/>
      <c r="O34" s="1" t="s">
        <v>755</v>
      </c>
      <c r="P34" s="1">
        <v>3</v>
      </c>
      <c r="Q34" s="67">
        <f>COUNTIF(coded_data!CC:CC, P34)</f>
        <v>0</v>
      </c>
    </row>
    <row r="35" spans="1:55" ht="14.5" customHeight="1" x14ac:dyDescent="0.35">
      <c r="A35" s="254"/>
      <c r="B35" s="229"/>
      <c r="C35" s="1" t="s">
        <v>657</v>
      </c>
      <c r="D35" s="1">
        <v>1</v>
      </c>
      <c r="E35" s="33">
        <f>COUNTIF(coded_data!I:I, D35)</f>
        <v>1</v>
      </c>
      <c r="G35" s="254"/>
      <c r="H35" s="229"/>
      <c r="I35" s="68" t="s">
        <v>723</v>
      </c>
      <c r="J35" s="1" t="s">
        <v>503</v>
      </c>
      <c r="K35" s="73" t="str">
        <f>CONCATENATE(AVERAGE(coded_data!AY:AY), " sq. ft.")</f>
        <v>7.8 sq. ft.</v>
      </c>
      <c r="M35" s="76"/>
      <c r="N35" s="79"/>
      <c r="O35" s="1" t="s">
        <v>756</v>
      </c>
      <c r="P35" s="1">
        <v>2</v>
      </c>
      <c r="Q35" s="67">
        <f>COUNTIF(coded_data!CC:CC, P35)</f>
        <v>2</v>
      </c>
    </row>
    <row r="36" spans="1:55" ht="15" thickBot="1" x14ac:dyDescent="0.4">
      <c r="A36" s="254"/>
      <c r="B36" s="229"/>
      <c r="C36" s="1" t="s">
        <v>658</v>
      </c>
      <c r="D36" s="1">
        <v>2</v>
      </c>
      <c r="E36" s="33">
        <f>COUNTIF(coded_data!I:I, D36)</f>
        <v>0</v>
      </c>
      <c r="G36" s="253"/>
      <c r="H36" s="230"/>
      <c r="I36" s="68" t="s">
        <v>724</v>
      </c>
      <c r="J36" s="1" t="s">
        <v>503</v>
      </c>
      <c r="K36" s="73" t="str">
        <f>CONCATENATE(AVERAGE(coded_data!AZ:AZ), " sq. ft.")</f>
        <v>14 sq. ft.</v>
      </c>
      <c r="M36" s="76"/>
      <c r="N36" s="79"/>
      <c r="O36" s="1" t="s">
        <v>757</v>
      </c>
      <c r="P36" s="1">
        <v>1</v>
      </c>
      <c r="Q36" s="67">
        <f>COUNTIF(coded_data!CC:CC, P36)</f>
        <v>3</v>
      </c>
    </row>
    <row r="37" spans="1:55" ht="14" customHeight="1" x14ac:dyDescent="0.35">
      <c r="A37" s="254"/>
      <c r="B37" s="229"/>
      <c r="C37" s="1" t="s">
        <v>659</v>
      </c>
      <c r="D37" s="1">
        <v>3</v>
      </c>
      <c r="E37" s="33">
        <f>COUNTIF(coded_data!I:I, D37)</f>
        <v>5</v>
      </c>
      <c r="G37" s="252">
        <v>18</v>
      </c>
      <c r="H37" s="231" t="s">
        <v>729</v>
      </c>
      <c r="I37" s="238" t="s">
        <v>725</v>
      </c>
      <c r="J37" s="238"/>
      <c r="K37" s="239"/>
      <c r="L37" s="59"/>
      <c r="M37" s="77"/>
      <c r="N37" s="80"/>
      <c r="O37" s="66" t="s">
        <v>643</v>
      </c>
      <c r="P37" s="66">
        <v>0</v>
      </c>
      <c r="Q37" s="67">
        <f>COUNTIF(coded_data!CC:CC, P37)</f>
        <v>2</v>
      </c>
    </row>
    <row r="38" spans="1:55" ht="11.5" customHeight="1" x14ac:dyDescent="0.35">
      <c r="A38" s="254"/>
      <c r="B38" s="229"/>
      <c r="C38" s="1" t="s">
        <v>660</v>
      </c>
      <c r="D38" s="1">
        <v>4</v>
      </c>
      <c r="E38" s="33">
        <f>COUNTIF(coded_data!I:I, D38)</f>
        <v>2</v>
      </c>
      <c r="G38" s="254"/>
      <c r="H38" s="229"/>
      <c r="I38" s="74" t="s">
        <v>732</v>
      </c>
      <c r="J38" s="62"/>
      <c r="K38" s="63">
        <f>SUM(coded_data!BA:BA)</f>
        <v>46</v>
      </c>
      <c r="M38" s="75">
        <v>25</v>
      </c>
      <c r="N38" s="78" t="s">
        <v>758</v>
      </c>
      <c r="O38" s="61" t="s">
        <v>759</v>
      </c>
      <c r="P38" s="62">
        <v>1</v>
      </c>
      <c r="Q38" s="67">
        <f>COUNTIF(coded_data!CD:CD, P38)</f>
        <v>10</v>
      </c>
    </row>
    <row r="39" spans="1:55" ht="14.5" customHeight="1" x14ac:dyDescent="0.35">
      <c r="A39" s="254"/>
      <c r="B39" s="229"/>
      <c r="C39" s="1" t="s">
        <v>661</v>
      </c>
      <c r="D39" s="1">
        <v>5</v>
      </c>
      <c r="E39" s="33">
        <f>COUNTIF(coded_data!I:I, D39)</f>
        <v>2</v>
      </c>
      <c r="G39" s="254"/>
      <c r="H39" s="229"/>
      <c r="I39" s="64" t="s">
        <v>718</v>
      </c>
      <c r="J39" s="1"/>
      <c r="K39" s="33">
        <f>SUM(coded_data!BA:BA)/(COUNT(coded_data!A:A)-COUNTIF(coded_data!BA:BA,J39))</f>
        <v>5.1111111111111107</v>
      </c>
      <c r="M39" s="76"/>
      <c r="N39" s="79"/>
      <c r="O39" s="64" t="s">
        <v>760</v>
      </c>
      <c r="P39" s="1">
        <v>1</v>
      </c>
      <c r="Q39" s="67">
        <f>COUNTIF(coded_data!CE:CE, P39)</f>
        <v>10</v>
      </c>
    </row>
    <row r="40" spans="1:55" ht="14.5" customHeight="1" x14ac:dyDescent="0.35">
      <c r="A40" s="253"/>
      <c r="B40" s="230"/>
      <c r="C40" s="66" t="s">
        <v>643</v>
      </c>
      <c r="D40" s="66">
        <v>6</v>
      </c>
      <c r="E40" s="67">
        <f>COUNTIF(coded_data!I:I, D40)</f>
        <v>0</v>
      </c>
      <c r="G40" s="254"/>
      <c r="H40" s="229"/>
      <c r="I40" s="65" t="s">
        <v>508</v>
      </c>
      <c r="J40" s="66"/>
      <c r="K40" s="67">
        <f>MAX(coded_data!BA:BA) - MIN(coded_data!BA:BA)</f>
        <v>13</v>
      </c>
      <c r="M40" s="76"/>
      <c r="N40" s="79"/>
      <c r="O40" s="64" t="s">
        <v>761</v>
      </c>
      <c r="P40" s="1">
        <v>1</v>
      </c>
      <c r="Q40" s="67">
        <f>COUNTIF(coded_data!CF:CF, P40)</f>
        <v>3</v>
      </c>
    </row>
    <row r="41" spans="1:55" x14ac:dyDescent="0.35">
      <c r="A41" s="252">
        <v>9</v>
      </c>
      <c r="B41" s="231" t="s">
        <v>662</v>
      </c>
      <c r="C41" s="62" t="s">
        <v>648</v>
      </c>
      <c r="D41" s="62">
        <v>1</v>
      </c>
      <c r="E41" s="63">
        <f>COUNTIF(coded_data!J:J, D41)</f>
        <v>2</v>
      </c>
      <c r="G41" s="254"/>
      <c r="H41" s="229"/>
      <c r="I41" s="243" t="s">
        <v>726</v>
      </c>
      <c r="J41" s="243"/>
      <c r="K41" s="244"/>
      <c r="M41" s="76"/>
      <c r="N41" s="79"/>
      <c r="O41" s="64" t="s">
        <v>762</v>
      </c>
      <c r="P41" s="1">
        <v>1</v>
      </c>
      <c r="Q41" s="67">
        <f>COUNTIF(coded_data!CG:CG, P41)</f>
        <v>3</v>
      </c>
    </row>
    <row r="42" spans="1:55" x14ac:dyDescent="0.35">
      <c r="A42" s="253"/>
      <c r="B42" s="230"/>
      <c r="C42" s="66" t="s">
        <v>649</v>
      </c>
      <c r="D42" s="66">
        <v>0</v>
      </c>
      <c r="E42" s="67">
        <f>COUNTIF(coded_data!J:J, D42)</f>
        <v>8</v>
      </c>
      <c r="G42" s="254"/>
      <c r="H42" s="229"/>
      <c r="I42" s="74" t="s">
        <v>732</v>
      </c>
      <c r="J42" s="62"/>
      <c r="K42" s="63">
        <f>SUM(coded_data!BB:BB)</f>
        <v>49</v>
      </c>
      <c r="M42" s="77"/>
      <c r="N42" s="80"/>
      <c r="O42" s="65" t="s">
        <v>643</v>
      </c>
      <c r="P42" s="66">
        <v>1</v>
      </c>
      <c r="Q42" s="67">
        <f>COUNTIF(coded_data!CH:CH, P42)</f>
        <v>2</v>
      </c>
    </row>
    <row r="43" spans="1:55" ht="14" customHeight="1" x14ac:dyDescent="0.35">
      <c r="A43" s="58">
        <v>10</v>
      </c>
      <c r="B43" t="s">
        <v>663</v>
      </c>
      <c r="E43" s="43" t="str">
        <f>CONCATENATE(SUM(coded_data!K:K)/(COUNT(coded_data!A:A) - COUNTIF(coded_data!K:K, D43)), " per month")</f>
        <v>45 per month</v>
      </c>
      <c r="G43" s="254"/>
      <c r="H43" s="229"/>
      <c r="I43" s="64" t="s">
        <v>718</v>
      </c>
      <c r="J43" s="1"/>
      <c r="K43" s="33">
        <f>SUM(coded_data!BB:BB)/(COUNT(coded_data!A:A)-COUNTIF(coded_data!BB:BB,J43))</f>
        <v>6.125</v>
      </c>
      <c r="L43" s="59"/>
      <c r="M43" s="75">
        <v>26</v>
      </c>
      <c r="N43" s="78" t="s">
        <v>763</v>
      </c>
      <c r="O43" s="61" t="s">
        <v>764</v>
      </c>
      <c r="P43" s="62">
        <v>0</v>
      </c>
      <c r="Q43" s="67">
        <f>COUNTIF(coded_data!CI:CI, P43)</f>
        <v>1</v>
      </c>
    </row>
    <row r="44" spans="1:55" ht="14.5" customHeight="1" x14ac:dyDescent="0.35">
      <c r="A44" s="252">
        <v>11</v>
      </c>
      <c r="B44" s="231" t="s">
        <v>717</v>
      </c>
      <c r="C44" s="62" t="s">
        <v>664</v>
      </c>
      <c r="D44" s="62">
        <v>0</v>
      </c>
      <c r="E44" s="63">
        <f>COUNTIF(coded_data!L:L, D44)</f>
        <v>6</v>
      </c>
      <c r="G44" s="254"/>
      <c r="H44" s="229"/>
      <c r="I44" s="65" t="s">
        <v>508</v>
      </c>
      <c r="J44" s="66"/>
      <c r="K44" s="67">
        <f>MAX(coded_data!BB:BB) - MIN(coded_data!BB:BB)</f>
        <v>20</v>
      </c>
      <c r="M44" s="76"/>
      <c r="N44" s="79"/>
      <c r="O44" s="64" t="s">
        <v>765</v>
      </c>
      <c r="P44" s="1">
        <v>1</v>
      </c>
      <c r="Q44" s="67">
        <f>COUNTIF(coded_data!CI:CI, P44)</f>
        <v>2</v>
      </c>
    </row>
    <row r="45" spans="1:55" x14ac:dyDescent="0.35">
      <c r="A45" s="254"/>
      <c r="B45" s="229"/>
      <c r="C45" s="1" t="s">
        <v>665</v>
      </c>
      <c r="D45" s="1">
        <v>1</v>
      </c>
      <c r="E45" s="33">
        <f>COUNTIF(coded_data!L:L, D45)</f>
        <v>4</v>
      </c>
      <c r="G45" s="254"/>
      <c r="H45" s="229"/>
      <c r="I45" s="243" t="s">
        <v>727</v>
      </c>
      <c r="J45" s="243"/>
      <c r="K45" s="244"/>
      <c r="M45" s="76"/>
      <c r="N45" s="79"/>
      <c r="O45" s="64" t="s">
        <v>766</v>
      </c>
      <c r="P45" s="1">
        <v>2</v>
      </c>
      <c r="Q45" s="67">
        <f>COUNTIF(coded_data!CI:CI, P45)</f>
        <v>3</v>
      </c>
    </row>
    <row r="46" spans="1:55" x14ac:dyDescent="0.35">
      <c r="A46" s="253"/>
      <c r="B46" s="230"/>
      <c r="C46" s="66" t="s">
        <v>643</v>
      </c>
      <c r="D46" s="66">
        <v>2</v>
      </c>
      <c r="E46" s="67">
        <f>COUNTIF(coded_data!L:L, D46)</f>
        <v>0</v>
      </c>
      <c r="G46" s="254"/>
      <c r="H46" s="229"/>
      <c r="I46" s="74" t="s">
        <v>732</v>
      </c>
      <c r="J46" s="62"/>
      <c r="K46" s="63">
        <f>SUM(coded_data!BC:BC)</f>
        <v>60</v>
      </c>
      <c r="M46" s="76"/>
      <c r="N46" s="79"/>
      <c r="O46" s="64" t="s">
        <v>767</v>
      </c>
      <c r="P46" s="1">
        <v>3</v>
      </c>
      <c r="Q46" s="67">
        <f>COUNTIF(coded_data!CI:CI, P46)</f>
        <v>1</v>
      </c>
    </row>
    <row r="47" spans="1:55" x14ac:dyDescent="0.35">
      <c r="A47" s="252">
        <v>12</v>
      </c>
      <c r="B47" s="231" t="s">
        <v>666</v>
      </c>
      <c r="C47" s="62" t="s">
        <v>667</v>
      </c>
      <c r="D47" s="62">
        <v>1</v>
      </c>
      <c r="E47" s="63">
        <f>COUNTIF(coded_data!M:M, D47)</f>
        <v>4</v>
      </c>
      <c r="G47" s="254"/>
      <c r="H47" s="229"/>
      <c r="I47" s="64" t="s">
        <v>718</v>
      </c>
      <c r="J47" s="1"/>
      <c r="K47" s="33">
        <f>SUM(coded_data!BC:BC)/(COUNT(coded_data!A:A)-COUNTIF(coded_data!BC:BC,J46))</f>
        <v>20</v>
      </c>
      <c r="M47" s="76"/>
      <c r="N47" s="79"/>
      <c r="O47" s="64" t="s">
        <v>768</v>
      </c>
      <c r="P47" s="1">
        <v>4</v>
      </c>
      <c r="Q47" s="67">
        <f>COUNTIF(coded_data!CI:CI, P47)</f>
        <v>3</v>
      </c>
    </row>
    <row r="48" spans="1:55" x14ac:dyDescent="0.35">
      <c r="A48" s="254"/>
      <c r="B48" s="229"/>
      <c r="C48" s="1" t="s">
        <v>668</v>
      </c>
      <c r="D48" s="1">
        <v>1</v>
      </c>
      <c r="E48" s="33">
        <f>COUNTIF(coded_data!N:N, D48)</f>
        <v>6</v>
      </c>
      <c r="G48" s="253"/>
      <c r="H48" s="230"/>
      <c r="I48" s="65" t="s">
        <v>508</v>
      </c>
      <c r="J48" s="66"/>
      <c r="K48" s="67">
        <f>MAX(coded_data!BC:BC) - MIN(coded_data!BC:BC)</f>
        <v>20</v>
      </c>
      <c r="M48" s="77"/>
      <c r="N48" s="80"/>
      <c r="O48" s="65" t="s">
        <v>643</v>
      </c>
      <c r="P48" s="66">
        <v>5</v>
      </c>
      <c r="Q48" s="67">
        <f>COUNTIF(coded_data!CI:CI, P48)</f>
        <v>0</v>
      </c>
    </row>
    <row r="49" spans="1:17" ht="15.5" customHeight="1" x14ac:dyDescent="0.35">
      <c r="A49" s="254"/>
      <c r="B49" s="229"/>
      <c r="C49" s="1" t="s">
        <v>669</v>
      </c>
      <c r="D49" s="1">
        <v>1</v>
      </c>
      <c r="E49" s="33">
        <f>COUNTIF(coded_data!O:O, D49)</f>
        <v>6</v>
      </c>
      <c r="G49" s="252">
        <v>19</v>
      </c>
      <c r="H49" s="231" t="s">
        <v>705</v>
      </c>
      <c r="I49" s="62" t="s">
        <v>706</v>
      </c>
      <c r="J49" s="62">
        <v>0</v>
      </c>
      <c r="K49" s="63">
        <f>COUNTIF(coded_data!BD:BD, J49)</f>
        <v>3</v>
      </c>
      <c r="L49" s="59"/>
      <c r="M49" s="75">
        <v>27</v>
      </c>
      <c r="N49" s="78" t="s">
        <v>769</v>
      </c>
      <c r="O49" s="61" t="s">
        <v>648</v>
      </c>
      <c r="P49" s="62">
        <v>1</v>
      </c>
      <c r="Q49" s="67">
        <f>COUNTIF(raw_data!CJ:CJ, O49)</f>
        <v>7</v>
      </c>
    </row>
    <row r="50" spans="1:17" ht="14.5" customHeight="1" x14ac:dyDescent="0.35">
      <c r="A50" s="254"/>
      <c r="B50" s="229"/>
      <c r="C50" s="1" t="s">
        <v>670</v>
      </c>
      <c r="D50" s="1">
        <v>1</v>
      </c>
      <c r="E50" s="33">
        <f>COUNTIF(coded_data!P:P, D50)</f>
        <v>6</v>
      </c>
      <c r="G50" s="254"/>
      <c r="H50" s="229"/>
      <c r="I50" s="1" t="s">
        <v>707</v>
      </c>
      <c r="J50" s="1">
        <v>1</v>
      </c>
      <c r="K50" s="33">
        <f>COUNTIF(coded_data!BD:BD, J50)</f>
        <v>1</v>
      </c>
      <c r="M50" s="76"/>
      <c r="N50" s="79"/>
      <c r="O50" s="64" t="s">
        <v>649</v>
      </c>
      <c r="P50" s="1">
        <v>0</v>
      </c>
      <c r="Q50" s="67">
        <f>COUNTIF(raw_data!CJ:CJ, O50)</f>
        <v>2</v>
      </c>
    </row>
    <row r="51" spans="1:17" x14ac:dyDescent="0.35">
      <c r="A51" s="254"/>
      <c r="B51" s="229"/>
      <c r="C51" s="1" t="s">
        <v>671</v>
      </c>
      <c r="D51" s="1">
        <v>1</v>
      </c>
      <c r="E51" s="33">
        <f>COUNTIF(coded_data!Q:Q, D51)</f>
        <v>5</v>
      </c>
      <c r="G51" s="254"/>
      <c r="H51" s="229"/>
      <c r="I51" s="1" t="s">
        <v>708</v>
      </c>
      <c r="J51" s="1">
        <v>2</v>
      </c>
      <c r="K51" s="33">
        <f>COUNTIF(coded_data!BD:BD, J51)</f>
        <v>5</v>
      </c>
      <c r="M51" s="77"/>
      <c r="N51" s="80"/>
      <c r="O51" s="65" t="s">
        <v>770</v>
      </c>
      <c r="P51" s="66">
        <v>0</v>
      </c>
      <c r="Q51" s="67">
        <f>COUNTIF(raw_data!CJ:CJ, O51)</f>
        <v>1</v>
      </c>
    </row>
    <row r="52" spans="1:17" ht="15.5" customHeight="1" x14ac:dyDescent="0.35">
      <c r="A52" s="253"/>
      <c r="B52" s="230"/>
      <c r="C52" s="66" t="s">
        <v>643</v>
      </c>
      <c r="D52" s="66">
        <v>1</v>
      </c>
      <c r="E52" s="67">
        <f>COUNTIF(coded_data!R:R, D52)</f>
        <v>1</v>
      </c>
      <c r="G52" s="253"/>
      <c r="H52" s="230"/>
      <c r="I52" s="66" t="s">
        <v>709</v>
      </c>
      <c r="J52" s="66">
        <v>3</v>
      </c>
      <c r="K52" s="67">
        <f>COUNTIF(coded_data!BD:BD, J52)</f>
        <v>1</v>
      </c>
      <c r="M52" s="75">
        <v>28</v>
      </c>
      <c r="N52" s="78" t="s">
        <v>771</v>
      </c>
      <c r="O52" s="61" t="s">
        <v>772</v>
      </c>
      <c r="P52" s="62">
        <v>1</v>
      </c>
      <c r="Q52" s="33">
        <f>COUNTIF(coded_data!CK:CK, P52)</f>
        <v>4</v>
      </c>
    </row>
    <row r="53" spans="1:17" ht="14" customHeight="1" x14ac:dyDescent="0.35">
      <c r="A53" s="252">
        <v>13</v>
      </c>
      <c r="B53" s="231" t="s">
        <v>672</v>
      </c>
      <c r="C53" s="62" t="s">
        <v>673</v>
      </c>
      <c r="D53" s="62">
        <v>1</v>
      </c>
      <c r="E53" s="63">
        <f>COUNTIF(coded_data!S:S, D53)</f>
        <v>10</v>
      </c>
      <c r="G53" s="252">
        <v>20</v>
      </c>
      <c r="H53" s="231" t="s">
        <v>710</v>
      </c>
      <c r="I53" s="62" t="s">
        <v>711</v>
      </c>
      <c r="J53" s="62">
        <v>0</v>
      </c>
      <c r="K53" s="63">
        <f>COUNTIF(coded_data!BE:BE, J53)</f>
        <v>5</v>
      </c>
      <c r="M53" s="76"/>
      <c r="N53" s="79"/>
      <c r="O53" s="64" t="s">
        <v>773</v>
      </c>
      <c r="P53" s="1">
        <v>1</v>
      </c>
      <c r="Q53" s="33">
        <f>COUNTIF(coded_data!CL:CL, P53)</f>
        <v>6</v>
      </c>
    </row>
    <row r="54" spans="1:17" x14ac:dyDescent="0.35">
      <c r="A54" s="254"/>
      <c r="B54" s="229"/>
      <c r="C54" s="1" t="s">
        <v>674</v>
      </c>
      <c r="D54" s="1">
        <v>1</v>
      </c>
      <c r="E54" s="33">
        <f>COUNTIF(coded_data!T:T, D54)</f>
        <v>2</v>
      </c>
      <c r="G54" s="254"/>
      <c r="H54" s="229"/>
      <c r="I54" s="1" t="s">
        <v>712</v>
      </c>
      <c r="J54" s="1">
        <v>1</v>
      </c>
      <c r="K54" s="33">
        <f>COUNTIF(coded_data!BE:BE, J54)</f>
        <v>2</v>
      </c>
      <c r="M54" s="76"/>
      <c r="N54" s="79"/>
      <c r="O54" s="64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254"/>
      <c r="B55" s="229"/>
      <c r="C55" s="1" t="s">
        <v>675</v>
      </c>
      <c r="D55" s="1">
        <v>1</v>
      </c>
      <c r="E55" s="33">
        <f>COUNTIF(coded_data!U:U, D55)</f>
        <v>1</v>
      </c>
      <c r="G55" s="254"/>
      <c r="H55" s="229"/>
      <c r="I55" s="1" t="s">
        <v>713</v>
      </c>
      <c r="J55" s="1">
        <v>2</v>
      </c>
      <c r="K55" s="33">
        <f>COUNTIF(coded_data!BE:BE, J55)</f>
        <v>3</v>
      </c>
      <c r="M55" s="76"/>
      <c r="N55" s="79"/>
      <c r="O55" s="64" t="s">
        <v>775</v>
      </c>
      <c r="P55" s="1">
        <v>1</v>
      </c>
      <c r="Q55" s="33">
        <f>COUNTIF(coded_data!CN:CN, P55)</f>
        <v>7</v>
      </c>
    </row>
    <row r="56" spans="1:17" x14ac:dyDescent="0.35">
      <c r="A56" s="254"/>
      <c r="B56" s="229"/>
      <c r="C56" s="1" t="s">
        <v>676</v>
      </c>
      <c r="D56" s="1">
        <v>1</v>
      </c>
      <c r="E56" s="33">
        <f>COUNTIF(coded_data!V:V, D56)</f>
        <v>3</v>
      </c>
      <c r="G56" s="253"/>
      <c r="H56" s="230"/>
      <c r="I56" s="66" t="s">
        <v>643</v>
      </c>
      <c r="J56" s="66">
        <v>3</v>
      </c>
      <c r="K56" s="67">
        <f>COUNTIF(coded_data!BE:BE, J56)</f>
        <v>0</v>
      </c>
      <c r="M56" s="76"/>
      <c r="N56" s="79"/>
      <c r="O56" s="64" t="s">
        <v>776</v>
      </c>
      <c r="P56" s="1">
        <v>1</v>
      </c>
      <c r="Q56" s="33">
        <f>COUNTIF(coded_data!CO:CO, P56)</f>
        <v>5</v>
      </c>
    </row>
    <row r="57" spans="1:17" x14ac:dyDescent="0.35">
      <c r="A57" s="254"/>
      <c r="B57" s="229"/>
      <c r="C57" s="1" t="s">
        <v>677</v>
      </c>
      <c r="D57" s="1">
        <v>1</v>
      </c>
      <c r="E57" s="33">
        <f>COUNTIF(coded_data!W:W, D57)</f>
        <v>9</v>
      </c>
      <c r="M57" s="77"/>
      <c r="N57" s="80"/>
      <c r="O57" s="65" t="s">
        <v>643</v>
      </c>
      <c r="P57" s="66">
        <v>1</v>
      </c>
      <c r="Q57" s="33">
        <f>COUNTIF(coded_data!CP:CP, P57)</f>
        <v>1</v>
      </c>
    </row>
    <row r="58" spans="1:17" x14ac:dyDescent="0.35">
      <c r="A58" s="254"/>
      <c r="B58" s="229"/>
      <c r="C58" s="1" t="s">
        <v>678</v>
      </c>
      <c r="D58" s="1">
        <v>1</v>
      </c>
      <c r="E58" s="33">
        <f>COUNTIF(coded_data!X:X, D58)</f>
        <v>5</v>
      </c>
      <c r="M58" s="75">
        <v>29</v>
      </c>
      <c r="N58" s="78" t="s">
        <v>777</v>
      </c>
      <c r="O58" s="61" t="s">
        <v>778</v>
      </c>
      <c r="P58" s="62">
        <v>3</v>
      </c>
      <c r="Q58" s="33">
        <f>COUNTIF(coded_data!CQ:CQ, P58)</f>
        <v>1</v>
      </c>
    </row>
    <row r="59" spans="1:17" ht="15" customHeight="1" x14ac:dyDescent="0.35">
      <c r="A59" s="254"/>
      <c r="B59" s="229"/>
      <c r="C59" s="1" t="s">
        <v>679</v>
      </c>
      <c r="D59" s="1">
        <v>1</v>
      </c>
      <c r="E59" s="33">
        <f>COUNTIF(coded_data!Y:Y, D59)</f>
        <v>2</v>
      </c>
      <c r="M59" s="76"/>
      <c r="N59" s="79"/>
      <c r="O59" s="64" t="s">
        <v>779</v>
      </c>
      <c r="P59" s="1">
        <v>2</v>
      </c>
      <c r="Q59" s="33">
        <f>COUNTIF(coded_data!CQ:CQ, P59)</f>
        <v>2</v>
      </c>
    </row>
    <row r="60" spans="1:17" x14ac:dyDescent="0.35">
      <c r="A60" s="253"/>
      <c r="B60" s="230"/>
      <c r="C60" s="66" t="s">
        <v>643</v>
      </c>
      <c r="D60" s="66">
        <v>1</v>
      </c>
      <c r="E60" s="67">
        <f>COUNTIF(coded_data!Z:Z, D60)</f>
        <v>2</v>
      </c>
      <c r="M60" s="76"/>
      <c r="N60" s="79"/>
      <c r="O60" s="64" t="s">
        <v>780</v>
      </c>
      <c r="P60" s="1">
        <v>1</v>
      </c>
      <c r="Q60" s="33">
        <f>COUNTIF(coded_data!CQ:CQ, P60)</f>
        <v>2</v>
      </c>
    </row>
    <row r="61" spans="1:17" x14ac:dyDescent="0.35">
      <c r="M61" s="77"/>
      <c r="N61" s="80"/>
      <c r="O61" s="65" t="s">
        <v>649</v>
      </c>
      <c r="P61" s="66">
        <v>0</v>
      </c>
      <c r="Q61" s="33">
        <f>COUNTIF(coded_data!CQ:CQ, P61)</f>
        <v>5</v>
      </c>
    </row>
  </sheetData>
  <mergeCells count="73">
    <mergeCell ref="G5:G12"/>
    <mergeCell ref="G13:G17"/>
    <mergeCell ref="H53:H56"/>
    <mergeCell ref="B28:B29"/>
    <mergeCell ref="A1:A2"/>
    <mergeCell ref="AX28:BC29"/>
    <mergeCell ref="N5:N6"/>
    <mergeCell ref="S1:AJ2"/>
    <mergeCell ref="A44:A46"/>
    <mergeCell ref="B1:Q2"/>
    <mergeCell ref="A5:A12"/>
    <mergeCell ref="A13:A17"/>
    <mergeCell ref="A18:A20"/>
    <mergeCell ref="A4:E4"/>
    <mergeCell ref="B5:B12"/>
    <mergeCell ref="G4:K4"/>
    <mergeCell ref="B13:B17"/>
    <mergeCell ref="B18:B20"/>
    <mergeCell ref="G53:G56"/>
    <mergeCell ref="A25:A26"/>
    <mergeCell ref="A28:A29"/>
    <mergeCell ref="A30:A32"/>
    <mergeCell ref="A34:A40"/>
    <mergeCell ref="A41:A42"/>
    <mergeCell ref="G18:G33"/>
    <mergeCell ref="A21:A24"/>
    <mergeCell ref="G34:G36"/>
    <mergeCell ref="G37:G48"/>
    <mergeCell ref="I41:K41"/>
    <mergeCell ref="H37:H48"/>
    <mergeCell ref="H49:H52"/>
    <mergeCell ref="H18:H33"/>
    <mergeCell ref="B21:B24"/>
    <mergeCell ref="B25:B26"/>
    <mergeCell ref="H34:H36"/>
    <mergeCell ref="I45:K45"/>
    <mergeCell ref="G49:G52"/>
    <mergeCell ref="B53:B60"/>
    <mergeCell ref="A27:E27"/>
    <mergeCell ref="A33:E33"/>
    <mergeCell ref="B34:B40"/>
    <mergeCell ref="B41:B42"/>
    <mergeCell ref="B44:B46"/>
    <mergeCell ref="B47:B52"/>
    <mergeCell ref="B30:B32"/>
    <mergeCell ref="A47:A52"/>
    <mergeCell ref="A53:A60"/>
    <mergeCell ref="M4:Q4"/>
    <mergeCell ref="O7:Q7"/>
    <mergeCell ref="O14:Q14"/>
    <mergeCell ref="O21:Q21"/>
    <mergeCell ref="I37:K37"/>
    <mergeCell ref="M5:M6"/>
    <mergeCell ref="H5:H12"/>
    <mergeCell ref="H13:H17"/>
    <mergeCell ref="I18:K18"/>
    <mergeCell ref="I22:K22"/>
    <mergeCell ref="I28:K28"/>
    <mergeCell ref="BE1:BJ2"/>
    <mergeCell ref="BL3:BR3"/>
    <mergeCell ref="BT3:BU3"/>
    <mergeCell ref="BW3:BZ3"/>
    <mergeCell ref="AL1:AV2"/>
    <mergeCell ref="AX1:BC2"/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" priority="2" percent="1" rank="10"/>
  </conditionalFormatting>
  <conditionalFormatting sqref="CD4:CD9">
    <cfRule type="top10" dxfId="0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3"/>
  <sheetViews>
    <sheetView zoomScale="90" zoomScaleNormal="90" workbookViewId="0">
      <selection activeCell="B1" sqref="B1:M2"/>
    </sheetView>
  </sheetViews>
  <sheetFormatPr defaultRowHeight="14.5" x14ac:dyDescent="0.35"/>
  <cols>
    <col min="1" max="1" width="9.54296875" style="43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59" t="s">
        <v>925</v>
      </c>
      <c r="B1" s="272" t="str">
        <f>CONCATENATE("SUMMARY OF VARIABLE SCORES AT (n = ", COUNT(processed_data!A:A), ")")</f>
        <v>SUMMARY OF VARIABLE SCORES AT (n = 10)</v>
      </c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7"/>
    </row>
    <row r="2" spans="1:13" ht="15" thickBot="1" x14ac:dyDescent="0.4">
      <c r="A2" s="259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90"/>
    </row>
    <row r="3" spans="1:13" x14ac:dyDescent="0.35">
      <c r="A3" s="291" t="s">
        <v>480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</row>
    <row r="4" spans="1:13" x14ac:dyDescent="0.35">
      <c r="A4" s="43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3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3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3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3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3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3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1" spans="1:13" x14ac:dyDescent="0.35">
      <c r="A11" s="293" t="s">
        <v>481</v>
      </c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</row>
    <row r="12" spans="1:13" x14ac:dyDescent="0.35">
      <c r="A12" s="43" t="s">
        <v>499</v>
      </c>
      <c r="B12" t="s">
        <v>500</v>
      </c>
      <c r="C12" t="s">
        <v>501</v>
      </c>
      <c r="D12" t="s">
        <v>502</v>
      </c>
      <c r="E12" t="s">
        <v>503</v>
      </c>
      <c r="F12" t="s">
        <v>615</v>
      </c>
      <c r="G12" t="s">
        <v>504</v>
      </c>
      <c r="H12" t="s">
        <v>505</v>
      </c>
      <c r="I12" s="40" t="s">
        <v>621</v>
      </c>
      <c r="J12" t="s">
        <v>507</v>
      </c>
      <c r="K12" t="s">
        <v>495</v>
      </c>
      <c r="L12" t="s">
        <v>508</v>
      </c>
      <c r="M12" t="s">
        <v>509</v>
      </c>
    </row>
    <row r="13" spans="1:13" x14ac:dyDescent="0.35">
      <c r="A13" s="43" t="s">
        <v>596</v>
      </c>
      <c r="B13" t="s">
        <v>459</v>
      </c>
      <c r="C13">
        <f>MIN(processed_data!Z:Z)</f>
        <v>7</v>
      </c>
      <c r="D13">
        <f>MAX(processed_data!Z:Z)</f>
        <v>10</v>
      </c>
      <c r="E13">
        <f>AVERAGE(processed_data!Z:Z)</f>
        <v>9.1</v>
      </c>
      <c r="F13">
        <f>MEDIAN(processed_data!Z:Z)</f>
        <v>9</v>
      </c>
      <c r="G13">
        <f>MODE(processed_data!Z:Z)</f>
        <v>10</v>
      </c>
      <c r="H13">
        <f>SUM(processed_data!Z:Z)</f>
        <v>91</v>
      </c>
      <c r="I13" s="40">
        <f>H13/COUNT(processed_data!A:A)/10</f>
        <v>0.90999999999999992</v>
      </c>
      <c r="J13" t="str">
        <f t="shared" ref="J13:J14" si="3">IF(I13&lt;=20%, "very low", IF(I13&lt;=40%, "low", IF(I13&lt;=60%, "moderate", IF(I13&lt;=80%, "high", "very high"))))</f>
        <v>very high</v>
      </c>
      <c r="K13">
        <f t="shared" ref="K13:K14" si="4">IF(J13="very high", 5, IF(J13="high", 4, IF(J13="moderate", 3, IF(J13="low", 2, 1))))</f>
        <v>5</v>
      </c>
      <c r="L13">
        <f>D13-C13</f>
        <v>3</v>
      </c>
      <c r="M13">
        <f>_xlfn.STDEV.S(processed_data!Z:Z)</f>
        <v>0.99442892601175192</v>
      </c>
    </row>
    <row r="14" spans="1:13" x14ac:dyDescent="0.35">
      <c r="A14" s="43" t="s">
        <v>597</v>
      </c>
      <c r="B14" t="s">
        <v>460</v>
      </c>
      <c r="C14">
        <f>MIN(processed_data!AD:AD)</f>
        <v>26</v>
      </c>
      <c r="D14">
        <f>MAX(processed_data!AD:AD)</f>
        <v>33</v>
      </c>
      <c r="E14">
        <f>AVERAGE(processed_data!AD:AD)</f>
        <v>29.1</v>
      </c>
      <c r="F14">
        <f>MEDIAN(processed_data!AD:AD)</f>
        <v>29.5</v>
      </c>
      <c r="G14">
        <f>MODE(processed_data!AD:AD)</f>
        <v>31</v>
      </c>
      <c r="H14">
        <f>SUM(processed_data!AD:AD)</f>
        <v>291</v>
      </c>
      <c r="I14" s="40">
        <f>H14/COUNT(processed_data!A:A)/40</f>
        <v>0.72750000000000004</v>
      </c>
      <c r="J14" t="str">
        <f t="shared" si="3"/>
        <v>high</v>
      </c>
      <c r="K14">
        <f t="shared" si="4"/>
        <v>4</v>
      </c>
      <c r="L14">
        <f>D14-C14</f>
        <v>7</v>
      </c>
      <c r="M14">
        <f>_xlfn.STDEV.S(processed_data!AD:AD)</f>
        <v>2.4698178070456938</v>
      </c>
    </row>
    <row r="15" spans="1:13" x14ac:dyDescent="0.35">
      <c r="A15" s="295" t="s">
        <v>482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</row>
    <row r="16" spans="1:13" x14ac:dyDescent="0.35">
      <c r="A16" s="43" t="s">
        <v>499</v>
      </c>
      <c r="B16" t="s">
        <v>500</v>
      </c>
      <c r="C16" t="s">
        <v>501</v>
      </c>
      <c r="D16" t="s">
        <v>502</v>
      </c>
      <c r="E16" t="s">
        <v>503</v>
      </c>
      <c r="F16" t="s">
        <v>615</v>
      </c>
      <c r="G16" t="s">
        <v>504</v>
      </c>
      <c r="H16" t="s">
        <v>505</v>
      </c>
      <c r="I16" s="40" t="s">
        <v>506</v>
      </c>
      <c r="J16" t="s">
        <v>507</v>
      </c>
      <c r="K16" t="s">
        <v>495</v>
      </c>
      <c r="L16" t="s">
        <v>508</v>
      </c>
      <c r="M16" t="s">
        <v>509</v>
      </c>
    </row>
    <row r="17" spans="1:13" x14ac:dyDescent="0.35">
      <c r="A17" s="43" t="s">
        <v>598</v>
      </c>
      <c r="B17" t="s">
        <v>498</v>
      </c>
      <c r="C17">
        <f>MIN(processed_data!AH:AH)</f>
        <v>8</v>
      </c>
      <c r="D17">
        <f>MAX(processed_data!AH:AH)</f>
        <v>16</v>
      </c>
      <c r="E17">
        <f>AVERAGE(processed_data!AH:AH)</f>
        <v>11.6</v>
      </c>
      <c r="F17">
        <f>MEDIAN(processed_data!AH:AH)</f>
        <v>12</v>
      </c>
      <c r="G17">
        <f>MODE(processed_data!AH:AH)</f>
        <v>12</v>
      </c>
      <c r="H17">
        <f>SUM(processed_data!AH:AH)</f>
        <v>116</v>
      </c>
      <c r="I17" s="40">
        <f>H17/COUNT(processed_data!A:A)/17</f>
        <v>0.68235294117647061</v>
      </c>
      <c r="J17" t="str">
        <f t="shared" ref="J17:J24" si="5">IF(I17&lt;=20%, "very low", IF(I17&lt;=40%, "low", IF(I17&lt;=60%, "moderate", IF(I17&lt;=80%, "high", "very high"))))</f>
        <v>high</v>
      </c>
      <c r="K17">
        <f t="shared" ref="K17:K24" si="6">IF(J17="very high", 5, IF(J17="high", 4, IF(J17="moderate", 3, IF(J17="low", 2, 1))))</f>
        <v>4</v>
      </c>
      <c r="L17">
        <f t="shared" ref="L17:L24" si="7">D17-C17</f>
        <v>8</v>
      </c>
      <c r="M17">
        <f>_xlfn.STDEV.S(processed_data!AH:AH)</f>
        <v>2.4585451886114389</v>
      </c>
    </row>
    <row r="18" spans="1:13" x14ac:dyDescent="0.35">
      <c r="A18" s="43" t="s">
        <v>599</v>
      </c>
      <c r="B18" t="s">
        <v>462</v>
      </c>
      <c r="C18">
        <f>MIN(processed_data!AL:AL)</f>
        <v>6</v>
      </c>
      <c r="D18">
        <f>MAX(processed_data!AL:AL)</f>
        <v>12</v>
      </c>
      <c r="E18">
        <f>AVERAGE(processed_data!AL:AL)</f>
        <v>7.7</v>
      </c>
      <c r="F18">
        <f>MEDIAN(processed_data!AL:AL)</f>
        <v>7</v>
      </c>
      <c r="G18">
        <f>MODE(processed_data!AL:AL)</f>
        <v>7</v>
      </c>
      <c r="H18">
        <f>SUM(processed_data!AL:AL)</f>
        <v>77</v>
      </c>
      <c r="I18" s="40">
        <f>H18/COUNT(processed_data!A:A)/13</f>
        <v>0.59230769230769231</v>
      </c>
      <c r="J18" t="str">
        <f t="shared" si="5"/>
        <v>moderate</v>
      </c>
      <c r="K18">
        <f t="shared" si="6"/>
        <v>3</v>
      </c>
      <c r="L18">
        <f t="shared" si="7"/>
        <v>6</v>
      </c>
      <c r="M18">
        <f>_xlfn.STDEV.S(processed_data!AL:AL)</f>
        <v>1.8885620632287066</v>
      </c>
    </row>
    <row r="19" spans="1:13" x14ac:dyDescent="0.35">
      <c r="A19" s="43" t="s">
        <v>600</v>
      </c>
      <c r="B19" t="s">
        <v>488</v>
      </c>
      <c r="C19">
        <f>MIN(processed_data!AP:AP)</f>
        <v>4</v>
      </c>
      <c r="D19">
        <f>MAX(processed_data!AP:AP)</f>
        <v>8</v>
      </c>
      <c r="E19">
        <f>AVERAGE(processed_data!AP:AP)</f>
        <v>5.6</v>
      </c>
      <c r="F19">
        <f>MEDIAN(processed_data!AP:AP)</f>
        <v>6</v>
      </c>
      <c r="G19">
        <f>MODE(processed_data!AP:AP)</f>
        <v>6</v>
      </c>
      <c r="H19">
        <f>SUM(processed_data!AP:AP)</f>
        <v>56</v>
      </c>
      <c r="I19" s="40">
        <f>H19/COUNT(processed_data!A:A)/12</f>
        <v>0.46666666666666662</v>
      </c>
      <c r="J19" t="str">
        <f t="shared" si="5"/>
        <v>moderate</v>
      </c>
      <c r="K19">
        <f t="shared" si="6"/>
        <v>3</v>
      </c>
      <c r="L19">
        <f t="shared" si="7"/>
        <v>4</v>
      </c>
      <c r="M19">
        <f>_xlfn.STDEV.S(processed_data!AP:AP)</f>
        <v>1.3498971154211048</v>
      </c>
    </row>
    <row r="20" spans="1:13" x14ac:dyDescent="0.35">
      <c r="A20" s="43" t="s">
        <v>601</v>
      </c>
      <c r="B20" t="s">
        <v>611</v>
      </c>
      <c r="C20">
        <f>MIN(processed_data!AT:AT)</f>
        <v>0</v>
      </c>
      <c r="D20">
        <f>MAX(processed_data!AT:AT)</f>
        <v>2</v>
      </c>
      <c r="E20">
        <f>AVERAGE(processed_data!AT:AT)</f>
        <v>1</v>
      </c>
      <c r="F20">
        <f>MEDIAN(processed_data!AT:AT)</f>
        <v>1</v>
      </c>
      <c r="G20">
        <f>MODE(processed_data!AT:AT)</f>
        <v>1</v>
      </c>
      <c r="H20">
        <f>SUM(processed_data!AT:AT)</f>
        <v>10</v>
      </c>
      <c r="I20" s="40">
        <f>H20/COUNT(processed_data!A:A)/3</f>
        <v>0.33333333333333331</v>
      </c>
      <c r="J20" t="str">
        <f t="shared" si="5"/>
        <v>low</v>
      </c>
      <c r="K20">
        <f t="shared" si="6"/>
        <v>2</v>
      </c>
      <c r="L20">
        <f t="shared" si="7"/>
        <v>2</v>
      </c>
      <c r="M20">
        <f>_xlfn.STDEV.S(processed_data!AT:AT)</f>
        <v>0.66666666666666663</v>
      </c>
    </row>
    <row r="21" spans="1:13" x14ac:dyDescent="0.35">
      <c r="A21" s="43" t="s">
        <v>602</v>
      </c>
      <c r="B21" t="s">
        <v>612</v>
      </c>
      <c r="C21">
        <f>MIN(processed_data!AX:AX)</f>
        <v>3</v>
      </c>
      <c r="D21">
        <f>MAX(processed_data!AX:AX)</f>
        <v>8</v>
      </c>
      <c r="E21">
        <f>AVERAGE(processed_data!AX:AX)</f>
        <v>6.3</v>
      </c>
      <c r="F21">
        <f>MEDIAN(processed_data!AX:AX)</f>
        <v>7</v>
      </c>
      <c r="G21">
        <f>MODE(processed_data!AX:AX)</f>
        <v>7</v>
      </c>
      <c r="H21">
        <f>SUM(processed_data!AX:AX)</f>
        <v>63</v>
      </c>
      <c r="I21" s="40">
        <f>H21/COUNT(processed_data!A:A)/13</f>
        <v>0.48461538461538461</v>
      </c>
      <c r="J21" t="str">
        <f t="shared" si="5"/>
        <v>moderate</v>
      </c>
      <c r="K21">
        <f t="shared" si="6"/>
        <v>3</v>
      </c>
      <c r="L21">
        <f t="shared" si="7"/>
        <v>5</v>
      </c>
      <c r="M21">
        <f>_xlfn.STDEV.S(processed_data!AX:AX)</f>
        <v>1.8885620632287066</v>
      </c>
    </row>
    <row r="22" spans="1:13" x14ac:dyDescent="0.35">
      <c r="A22" s="43" t="s">
        <v>603</v>
      </c>
      <c r="B22" t="s">
        <v>466</v>
      </c>
      <c r="C22">
        <f>MIN(processed_data!BB:BB)</f>
        <v>1</v>
      </c>
      <c r="D22">
        <f>MAX(processed_data!BB:BB)</f>
        <v>7</v>
      </c>
      <c r="E22">
        <f>AVERAGE(processed_data!BB:BB)</f>
        <v>2.8</v>
      </c>
      <c r="F22">
        <f>MEDIAN(processed_data!BB:BB)</f>
        <v>2</v>
      </c>
      <c r="G22">
        <f>MODE(processed_data!BB:BB)</f>
        <v>2</v>
      </c>
      <c r="H22">
        <f>SUM(processed_data!BB:BB)</f>
        <v>28</v>
      </c>
      <c r="I22" s="40">
        <f>H22/COUNT(processed_data!A:A)/7</f>
        <v>0.39999999999999997</v>
      </c>
      <c r="J22" t="str">
        <f t="shared" si="5"/>
        <v>low</v>
      </c>
      <c r="K22">
        <f t="shared" si="6"/>
        <v>2</v>
      </c>
      <c r="L22">
        <f t="shared" si="7"/>
        <v>6</v>
      </c>
      <c r="M22">
        <f>_xlfn.STDEV.S(processed_data!BB:BB)</f>
        <v>2.0976176963403028</v>
      </c>
    </row>
    <row r="23" spans="1:13" x14ac:dyDescent="0.35">
      <c r="A23" s="43" t="s">
        <v>604</v>
      </c>
      <c r="B23" t="s">
        <v>497</v>
      </c>
      <c r="C23">
        <f>MIN(processed_data!BF:BF)</f>
        <v>3</v>
      </c>
      <c r="D23">
        <f>MAX(processed_data!BF:BF)</f>
        <v>5</v>
      </c>
      <c r="E23">
        <f>AVERAGE(processed_data!BF:BF)</f>
        <v>4</v>
      </c>
      <c r="F23">
        <f>MEDIAN(processed_data!BF:BF)</f>
        <v>4</v>
      </c>
      <c r="G23">
        <f>MODE(processed_data!BF:BF)</f>
        <v>4</v>
      </c>
      <c r="H23">
        <f>SUM(processed_data!BF:BF)</f>
        <v>40</v>
      </c>
      <c r="I23" s="40">
        <f>H23/COUNT(processed_data!A:A)/8</f>
        <v>0.5</v>
      </c>
      <c r="J23" t="str">
        <f t="shared" si="5"/>
        <v>moderate</v>
      </c>
      <c r="K23">
        <f t="shared" si="6"/>
        <v>3</v>
      </c>
      <c r="L23">
        <f t="shared" si="7"/>
        <v>2</v>
      </c>
      <c r="M23">
        <f>_xlfn.STDEV.S(processed_data!BF:BF)</f>
        <v>0.81649658092772603</v>
      </c>
    </row>
    <row r="24" spans="1:13" x14ac:dyDescent="0.35">
      <c r="A24" s="43" t="s">
        <v>605</v>
      </c>
      <c r="B24" t="s">
        <v>468</v>
      </c>
      <c r="C24">
        <f>MIN(processed_data!BJ:BJ)</f>
        <v>0</v>
      </c>
      <c r="D24">
        <f>MAX(processed_data!BJ:BJ)</f>
        <v>4</v>
      </c>
      <c r="E24">
        <f>AVERAGE(processed_data!BJ:BJ)</f>
        <v>1.2</v>
      </c>
      <c r="F24">
        <f>MEDIAN(processed_data!BJ:BJ)</f>
        <v>0</v>
      </c>
      <c r="G24">
        <f>MODE(processed_data!BJ:BJ)</f>
        <v>0</v>
      </c>
      <c r="H24">
        <f>SUM(processed_data!BJ:BJ)</f>
        <v>12</v>
      </c>
      <c r="I24" s="40">
        <f>H24/COUNT(processed_data!A:A)/4</f>
        <v>0.3</v>
      </c>
      <c r="J24" t="str">
        <f t="shared" si="5"/>
        <v>low</v>
      </c>
      <c r="K24">
        <f t="shared" si="6"/>
        <v>2</v>
      </c>
      <c r="L24">
        <f t="shared" si="7"/>
        <v>4</v>
      </c>
      <c r="M24">
        <f>_xlfn.STDEV.S(processed_data!BJ:BJ)</f>
        <v>1.9321835661585918</v>
      </c>
    </row>
    <row r="25" spans="1:13" x14ac:dyDescent="0.35">
      <c r="A25" s="296" t="s">
        <v>616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</row>
    <row r="26" spans="1:13" x14ac:dyDescent="0.35">
      <c r="A26" s="43" t="s">
        <v>499</v>
      </c>
      <c r="B26" t="s">
        <v>500</v>
      </c>
      <c r="C26" t="s">
        <v>501</v>
      </c>
      <c r="D26" t="s">
        <v>502</v>
      </c>
      <c r="E26" t="s">
        <v>503</v>
      </c>
      <c r="F26" t="s">
        <v>615</v>
      </c>
      <c r="G26" t="s">
        <v>504</v>
      </c>
      <c r="H26" t="s">
        <v>505</v>
      </c>
      <c r="I26" s="40" t="s">
        <v>506</v>
      </c>
      <c r="J26" t="s">
        <v>507</v>
      </c>
      <c r="K26" t="s">
        <v>495</v>
      </c>
      <c r="L26" t="s">
        <v>508</v>
      </c>
      <c r="M26" t="s">
        <v>509</v>
      </c>
    </row>
    <row r="27" spans="1:13" x14ac:dyDescent="0.35">
      <c r="A27" s="43" t="s">
        <v>606</v>
      </c>
      <c r="B27" t="s">
        <v>469</v>
      </c>
      <c r="C27">
        <f>MIN(processed_data!BN:BN)</f>
        <v>1</v>
      </c>
      <c r="D27">
        <f>MAX(processed_data!BN:BN)</f>
        <v>2</v>
      </c>
      <c r="E27">
        <f>AVERAGE(processed_data!BN:BN)</f>
        <v>1.5</v>
      </c>
      <c r="F27">
        <f>MEDIAN(processed_data!BN:BN)</f>
        <v>1.5</v>
      </c>
      <c r="G27">
        <f>MODE(processed_data!BN:BN)</f>
        <v>2</v>
      </c>
      <c r="H27">
        <f>SUM(processed_data!BN:BN)</f>
        <v>15</v>
      </c>
      <c r="I27" s="40">
        <f>H27/COUNT(processed_data!A:A)/3</f>
        <v>0.5</v>
      </c>
      <c r="J27" t="str">
        <f t="shared" ref="J27" si="8">IF(I27&lt;=20%, "very low", IF(I27&lt;=40%, "low", IF(I27&lt;=60%, "moderate", IF(I27&lt;=80%, "high", "very high"))))</f>
        <v>moderate</v>
      </c>
      <c r="K27">
        <f t="shared" ref="K27" si="9">IF(J27="very high", 5, IF(J27="high", 4, IF(J27="moderate", 3, IF(J27="low", 2, 1))))</f>
        <v>3</v>
      </c>
      <c r="L27">
        <f>D27-C27</f>
        <v>1</v>
      </c>
      <c r="M27">
        <f>_xlfn.STDEV.S(processed_data!BN:BN)</f>
        <v>0.52704627669472992</v>
      </c>
    </row>
    <row r="28" spans="1:13" x14ac:dyDescent="0.35">
      <c r="A28" s="284" t="s">
        <v>617</v>
      </c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</row>
    <row r="29" spans="1:13" x14ac:dyDescent="0.35">
      <c r="A29" s="43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43" t="s">
        <v>607</v>
      </c>
      <c r="B30" t="s">
        <v>613</v>
      </c>
      <c r="C30">
        <f>MIN(processed_data!BR:BR)</f>
        <v>1</v>
      </c>
      <c r="D30">
        <f>MAX(processed_data!BR:BR)</f>
        <v>7</v>
      </c>
      <c r="E30">
        <f>AVERAGE(processed_data!BR:BR)</f>
        <v>2.6</v>
      </c>
      <c r="F30">
        <f>MEDIAN(processed_data!BR:BR)</f>
        <v>1</v>
      </c>
      <c r="G30">
        <f>MODE(processed_data!BR:BR)</f>
        <v>1</v>
      </c>
      <c r="H30">
        <f>SUM(processed_data!BR:BR)</f>
        <v>26</v>
      </c>
      <c r="I30" s="40">
        <f>H30/COUNT(processed_data!A:A)/8</f>
        <v>0.32500000000000001</v>
      </c>
      <c r="J30" t="str">
        <f>IF(I30&lt;=20%, "very low", IF(I30&lt;=40%, "low", IF(I30&lt;=60%, "moderate", IF(I30&lt;=80%, "high", "very high"))))</f>
        <v>low</v>
      </c>
      <c r="K30">
        <f>IF(J30="very high", 5, IF(J30="high", 4, IF(J30="moderate", 3, IF(J30="low", 2, 1))))</f>
        <v>2</v>
      </c>
      <c r="L30">
        <f>D30-C30</f>
        <v>6</v>
      </c>
      <c r="M30">
        <f>_xlfn.STDEV.S(processed_data!BR:BR)</f>
        <v>2.3190036174568114</v>
      </c>
    </row>
    <row r="31" spans="1:13" x14ac:dyDescent="0.35">
      <c r="A31" s="43" t="s">
        <v>608</v>
      </c>
      <c r="B31" t="s">
        <v>614</v>
      </c>
      <c r="C31">
        <f>MIN(processed_data!BV:BV)</f>
        <v>0</v>
      </c>
      <c r="D31">
        <f>MAX(processed_data!BV:BV)</f>
        <v>14</v>
      </c>
      <c r="E31">
        <f>AVERAGE(processed_data!BV:BV)</f>
        <v>3.5</v>
      </c>
      <c r="F31">
        <f>MEDIAN(processed_data!BV:BV)</f>
        <v>0</v>
      </c>
      <c r="G31">
        <f>MODE(processed_data!BV:BV)</f>
        <v>0</v>
      </c>
      <c r="H31">
        <f>SUM(processed_data!BV:BV)</f>
        <v>35</v>
      </c>
      <c r="I31" s="40">
        <f>H31/COUNT(processed_data!A:A)/14</f>
        <v>0.25</v>
      </c>
      <c r="J31" t="str">
        <f>IF(I31&lt;=20%, "very low", IF(I31&lt;=40%, "low", IF(I31&lt;=60%, "moderate", IF(I31&lt;=80%, "high", "very high"))))</f>
        <v>low</v>
      </c>
      <c r="K31">
        <f>IF(J31="very high", 5, IF(J31="high", 4, IF(J31="moderate", 3, IF(J31="low", 2, 1))))</f>
        <v>2</v>
      </c>
      <c r="L31">
        <f>D31-C31</f>
        <v>14</v>
      </c>
      <c r="M31">
        <f>_xlfn.STDEV.S(processed_data!BV:BV)</f>
        <v>5.1044642770378514</v>
      </c>
    </row>
    <row r="32" spans="1:13" x14ac:dyDescent="0.35">
      <c r="A32" s="43" t="s">
        <v>609</v>
      </c>
      <c r="B32" t="s">
        <v>471</v>
      </c>
      <c r="C32">
        <f>MIN(processed_data!BZ:BZ)</f>
        <v>0</v>
      </c>
      <c r="D32">
        <f>MAX(processed_data!BZ:BZ)</f>
        <v>5</v>
      </c>
      <c r="E32">
        <f>AVERAGE(processed_data!BZ:BZ)</f>
        <v>1.1000000000000001</v>
      </c>
      <c r="F32">
        <f>MEDIAN(processed_data!BZ:BZ)</f>
        <v>1</v>
      </c>
      <c r="G32">
        <f>MODE(processed_data!BZ:BZ)</f>
        <v>1</v>
      </c>
      <c r="H32">
        <f>SUM(processed_data!BZ:BZ)</f>
        <v>11</v>
      </c>
      <c r="I32" s="40">
        <f>H32/COUNT(processed_data!A:A)/5</f>
        <v>0.22000000000000003</v>
      </c>
      <c r="J32" t="str">
        <f>IF(I32&lt;=20%, "very low", IF(I32&lt;=40%, "low", IF(I32&lt;=60%, "moderate", IF(I32&lt;=80%, "high", "very high"))))</f>
        <v>low</v>
      </c>
      <c r="K32">
        <f>IF(J32="very high", 5, IF(J32="high", 4, IF(J32="moderate", 3, IF(J32="low", 2, 1))))</f>
        <v>2</v>
      </c>
      <c r="L32">
        <f>D32-C32</f>
        <v>5</v>
      </c>
      <c r="M32">
        <f>_xlfn.STDEV.S(processed_data!BZ:BZ)</f>
        <v>1.4491376746189437</v>
      </c>
    </row>
    <row r="33" spans="1:13" x14ac:dyDescent="0.35">
      <c r="A33" s="43" t="s">
        <v>610</v>
      </c>
      <c r="B33" t="s">
        <v>473</v>
      </c>
      <c r="C33">
        <f>MIN(processed_data!CD:CD)</f>
        <v>0</v>
      </c>
      <c r="D33">
        <f>MAX(processed_data!CD:CD)</f>
        <v>4</v>
      </c>
      <c r="E33">
        <f>AVERAGE(processed_data!CD:CD)</f>
        <v>1.1000000000000001</v>
      </c>
      <c r="F33">
        <f>MEDIAN(processed_data!CD:CD)</f>
        <v>1</v>
      </c>
      <c r="G33">
        <f>MODE(processed_data!CD:CD)</f>
        <v>1</v>
      </c>
      <c r="H33">
        <f>SUM(processed_data!CD:CD)</f>
        <v>11</v>
      </c>
      <c r="I33" s="40">
        <f>H33/COUNT(processed_data!A:A)/4</f>
        <v>0.27500000000000002</v>
      </c>
      <c r="J33" t="str">
        <f>IF(I33&lt;=20%, "very low", IF(I33&lt;=40%, "low", IF(I33&lt;=60%, "moderate", IF(I33&lt;=80%, "high", "very high"))))</f>
        <v>low</v>
      </c>
      <c r="K33">
        <f>IF(J33="very high", 5, IF(J33="high", 4, IF(J33="moderate", 3, IF(J33="low", 2, 1))))</f>
        <v>2</v>
      </c>
      <c r="L33">
        <f>D33-C33</f>
        <v>4</v>
      </c>
      <c r="M33">
        <f>_xlfn.STDEV.S(processed_data!CD:CD)</f>
        <v>1.1972189997378648</v>
      </c>
    </row>
  </sheetData>
  <mergeCells count="7">
    <mergeCell ref="A28:M28"/>
    <mergeCell ref="B1:M2"/>
    <mergeCell ref="A3:M3"/>
    <mergeCell ref="A11:M11"/>
    <mergeCell ref="A15:M15"/>
    <mergeCell ref="A25:M25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3:I14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7:I24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27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0:I33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I17:I24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zoomScale="60" zoomScaleNormal="60" workbookViewId="0">
      <selection activeCell="B1" sqref="B1:V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59" t="s">
        <v>925</v>
      </c>
      <c r="B1" s="303" t="s">
        <v>926</v>
      </c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5"/>
    </row>
    <row r="2" spans="1:22" ht="15" thickBot="1" x14ac:dyDescent="0.4">
      <c r="A2" s="309"/>
      <c r="B2" s="306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8"/>
    </row>
    <row r="3" spans="1:22" x14ac:dyDescent="0.35">
      <c r="A3" s="297" t="s">
        <v>618</v>
      </c>
    </row>
    <row r="4" spans="1:22" ht="15" thickBot="1" x14ac:dyDescent="0.4">
      <c r="A4" s="298"/>
    </row>
    <row r="5" spans="1:22" ht="15" thickBot="1" x14ac:dyDescent="0.4">
      <c r="A5" s="41" t="s">
        <v>625</v>
      </c>
      <c r="B5" s="39" t="s">
        <v>454</v>
      </c>
      <c r="C5" s="39" t="s">
        <v>455</v>
      </c>
      <c r="D5" s="39" t="s">
        <v>456</v>
      </c>
      <c r="E5" s="39" t="s">
        <v>487</v>
      </c>
      <c r="F5" s="39" t="s">
        <v>457</v>
      </c>
      <c r="G5" s="39" t="s">
        <v>458</v>
      </c>
      <c r="H5" s="39" t="s">
        <v>459</v>
      </c>
      <c r="I5" s="39" t="s">
        <v>460</v>
      </c>
      <c r="J5" s="39" t="s">
        <v>498</v>
      </c>
      <c r="K5" s="39" t="s">
        <v>462</v>
      </c>
      <c r="L5" s="39" t="s">
        <v>488</v>
      </c>
      <c r="M5" s="39" t="s">
        <v>611</v>
      </c>
      <c r="N5" s="39" t="s">
        <v>612</v>
      </c>
      <c r="O5" s="39" t="s">
        <v>466</v>
      </c>
      <c r="P5" s="39" t="s">
        <v>497</v>
      </c>
      <c r="Q5" s="39" t="s">
        <v>468</v>
      </c>
      <c r="R5" s="39" t="s">
        <v>469</v>
      </c>
      <c r="S5" s="39" t="s">
        <v>613</v>
      </c>
      <c r="T5" s="39" t="s">
        <v>614</v>
      </c>
      <c r="U5" s="39" t="s">
        <v>471</v>
      </c>
      <c r="V5" s="50" t="s">
        <v>473</v>
      </c>
    </row>
    <row r="6" spans="1:22" x14ac:dyDescent="0.35">
      <c r="A6" s="54" t="s">
        <v>454</v>
      </c>
      <c r="B6" s="13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46"/>
    </row>
    <row r="7" spans="1:22" x14ac:dyDescent="0.35">
      <c r="A7" s="55" t="s">
        <v>455</v>
      </c>
      <c r="B7" s="1">
        <f>PEARSON(processed_data!B:B, processed_data!F:F)</f>
        <v>0.73566194809345631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47"/>
    </row>
    <row r="8" spans="1:22" x14ac:dyDescent="0.35">
      <c r="A8" s="55" t="s">
        <v>456</v>
      </c>
      <c r="B8" s="1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47"/>
    </row>
    <row r="9" spans="1:22" x14ac:dyDescent="0.35">
      <c r="A9" s="55" t="s">
        <v>487</v>
      </c>
      <c r="B9" s="1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47"/>
    </row>
    <row r="10" spans="1:22" x14ac:dyDescent="0.35">
      <c r="A10" s="55" t="s">
        <v>457</v>
      </c>
      <c r="B10" s="1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7"/>
    </row>
    <row r="11" spans="1:22" ht="15" thickBot="1" x14ac:dyDescent="0.4">
      <c r="A11" s="56" t="s">
        <v>458</v>
      </c>
      <c r="B11" s="48">
        <f>PEARSON(processed_data!B:B, processed_data!V:V)</f>
        <v>0.30291962568554082</v>
      </c>
      <c r="C11" s="48">
        <f>PEARSON(processed_data!F:F, processed_data!V:V)</f>
        <v>0.44444444444444431</v>
      </c>
      <c r="D11" s="48">
        <f>PEARSON(processed_data!J:J, processed_data!V:V)</f>
        <v>0.35437626356538421</v>
      </c>
      <c r="E11" s="48">
        <f>PEARSON(processed_data!N:N, processed_data!V:V)</f>
        <v>0.37889443409061241</v>
      </c>
      <c r="F11" s="48">
        <f>PEARSON(processed_data!R:R, processed_data!V:V)</f>
        <v>0.52605757853429236</v>
      </c>
      <c r="G11" s="48">
        <v>1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9"/>
    </row>
    <row r="12" spans="1:22" x14ac:dyDescent="0.35">
      <c r="A12" s="54" t="s">
        <v>459</v>
      </c>
      <c r="B12" s="13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3">
        <f>PEARSON(processed_data!V:V, processed_data!Z:Z)</f>
        <v>0.27407013752501314</v>
      </c>
      <c r="H12" s="13">
        <v>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46"/>
    </row>
    <row r="13" spans="1:22" ht="15" thickBot="1" x14ac:dyDescent="0.4">
      <c r="A13" s="56" t="s">
        <v>460</v>
      </c>
      <c r="B13" s="48">
        <f>PEARSON(processed_data!B:B, processed_data!AD:AD)</f>
        <v>-0.49311171735911158</v>
      </c>
      <c r="C13" s="48">
        <f>PEARSON(processed_data!F:F, processed_data!AD:AD)</f>
        <v>-0.55755559838860436</v>
      </c>
      <c r="D13" s="48">
        <f>PEARSON(processed_data!J:J, processed_data!AD:AD)</f>
        <v>-0.77451568488601485</v>
      </c>
      <c r="E13" s="48">
        <f>PEARSON(processed_data!N:N, processed_data!AD:AD)</f>
        <v>-0.77697045859620095</v>
      </c>
      <c r="F13" s="48">
        <f>PEARSON(processed_data!R:R, processed_data!AD:AD)</f>
        <v>-0.61936924508224855</v>
      </c>
      <c r="G13" s="48">
        <f>PEARSON(processed_data!V:V, processed_data!AD:AD)</f>
        <v>-0.47043753614038519</v>
      </c>
      <c r="H13" s="48">
        <f>PEARSON(processed_data!Z:Z, processed_data!AD:AD)</f>
        <v>-0.68311806716720969</v>
      </c>
      <c r="I13" s="48">
        <v>1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9"/>
    </row>
    <row r="14" spans="1:22" x14ac:dyDescent="0.35">
      <c r="A14" s="54" t="s">
        <v>498</v>
      </c>
      <c r="B14" s="13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3">
        <f>PEARSON(processed_data!V:V, processed_data!AH:AH)</f>
        <v>-0.73514704411470533</v>
      </c>
      <c r="H14" s="13">
        <f>PEARSON(processed_data!Z:Z, processed_data!AH:AH)</f>
        <v>-0.66352669886429594</v>
      </c>
      <c r="I14" s="13">
        <f>PEARSON(processed_data!AD:AD, processed_data!AH:AH)</f>
        <v>0.75755595953207633</v>
      </c>
      <c r="J14" s="13"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46"/>
    </row>
    <row r="15" spans="1:22" x14ac:dyDescent="0.35">
      <c r="A15" s="55" t="s">
        <v>462</v>
      </c>
      <c r="B15" s="1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1">
        <f>PEARSON(processed_data!V:V, processed_data!AL:AL)</f>
        <v>0.13671718540493266</v>
      </c>
      <c r="H15" s="1">
        <f>PEARSON(processed_data!Z:Z, processed_data!AL:AL)</f>
        <v>7.6912306022765317E-2</v>
      </c>
      <c r="I15" s="1">
        <f>PEARSON(processed_data!AD:AD, processed_data!AL:AL)</f>
        <v>-0.39781191136817656</v>
      </c>
      <c r="J15" s="1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47"/>
    </row>
    <row r="16" spans="1:22" x14ac:dyDescent="0.35">
      <c r="A16" s="55" t="s">
        <v>488</v>
      </c>
      <c r="B16" s="1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1">
        <f>PEARSON(processed_data!V:V, processed_data!AP:AP)</f>
        <v>0.36129347073589163</v>
      </c>
      <c r="H16" s="1">
        <f>PEARSON(processed_data!Z:Z, processed_data!AP:AP)</f>
        <v>0.28142455607471883</v>
      </c>
      <c r="I16" s="1">
        <f>PEARSON(processed_data!AD:AD, processed_data!AP:AP)</f>
        <v>-8.6649338531600603E-2</v>
      </c>
      <c r="J16" s="1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47"/>
    </row>
    <row r="17" spans="1:22" x14ac:dyDescent="0.35">
      <c r="A17" s="55" t="s">
        <v>611</v>
      </c>
      <c r="B17" s="1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1">
        <f>PEARSON(processed_data!V:V, processed_data!AT:AT)</f>
        <v>0.3227486121839514</v>
      </c>
      <c r="H17" s="1">
        <f>PEARSON(processed_data!Z:Z, processed_data!AT:AT)</f>
        <v>0.50280114236549311</v>
      </c>
      <c r="I17" s="1">
        <f>PEARSON(processed_data!AD:AD, processed_data!AT:AT)</f>
        <v>-0.67481360848242988</v>
      </c>
      <c r="J17" s="1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1"/>
      <c r="R17" s="1"/>
      <c r="S17" s="1"/>
      <c r="T17" s="1"/>
      <c r="U17" s="1"/>
      <c r="V17" s="47"/>
    </row>
    <row r="18" spans="1:22" x14ac:dyDescent="0.35">
      <c r="A18" s="55" t="s">
        <v>612</v>
      </c>
      <c r="B18" s="1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1">
        <f>PEARSON(processed_data!V:V, processed_data!AX:AX)</f>
        <v>-0.40255615702563502</v>
      </c>
      <c r="H18" s="1">
        <f>PEARSON(processed_data!Z:Z, processed_data!AX:AX)</f>
        <v>-0.49105549229919404</v>
      </c>
      <c r="I18" s="1">
        <f>PEARSON(processed_data!AD:AD, processed_data!AX:AX)</f>
        <v>0.58838049166430906</v>
      </c>
      <c r="J18" s="1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1"/>
      <c r="R18" s="1"/>
      <c r="S18" s="1"/>
      <c r="T18" s="1"/>
      <c r="U18" s="1"/>
      <c r="V18" s="47"/>
    </row>
    <row r="19" spans="1:22" x14ac:dyDescent="0.35">
      <c r="A19" s="55" t="s">
        <v>466</v>
      </c>
      <c r="B19" s="1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1">
        <f>PEARSON(processed_data!V:V, processed_data!BB:BB)</f>
        <v>0.253021398124184</v>
      </c>
      <c r="H19" s="1">
        <f>PEARSON(processed_data!Z:Z, processed_data!BB:BB)</f>
        <v>0.54332235628550407</v>
      </c>
      <c r="I19" s="1">
        <f>PEARSON(processed_data!AD:AD, processed_data!BB:BB)</f>
        <v>-0.59622616483901902</v>
      </c>
      <c r="J19" s="1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1"/>
      <c r="R19" s="1"/>
      <c r="S19" s="1"/>
      <c r="T19" s="1"/>
      <c r="U19" s="1"/>
      <c r="V19" s="47"/>
    </row>
    <row r="20" spans="1:22" x14ac:dyDescent="0.35">
      <c r="A20" s="55" t="s">
        <v>497</v>
      </c>
      <c r="B20" s="1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1">
        <f>PEARSON(processed_data!V:V, processed_data!BF:BF)</f>
        <v>8.7841046115788329E-2</v>
      </c>
      <c r="H20" s="1">
        <f>PEARSON(processed_data!Z:Z, processed_data!BF:BF)</f>
        <v>0.27369027575198668</v>
      </c>
      <c r="I20" s="1">
        <f>PEARSON(processed_data!AD:AD, processed_data!BF:BF)</f>
        <v>-0.71627790531622682</v>
      </c>
      <c r="J20" s="1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1"/>
      <c r="R20" s="1"/>
      <c r="S20" s="1"/>
      <c r="T20" s="1"/>
      <c r="U20" s="1"/>
      <c r="V20" s="47"/>
    </row>
    <row r="21" spans="1:22" ht="15" thickBot="1" x14ac:dyDescent="0.4">
      <c r="A21" s="56" t="s">
        <v>468</v>
      </c>
      <c r="B21" s="48">
        <f>PEARSON(processed_data!B:B, processed_data!BJ:BJ)</f>
        <v>0.76332465339772104</v>
      </c>
      <c r="C21" s="48">
        <f>PEARSON(processed_data!F:F, processed_data!BJ:BJ)</f>
        <v>0.80178372573727263</v>
      </c>
      <c r="D21" s="48">
        <f>PEARSON(processed_data!J:J, processed_data!BJ:BJ)</f>
        <v>0.99446592320007676</v>
      </c>
      <c r="E21" s="48">
        <f>PEARSON(processed_data!N:N, processed_data!BJ:BJ)</f>
        <v>0.98147987870031139</v>
      </c>
      <c r="F21" s="48">
        <f>PEARSON(processed_data!R:R, processed_data!BJ:BJ)</f>
        <v>0.87122680432727329</v>
      </c>
      <c r="G21" s="48">
        <f>PEARSON(processed_data!V:V, processed_data!BJ:BJ)</f>
        <v>0.35634832254989923</v>
      </c>
      <c r="H21" s="48">
        <f>PEARSON(processed_data!Z:Z, processed_data!BJ:BJ)</f>
        <v>0.62453835277995351</v>
      </c>
      <c r="I21" s="48">
        <f>PEARSON(processed_data!AD:AD, processed_data!BJ:BJ)</f>
        <v>-0.77300494611417203</v>
      </c>
      <c r="J21" s="48">
        <f>PEARSON(processed_data!AH:AH, processed_data!BJ:BJ)</f>
        <v>-0.8233293074216318</v>
      </c>
      <c r="K21" s="48">
        <f>PEARSON(processed_data!AL:AL, processed_data!BJ:BJ)</f>
        <v>0.47500966190721505</v>
      </c>
      <c r="L21" s="48">
        <f>PEARSON(processed_data!AP:AP, processed_data!BJ:BJ)</f>
        <v>0.20447945297729911</v>
      </c>
      <c r="M21" s="48">
        <f>PEARSON(processed_data!AT:AT, processed_data!BJ:BJ)</f>
        <v>0.69006555934235414</v>
      </c>
      <c r="N21" s="48">
        <f>PEARSON(processed_data!AX:AX, processed_data!BJ:BJ)</f>
        <v>-0.84040170952814963</v>
      </c>
      <c r="O21" s="48">
        <f>PEARSON(processed_data!BB:BB, processed_data!BJ:BJ)</f>
        <v>0.83340548028237404</v>
      </c>
      <c r="P21" s="48">
        <f>PEARSON(processed_data!BF:BF, processed_data!BJ:BJ)</f>
        <v>0.84515425472851646</v>
      </c>
      <c r="Q21" s="48">
        <v>1</v>
      </c>
      <c r="R21" s="48"/>
      <c r="S21" s="48"/>
      <c r="T21" s="48"/>
      <c r="U21" s="48"/>
      <c r="V21" s="49"/>
    </row>
    <row r="22" spans="1:22" ht="15" thickBot="1" x14ac:dyDescent="0.4">
      <c r="A22" s="57" t="s">
        <v>622</v>
      </c>
      <c r="B22" s="3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39">
        <f>PEARSON(processed_data!V:V, processed_data!BN:BN)</f>
        <v>-0.40824829046386307</v>
      </c>
      <c r="H22" s="39">
        <f>PEARSON(processed_data!Z:Z, processed_data!BN:BN)</f>
        <v>0.105999788000636</v>
      </c>
      <c r="I22" s="39">
        <f>PEARSON(processed_data!AD:AD, processed_data!BN:BN)</f>
        <v>4.2678959977631992E-2</v>
      </c>
      <c r="J22" s="3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39">
        <f>PEARSON(processed_data!BJ:BJ, processed_data!BN:BN)</f>
        <v>0.21821789023599231</v>
      </c>
      <c r="R22" s="39">
        <v>1</v>
      </c>
      <c r="S22" s="39"/>
      <c r="T22" s="39"/>
      <c r="U22" s="39"/>
      <c r="V22" s="50"/>
    </row>
    <row r="23" spans="1:22" x14ac:dyDescent="0.35">
      <c r="A23" s="55" t="s">
        <v>613</v>
      </c>
      <c r="B23" s="1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1">
        <f>PEARSON(processed_data!V:V, processed_data!BR:BR)</f>
        <v>0.45773293173221008</v>
      </c>
      <c r="H23" s="1">
        <f>PEARSON(processed_data!Z:Z, processed_data!BR:BR)</f>
        <v>0.59745335054903914</v>
      </c>
      <c r="I23" s="1">
        <f>PEARSON(processed_data!AD:AD, processed_data!BR:BR)</f>
        <v>-0.71002269780969574</v>
      </c>
      <c r="J23" s="1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1">
        <f>PEARSON(processed_data!BJ:BJ, processed_data!BR:BR)</f>
        <v>0.91254754098687729</v>
      </c>
      <c r="R23" s="1">
        <f>PEARSON(processed_data!BN:BN, processed_data!BR:BR)</f>
        <v>0.27272727272727276</v>
      </c>
      <c r="S23" s="1">
        <v>1</v>
      </c>
      <c r="T23" s="1"/>
      <c r="U23" s="1"/>
      <c r="V23" s="47"/>
    </row>
    <row r="24" spans="1:22" x14ac:dyDescent="0.35">
      <c r="A24" s="55" t="s">
        <v>614</v>
      </c>
      <c r="B24" s="1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1">
        <f>PEARSON(processed_data!V:V, processed_data!BV:BV)</f>
        <v>0.40747380877901224</v>
      </c>
      <c r="H24" s="1">
        <f>PEARSON(processed_data!Z:Z, processed_data!BV:BV)</f>
        <v>0.60195810589004917</v>
      </c>
      <c r="I24" s="1">
        <f>PEARSON(processed_data!AD:AD, processed_data!BV:BV)</f>
        <v>-0.70947694063543965</v>
      </c>
      <c r="J24" s="1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1">
        <f>PEARSON(processed_data!BJ:BJ, processed_data!BV:BV)</f>
        <v>0.92378900760489213</v>
      </c>
      <c r="R24" s="1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7"/>
    </row>
    <row r="25" spans="1:22" x14ac:dyDescent="0.35">
      <c r="A25" s="55" t="s">
        <v>471</v>
      </c>
      <c r="B25" s="1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1">
        <f>PEARSON(processed_data!V:V, processed_data!BZ:BZ)</f>
        <v>0.33655119351934915</v>
      </c>
      <c r="H25" s="1">
        <f>PEARSON(processed_data!Z:Z, processed_data!BZ:BZ)</f>
        <v>0.22360015099529187</v>
      </c>
      <c r="I25" s="1">
        <f>PEARSON(processed_data!AD:AD, processed_data!BZ:BZ)</f>
        <v>-0.40668131703195398</v>
      </c>
      <c r="J25" s="1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1">
        <f>PEARSON(processed_data!BJ:BJ, processed_data!BZ:BZ)</f>
        <v>0.58730158730158721</v>
      </c>
      <c r="R25" s="1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7"/>
    </row>
    <row r="26" spans="1:22" ht="15" thickBot="1" x14ac:dyDescent="0.4">
      <c r="A26" s="56" t="s">
        <v>473</v>
      </c>
      <c r="B26" s="48">
        <f>PEARSON(processed_data!B:B, processed_data!CD:CD)</f>
        <v>0.6626260268499361</v>
      </c>
      <c r="C26" s="48">
        <f>PEARSON(processed_data!F:F, processed_data!CD:CD)</f>
        <v>0.64699663922063022</v>
      </c>
      <c r="D26" s="48">
        <f>PEARSON(processed_data!J:J, processed_data!CD:CD)</f>
        <v>0.58753064458756776</v>
      </c>
      <c r="E26" s="48">
        <f>PEARSON(processed_data!N:N, processed_data!CD:CD)</f>
        <v>0.6222871569776115</v>
      </c>
      <c r="F26" s="48">
        <f>PEARSON(processed_data!R:R, processed_data!CD:CD)</f>
        <v>0.34035748534822996</v>
      </c>
      <c r="G26" s="48">
        <f>PEARSON(processed_data!V:V, processed_data!CD:CD)</f>
        <v>0.22764696565170336</v>
      </c>
      <c r="H26" s="48">
        <f>PEARSON(processed_data!Z:Z, processed_data!CD:CD)</f>
        <v>0.17732245788941939</v>
      </c>
      <c r="I26" s="48">
        <f>PEARSON(processed_data!AD:AD, processed_data!CD:CD)</f>
        <v>-0.41710169182608625</v>
      </c>
      <c r="J26" s="48">
        <f>PEARSON(processed_data!AH:AH, processed_data!CD:CD)</f>
        <v>-0.40013962451405272</v>
      </c>
      <c r="K26" s="48">
        <f>PEARSON(processed_data!AL:AL, processed_data!CD:CD)</f>
        <v>0.89929818805373496</v>
      </c>
      <c r="L26" s="48">
        <f>PEARSON(processed_data!AP:AP, processed_data!CD:CD)</f>
        <v>0.44001065663713707</v>
      </c>
      <c r="M26" s="48">
        <f>PEARSON(processed_data!AT:AT, processed_data!CD:CD)</f>
        <v>0.4176345347922783</v>
      </c>
      <c r="N26" s="48">
        <f>PEARSON(processed_data!AX:AX, processed_data!CD:CD)</f>
        <v>-0.55530434562880904</v>
      </c>
      <c r="O26" s="48">
        <f>PEARSON(processed_data!BB:BB, processed_data!CD:CD)</f>
        <v>0.62826938328891357</v>
      </c>
      <c r="P26" s="48">
        <f>PEARSON(processed_data!BF:BF, processed_data!CD:CD)</f>
        <v>0.45466289298031554</v>
      </c>
      <c r="Q26" s="48">
        <f>PEARSON(processed_data!BJ:BJ, processed_data!CD:CD)</f>
        <v>0.51875137593381115</v>
      </c>
      <c r="R26" s="48">
        <f>PEARSON(processed_data!BN:BN, processed_data!CD:CD)</f>
        <v>0.26413527189768699</v>
      </c>
      <c r="S26" s="48">
        <f>PEARSON(processed_data!BR:BR, processed_data!CD:CD)</f>
        <v>0.57629513868586268</v>
      </c>
      <c r="T26" s="48">
        <f>PEARSON(processed_data!BV:BV, processed_data!CD:CD)</f>
        <v>0.62726754326486556</v>
      </c>
      <c r="U26" s="48">
        <f>PEARSON(processed_data!BZ:BZ, processed_data!CD:CD)</f>
        <v>0.89020297845431806</v>
      </c>
      <c r="V26" s="49">
        <v>1</v>
      </c>
    </row>
    <row r="27" spans="1:22" ht="17" customHeight="1" x14ac:dyDescent="0.35">
      <c r="A27" s="299" t="s">
        <v>619</v>
      </c>
    </row>
    <row r="28" spans="1:22" ht="14.5" customHeight="1" thickBot="1" x14ac:dyDescent="0.4">
      <c r="A28" s="300"/>
    </row>
    <row r="29" spans="1:22" ht="14.5" customHeight="1" thickBot="1" x14ac:dyDescent="0.4">
      <c r="A29" s="45" t="s">
        <v>625</v>
      </c>
      <c r="B29" s="13" t="s">
        <v>454</v>
      </c>
      <c r="C29" s="13" t="s">
        <v>455</v>
      </c>
      <c r="D29" s="13" t="s">
        <v>456</v>
      </c>
      <c r="E29" s="13" t="s">
        <v>487</v>
      </c>
      <c r="F29" s="13" t="s">
        <v>457</v>
      </c>
      <c r="G29" s="13" t="s">
        <v>458</v>
      </c>
      <c r="H29" s="13" t="s">
        <v>459</v>
      </c>
      <c r="I29" s="13" t="s">
        <v>460</v>
      </c>
      <c r="J29" s="13" t="s">
        <v>498</v>
      </c>
      <c r="K29" s="13" t="s">
        <v>462</v>
      </c>
      <c r="L29" s="13" t="s">
        <v>488</v>
      </c>
      <c r="M29" s="13" t="s">
        <v>611</v>
      </c>
      <c r="N29" s="13" t="s">
        <v>612</v>
      </c>
      <c r="O29" s="13" t="s">
        <v>466</v>
      </c>
      <c r="P29" s="13" t="s">
        <v>497</v>
      </c>
      <c r="Q29" s="13" t="s">
        <v>468</v>
      </c>
      <c r="R29" s="13" t="s">
        <v>469</v>
      </c>
      <c r="S29" s="13" t="s">
        <v>613</v>
      </c>
      <c r="T29" s="13" t="s">
        <v>614</v>
      </c>
      <c r="U29" s="13" t="s">
        <v>471</v>
      </c>
      <c r="V29" s="46" t="s">
        <v>473</v>
      </c>
    </row>
    <row r="30" spans="1:22" x14ac:dyDescent="0.35">
      <c r="A30" s="54" t="s">
        <v>454</v>
      </c>
      <c r="B30" s="13">
        <v>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46"/>
    </row>
    <row r="31" spans="1:22" x14ac:dyDescent="0.35">
      <c r="A31" s="55" t="s">
        <v>455</v>
      </c>
      <c r="B31" s="1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7"/>
    </row>
    <row r="32" spans="1:22" x14ac:dyDescent="0.35">
      <c r="A32" s="55" t="s">
        <v>456</v>
      </c>
      <c r="B32" s="1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7"/>
    </row>
    <row r="33" spans="1:22" x14ac:dyDescent="0.35">
      <c r="A33" s="55" t="s">
        <v>487</v>
      </c>
      <c r="B33" s="1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7"/>
    </row>
    <row r="34" spans="1:22" x14ac:dyDescent="0.35">
      <c r="A34" s="55" t="s">
        <v>457</v>
      </c>
      <c r="B34" s="1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7"/>
    </row>
    <row r="35" spans="1:22" ht="15" thickBot="1" x14ac:dyDescent="0.4">
      <c r="A35" s="56" t="s">
        <v>458</v>
      </c>
      <c r="B35" s="48">
        <f>(B11 * SQRT(COUNT(raw_data!A:A) - 2)) / SQRT(1 - B11^2)</f>
        <v>0.89902581869510967</v>
      </c>
      <c r="C35" s="48">
        <f>(C11 * SQRT(COUNT(raw_data!A:A) - 2)) / SQRT(1 - C11^2)</f>
        <v>1.4032928308912462</v>
      </c>
      <c r="D35" s="48">
        <f>(D11 * SQRT(COUNT(raw_data!A:A) - 2)) / SQRT(1 - D11^2)</f>
        <v>1.0718899694426967</v>
      </c>
      <c r="E35" s="48">
        <f>(E11 * SQRT(COUNT(raw_data!A:A) - 2)) / SQRT(1 - E11^2)</f>
        <v>1.1580171713292657</v>
      </c>
      <c r="F35" s="48">
        <f>(F11 * SQRT(COUNT(raw_data!A:A) - 2)) / SQRT(1 - F11^2)</f>
        <v>1.7495647640922627</v>
      </c>
      <c r="G35" s="48">
        <v>1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9"/>
    </row>
    <row r="36" spans="1:22" x14ac:dyDescent="0.35">
      <c r="A36" s="54" t="s">
        <v>459</v>
      </c>
      <c r="B36" s="13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46"/>
    </row>
    <row r="37" spans="1:22" ht="15" thickBot="1" x14ac:dyDescent="0.4">
      <c r="A37" s="56" t="s">
        <v>460</v>
      </c>
      <c r="B37" s="48">
        <f>(B13 * SQRT(COUNT(raw_data!A:A) - 2)) / SQRT(1 - B13^2)</f>
        <v>-1.6032012323644347</v>
      </c>
      <c r="C37" s="48">
        <f>(C13 * SQRT(COUNT(raw_data!A:A) - 2)) / SQRT(1 - C13^2)</f>
        <v>-1.8996869670256791</v>
      </c>
      <c r="D37" s="48">
        <f>(D13 * SQRT(COUNT(raw_data!A:A) - 2)) / SQRT(1 - D13^2)</f>
        <v>-3.4631963954473979</v>
      </c>
      <c r="E37" s="48">
        <f>(E13 * SQRT(COUNT(raw_data!A:A) - 2)) / SQRT(1 - E13^2)</f>
        <v>-3.4908259884975612</v>
      </c>
      <c r="F37" s="48">
        <f>(F13 * SQRT(COUNT(raw_data!A:A) - 2)) / SQRT(1 - F13^2)</f>
        <v>-2.2313605390456432</v>
      </c>
      <c r="G37" s="48">
        <f>(G13 * SQRT(COUNT(raw_data!A:A) - 2)) / SQRT(1 - G13^2)</f>
        <v>-1.5078740698501045</v>
      </c>
      <c r="H37" s="48">
        <f>(H13 * SQRT(COUNT(raw_data!A:A) - 2)) / SQRT(1 - H13^2)</f>
        <v>-2.6456642878821541</v>
      </c>
      <c r="I37" s="48">
        <v>1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9"/>
    </row>
    <row r="38" spans="1:22" x14ac:dyDescent="0.35">
      <c r="A38" s="54" t="s">
        <v>498</v>
      </c>
      <c r="B38" s="13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3">
        <f>(H14 * SQRT(COUNT(raw_data!A:A) - 2)) / SQRT(1 - H14^2)</f>
        <v>-2.5084947927913372</v>
      </c>
      <c r="I38" s="13">
        <f>(I14 * SQRT(COUNT(raw_data!A:A) - 2)) / SQRT(1 - I14^2)</f>
        <v>3.2824594911702976</v>
      </c>
      <c r="J38" s="13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46"/>
    </row>
    <row r="39" spans="1:22" x14ac:dyDescent="0.35">
      <c r="A39" s="55" t="s">
        <v>462</v>
      </c>
      <c r="B39" s="1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1">
        <f>(H15 * SQRT(COUNT(raw_data!A:A) - 2)) / SQRT(1 - H15^2)</f>
        <v>0.21818715315713905</v>
      </c>
      <c r="I39" s="1">
        <f>(I15 * SQRT(COUNT(raw_data!A:A) - 2)) / SQRT(1 - I15^2)</f>
        <v>-1.2264005237169777</v>
      </c>
      <c r="J39" s="1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47"/>
    </row>
    <row r="40" spans="1:22" x14ac:dyDescent="0.35">
      <c r="A40" s="55" t="s">
        <v>488</v>
      </c>
      <c r="B40" s="1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1">
        <f>(H16 * SQRT(COUNT(raw_data!A:A) - 2)) / SQRT(1 - H16^2)</f>
        <v>0.82951506200625325</v>
      </c>
      <c r="I40" s="1">
        <f>(I16 * SQRT(COUNT(raw_data!A:A) - 2)) / SQRT(1 - I16^2)</f>
        <v>-0.24600660150832523</v>
      </c>
      <c r="J40" s="1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"/>
      <c r="S40" s="1"/>
      <c r="T40" s="1"/>
      <c r="U40" s="1"/>
      <c r="V40" s="47"/>
    </row>
    <row r="41" spans="1:22" x14ac:dyDescent="0.35">
      <c r="A41" s="55" t="s">
        <v>611</v>
      </c>
      <c r="B41" s="1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1">
        <f>(H17 * SQRT(COUNT(raw_data!A:A) - 2)) / SQRT(1 - H17^2)</f>
        <v>1.645225491321245</v>
      </c>
      <c r="I41" s="1">
        <f>(I17 * SQRT(COUNT(raw_data!A:A) - 2)) / SQRT(1 - I17^2)</f>
        <v>-2.5863030005593575</v>
      </c>
      <c r="J41" s="1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"/>
      <c r="S41" s="1"/>
      <c r="T41" s="1"/>
      <c r="U41" s="1"/>
      <c r="V41" s="47"/>
    </row>
    <row r="42" spans="1:22" x14ac:dyDescent="0.35">
      <c r="A42" s="55" t="s">
        <v>612</v>
      </c>
      <c r="B42" s="1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1">
        <f>(H18 * SQRT(COUNT(raw_data!A:A) - 2)) / SQRT(1 - H18^2)</f>
        <v>-1.594385907070244</v>
      </c>
      <c r="I42" s="1">
        <f>(I18 * SQRT(COUNT(raw_data!A:A) - 2)) / SQRT(1 - I18^2)</f>
        <v>2.0581546818263927</v>
      </c>
      <c r="J42" s="1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"/>
      <c r="S42" s="1"/>
      <c r="T42" s="1"/>
      <c r="U42" s="1"/>
      <c r="V42" s="47"/>
    </row>
    <row r="43" spans="1:22" x14ac:dyDescent="0.35">
      <c r="A43" s="55" t="s">
        <v>466</v>
      </c>
      <c r="B43" s="1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1">
        <f>(H19 * SQRT(COUNT(raw_data!A:A) - 2)) / SQRT(1 - H19^2)</f>
        <v>1.8304984669977624</v>
      </c>
      <c r="I43" s="1">
        <f>(I19 * SQRT(COUNT(raw_data!A:A) - 2)) / SQRT(1 - I19^2)</f>
        <v>-2.1005824131536643</v>
      </c>
      <c r="J43" s="1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"/>
      <c r="S43" s="1"/>
      <c r="T43" s="1"/>
      <c r="U43" s="1"/>
      <c r="V43" s="47"/>
    </row>
    <row r="44" spans="1:22" x14ac:dyDescent="0.35">
      <c r="A44" s="55" t="s">
        <v>497</v>
      </c>
      <c r="B44" s="1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1">
        <f>(H20 * SQRT(COUNT(raw_data!A:A) - 2)) / SQRT(1 - H20^2)</f>
        <v>0.80484363658553382</v>
      </c>
      <c r="I44" s="1">
        <f>(I20 * SQRT(COUNT(raw_data!A:A) - 2)) / SQRT(1 - I20^2)</f>
        <v>-2.9032615591430972</v>
      </c>
      <c r="J44" s="1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"/>
      <c r="S44" s="1"/>
      <c r="T44" s="1"/>
      <c r="U44" s="1"/>
      <c r="V44" s="47"/>
    </row>
    <row r="45" spans="1:22" ht="15" thickBot="1" x14ac:dyDescent="0.4">
      <c r="A45" s="56" t="s">
        <v>468</v>
      </c>
      <c r="B45" s="48">
        <f>(B21 * SQRT(COUNT(raw_data!A:A) - 2)) / SQRT(1 - B21^2)</f>
        <v>3.3420399113760983</v>
      </c>
      <c r="C45" s="48">
        <f>(C21 * SQRT(COUNT(raw_data!A:A) - 2)) / SQRT(1 - C21^2)</f>
        <v>3.7947331922020484</v>
      </c>
      <c r="D45" s="48">
        <f>(D21 * SQRT(COUNT(raw_data!A:A) - 2)) / SQRT(1 - D21^2)</f>
        <v>26.773120849090351</v>
      </c>
      <c r="E45" s="48">
        <f>(E21 * SQRT(COUNT(raw_data!A:A) - 2)) / SQRT(1 - E21^2)</f>
        <v>14.49137674618944</v>
      </c>
      <c r="F45" s="48">
        <f>(F21 * SQRT(COUNT(raw_data!A:A) - 2)) / SQRT(1 - F21^2)</f>
        <v>5.0199601592044489</v>
      </c>
      <c r="G45" s="48">
        <f>(G21 * SQRT(COUNT(raw_data!A:A) - 2)) / SQRT(1 - G21^2)</f>
        <v>1.0787197799411876</v>
      </c>
      <c r="H45" s="48">
        <f>(H21 * SQRT(COUNT(raw_data!A:A) - 2)) / SQRT(1 - H21^2)</f>
        <v>2.2618111047751546</v>
      </c>
      <c r="I45" s="48">
        <f>(I21 * SQRT(COUNT(raw_data!A:A) - 2)) / SQRT(1 - I21^2)</f>
        <v>-3.4463874139302044</v>
      </c>
      <c r="J45" s="48">
        <f>(J21 * SQRT(COUNT(raw_data!A:A) - 2)) / SQRT(1 - J21^2)</f>
        <v>-4.1030211562573822</v>
      </c>
      <c r="K45" s="48">
        <f>(K21 * SQRT(COUNT(raw_data!A:A) - 2)) / SQRT(1 - K21^2)</f>
        <v>1.5267725707382283</v>
      </c>
      <c r="L45" s="48">
        <f>(L21 * SQRT(COUNT(raw_data!A:A) - 2)) / SQRT(1 - L21^2)</f>
        <v>0.59083915670079712</v>
      </c>
      <c r="M45" s="48">
        <f>(M21 * SQRT(COUNT(raw_data!A:A) - 2)) / SQRT(1 - M21^2)</f>
        <v>2.6967994498529677</v>
      </c>
      <c r="N45" s="48">
        <f>(N21 * SQRT(COUNT(raw_data!A:A) - 2)) / SQRT(1 - N21^2)</f>
        <v>-4.3859279105297171</v>
      </c>
      <c r="O45" s="48">
        <f>(O21 * SQRT(COUNT(raw_data!A:A) - 2)) / SQRT(1 - O21^2)</f>
        <v>4.2652228528239853</v>
      </c>
      <c r="P45" s="48">
        <f>(P21 * SQRT(COUNT(raw_data!A:A) - 2)) / SQRT(1 - P21^2)</f>
        <v>4.4721359549995769</v>
      </c>
      <c r="Q45" s="48">
        <v>1</v>
      </c>
      <c r="R45" s="48"/>
      <c r="S45" s="48"/>
      <c r="T45" s="48"/>
      <c r="U45" s="48"/>
      <c r="V45" s="49"/>
    </row>
    <row r="46" spans="1:22" ht="15" thickBot="1" x14ac:dyDescent="0.4">
      <c r="A46" s="55" t="s">
        <v>469</v>
      </c>
      <c r="B46" s="1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1">
        <f>(H22 * SQRT(COUNT(raw_data!A:A) - 2)) / SQRT(1 - H22^2)</f>
        <v>0.30151134457776368</v>
      </c>
      <c r="I46" s="1">
        <f>(I22 * SQRT(COUNT(raw_data!A:A) - 2)) / SQRT(1 - I22^2)</f>
        <v>0.1208244186660354</v>
      </c>
      <c r="J46" s="1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">
        <v>1</v>
      </c>
      <c r="S46" s="1"/>
      <c r="T46" s="1"/>
      <c r="U46" s="1"/>
      <c r="V46" s="47"/>
    </row>
    <row r="47" spans="1:22" x14ac:dyDescent="0.35">
      <c r="A47" s="54" t="s">
        <v>613</v>
      </c>
      <c r="B47" s="13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3">
        <f>(H23 * SQRT(COUNT(raw_data!A:A) - 2)) / SQRT(1 - H23^2)</f>
        <v>2.1073020717639528</v>
      </c>
      <c r="I47" s="13">
        <f>(I23 * SQRT(COUNT(raw_data!A:A) - 2)) / SQRT(1 - I23^2)</f>
        <v>-2.8518999514943242</v>
      </c>
      <c r="J47" s="13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3">
        <f>(R23 * SQRT(COUNT(raw_data!A:A) - 2)) / SQRT(1 - R23^2)</f>
        <v>0.8017837257372733</v>
      </c>
      <c r="S47" s="13">
        <v>1</v>
      </c>
      <c r="T47" s="13"/>
      <c r="U47" s="13"/>
      <c r="V47" s="46"/>
    </row>
    <row r="48" spans="1:22" x14ac:dyDescent="0.35">
      <c r="A48" s="55" t="s">
        <v>614</v>
      </c>
      <c r="B48" s="1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1">
        <f>(H24 * SQRT(COUNT(raw_data!A:A) - 2)) / SQRT(1 - H24^2)</f>
        <v>2.1321673624640622</v>
      </c>
      <c r="I48" s="1">
        <f>(I24 * SQRT(COUNT(raw_data!A:A) - 2)) / SQRT(1 - I24^2)</f>
        <v>-2.8474843787208601</v>
      </c>
      <c r="J48" s="1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7"/>
    </row>
    <row r="49" spans="1:22" ht="14.5" customHeight="1" x14ac:dyDescent="0.35">
      <c r="A49" s="55" t="s">
        <v>471</v>
      </c>
      <c r="B49" s="1">
        <f>(B25 * SQRT(COUNT(raw_data!A:A) - 2)) / SQRT(1 - B25^2)</f>
        <v>3.5110528972275423</v>
      </c>
      <c r="C49" s="1">
        <f>(C25 * SQRT(COUNT(raw_data!A:A) - 2)) / SQRT(1 - C25^2)</f>
        <v>4.2332020977033453</v>
      </c>
      <c r="D49" s="1">
        <f>(D25 * SQRT(COUNT(raw_data!A:A) - 2)) / SQRT(1 - D25^2)</f>
        <v>2.5047875384334426</v>
      </c>
      <c r="E49" s="1">
        <f>(E25 * SQRT(COUNT(raw_data!A:A) - 2)) / SQRT(1 - E25^2)</f>
        <v>2.7806399916002391</v>
      </c>
      <c r="F49" s="1">
        <f>(F25 * SQRT(COUNT(raw_data!A:A) - 2)) / SQRT(1 - F25^2)</f>
        <v>1.900745008001095</v>
      </c>
      <c r="G49" s="1">
        <f>(G25 * SQRT(COUNT(raw_data!A:A) - 2)) / SQRT(1 - G25^2)</f>
        <v>1.0108800388961459</v>
      </c>
      <c r="H49" s="1">
        <f>(H25 * SQRT(COUNT(raw_data!A:A) - 2)) / SQRT(1 - H25^2)</f>
        <v>0.64886538114894543</v>
      </c>
      <c r="I49" s="1">
        <f>(I25 * SQRT(COUNT(raw_data!A:A) - 2)) / SQRT(1 - I25^2)</f>
        <v>-1.2590916480903969</v>
      </c>
      <c r="J49" s="1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7"/>
    </row>
    <row r="50" spans="1:22" ht="14.5" customHeight="1" thickBot="1" x14ac:dyDescent="0.4">
      <c r="A50" s="56" t="s">
        <v>473</v>
      </c>
      <c r="B50" s="48">
        <f>(B26 * SQRT(COUNT(raw_data!A:A) - 2)) / SQRT(1 - B26^2)</f>
        <v>2.5024211878183573</v>
      </c>
      <c r="C50" s="48">
        <f>(C26 * SQRT(COUNT(raw_data!A:A) - 2)) / SQRT(1 - C26^2)</f>
        <v>2.3999999999999981</v>
      </c>
      <c r="D50" s="48">
        <f>(D26 * SQRT(COUNT(raw_data!A:A) - 2)) / SQRT(1 - D26^2)</f>
        <v>2.0536130450044152</v>
      </c>
      <c r="E50" s="48">
        <f>(E26 * SQRT(COUNT(raw_data!A:A) - 2)) / SQRT(1 - E26^2)</f>
        <v>2.2484906729641283</v>
      </c>
      <c r="F50" s="48">
        <f>(F26 * SQRT(COUNT(raw_data!A:A) - 2)) / SQRT(1 - F26^2)</f>
        <v>1.0238012571219606</v>
      </c>
      <c r="G50" s="48">
        <f>(G26 * SQRT(COUNT(raw_data!A:A) - 2)) / SQRT(1 - G26^2)</f>
        <v>0.66124466858609565</v>
      </c>
      <c r="H50" s="48">
        <f>(H26 * SQRT(COUNT(raw_data!A:A) - 2)) / SQRT(1 - H26^2)</f>
        <v>0.50961969174652877</v>
      </c>
      <c r="I50" s="48">
        <f>(I26 * SQRT(COUNT(raw_data!A:A) - 2)) / SQRT(1 - I26^2)</f>
        <v>-1.298045868574403</v>
      </c>
      <c r="J50" s="48">
        <f>(J26 * SQRT(COUNT(raw_data!A:A) - 2)) / SQRT(1 - J26^2)</f>
        <v>-1.2349398158733558</v>
      </c>
      <c r="K50" s="48">
        <f>(K26 * SQRT(COUNT(raw_data!A:A) - 2)) / SQRT(1 - K26^2)</f>
        <v>5.8161217943981089</v>
      </c>
      <c r="L50" s="48">
        <f>(L26 * SQRT(COUNT(raw_data!A:A) - 2)) / SQRT(1 - L26^2)</f>
        <v>1.3859113583065961</v>
      </c>
      <c r="M50" s="48">
        <f>(M26 * SQRT(COUNT(raw_data!A:A) - 2)) / SQRT(1 - M26^2)</f>
        <v>1.300054170052318</v>
      </c>
      <c r="N50" s="48">
        <f>(N26 * SQRT(COUNT(raw_data!A:A) - 2)) / SQRT(1 - N26^2)</f>
        <v>-1.8885867140632733</v>
      </c>
      <c r="O50" s="48">
        <f>(O26 * SQRT(COUNT(raw_data!A:A) - 2)) / SQRT(1 - O26^2)</f>
        <v>2.2840920134711267</v>
      </c>
      <c r="P50" s="48">
        <f>(P26 * SQRT(COUNT(raw_data!A:A) - 2)) / SQRT(1 - P26^2)</f>
        <v>1.4438457513688665</v>
      </c>
      <c r="Q50" s="48">
        <f>(Q26 * SQRT(COUNT(raw_data!A:A) - 2)) / SQRT(1 - Q26^2)</f>
        <v>1.716232660642065</v>
      </c>
      <c r="R50" s="48">
        <f>(R26 * SQRT(COUNT(raw_data!A:A) - 2)) / SQRT(1 - R26^2)</f>
        <v>0.77459666924148285</v>
      </c>
      <c r="S50" s="48">
        <f>(S26 * SQRT(COUNT(raw_data!A:A) - 2)) / SQRT(1 - S26^2)</f>
        <v>1.994524879865597</v>
      </c>
      <c r="T50" s="48">
        <f>(T26 * SQRT(COUNT(raw_data!A:A) - 2)) / SQRT(1 - T26^2)</f>
        <v>2.2780839424084562</v>
      </c>
      <c r="U50" s="48">
        <f>(U26 * SQRT(COUNT(raw_data!A:A) - 2)) / SQRT(1 - U26^2)</f>
        <v>5.5269372687884211</v>
      </c>
      <c r="V50" s="49">
        <v>1</v>
      </c>
    </row>
    <row r="51" spans="1:22" x14ac:dyDescent="0.35">
      <c r="A51" s="301" t="s">
        <v>620</v>
      </c>
      <c r="B51" s="51"/>
      <c r="C51" s="44" t="s">
        <v>623</v>
      </c>
    </row>
    <row r="52" spans="1:22" ht="16" customHeight="1" thickBot="1" x14ac:dyDescent="0.4">
      <c r="A52" s="302"/>
      <c r="B52" s="52"/>
      <c r="C52" s="44" t="s">
        <v>624</v>
      </c>
    </row>
    <row r="53" spans="1:22" ht="15" thickBot="1" x14ac:dyDescent="0.4">
      <c r="A53" s="53" t="s">
        <v>625</v>
      </c>
      <c r="B53" s="13" t="s">
        <v>454</v>
      </c>
      <c r="C53" s="13" t="s">
        <v>455</v>
      </c>
      <c r="D53" s="13" t="s">
        <v>456</v>
      </c>
      <c r="E53" s="13" t="s">
        <v>487</v>
      </c>
      <c r="F53" s="13" t="s">
        <v>457</v>
      </c>
      <c r="G53" s="13" t="s">
        <v>458</v>
      </c>
      <c r="H53" s="13" t="s">
        <v>459</v>
      </c>
      <c r="I53" s="13" t="s">
        <v>460</v>
      </c>
      <c r="J53" s="13" t="s">
        <v>498</v>
      </c>
      <c r="K53" s="13" t="s">
        <v>462</v>
      </c>
      <c r="L53" s="13" t="s">
        <v>488</v>
      </c>
      <c r="M53" s="13" t="s">
        <v>611</v>
      </c>
      <c r="N53" s="13" t="s">
        <v>612</v>
      </c>
      <c r="O53" s="13" t="s">
        <v>466</v>
      </c>
      <c r="P53" s="13" t="s">
        <v>497</v>
      </c>
      <c r="Q53" s="13" t="s">
        <v>468</v>
      </c>
      <c r="R53" s="13" t="s">
        <v>469</v>
      </c>
      <c r="S53" s="13" t="s">
        <v>613</v>
      </c>
      <c r="T53" s="13" t="s">
        <v>614</v>
      </c>
      <c r="U53" s="13" t="s">
        <v>471</v>
      </c>
      <c r="V53" s="46" t="s">
        <v>473</v>
      </c>
    </row>
    <row r="54" spans="1:22" x14ac:dyDescent="0.35">
      <c r="A54" s="54" t="s">
        <v>454</v>
      </c>
      <c r="B54" s="13">
        <v>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46"/>
    </row>
    <row r="55" spans="1:22" x14ac:dyDescent="0.35">
      <c r="A55" s="55" t="s">
        <v>455</v>
      </c>
      <c r="B55" s="1">
        <f>_xlfn.T.DIST.2T(B31, COUNT(raw_data!A:A) - 2)</f>
        <v>1.5303115003794061E-2</v>
      </c>
      <c r="C55" s="1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47"/>
    </row>
    <row r="56" spans="1:22" x14ac:dyDescent="0.35">
      <c r="A56" s="55" t="s">
        <v>456</v>
      </c>
      <c r="B56" s="1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47"/>
    </row>
    <row r="57" spans="1:22" x14ac:dyDescent="0.35">
      <c r="A57" s="55" t="s">
        <v>487</v>
      </c>
      <c r="B57" s="1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47"/>
    </row>
    <row r="58" spans="1:22" x14ac:dyDescent="0.35">
      <c r="A58" s="55" t="s">
        <v>457</v>
      </c>
      <c r="B58" s="1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47"/>
    </row>
    <row r="59" spans="1:22" ht="15" thickBot="1" x14ac:dyDescent="0.4">
      <c r="A59" s="56" t="s">
        <v>458</v>
      </c>
      <c r="B59" s="48">
        <f>_xlfn.T.DIST.2T(B35, COUNT(raw_data!A:A) - 2)</f>
        <v>0.39489257536011735</v>
      </c>
      <c r="C59" s="48">
        <f>_xlfn.T.DIST.2T(C35, COUNT(raw_data!A:A) - 2)</f>
        <v>0.1981313803204664</v>
      </c>
      <c r="D59" s="48">
        <f>_xlfn.T.DIST.2T(D35, COUNT(raw_data!A:A) - 2)</f>
        <v>0.31503721920086813</v>
      </c>
      <c r="E59" s="48">
        <f>_xlfn.T.DIST.2T(E35, COUNT(raw_data!A:A) - 2)</f>
        <v>0.28025742770376372</v>
      </c>
      <c r="F59" s="48">
        <f>_xlfn.T.DIST.2T(F35, COUNT(raw_data!A:A) - 2)</f>
        <v>0.11831109673230512</v>
      </c>
      <c r="G59" s="48">
        <v>1</v>
      </c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9"/>
    </row>
    <row r="60" spans="1:22" x14ac:dyDescent="0.35">
      <c r="A60" s="54" t="s">
        <v>459</v>
      </c>
      <c r="B60" s="13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3">
        <f>_xlfn.T.DIST.2T(G36, COUNT(raw_data!A:A) - 2)</f>
        <v>0.44351152618355949</v>
      </c>
      <c r="H60" s="13">
        <v>1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46"/>
    </row>
    <row r="61" spans="1:22" ht="15" thickBot="1" x14ac:dyDescent="0.4">
      <c r="A61" s="56" t="s">
        <v>460</v>
      </c>
      <c r="B61" s="48" t="e">
        <f>_xlfn.T.DIST.2T(B37, COUNT(raw_data!A:A) - 2)</f>
        <v>#NUM!</v>
      </c>
      <c r="C61" s="48" t="e">
        <f>_xlfn.T.DIST.2T(C37, COUNT(raw_data!A:A) - 2)</f>
        <v>#NUM!</v>
      </c>
      <c r="D61" s="48" t="e">
        <f>_xlfn.T.DIST.2T(D37, COUNT(raw_data!A:A) - 2)</f>
        <v>#NUM!</v>
      </c>
      <c r="E61" s="48" t="e">
        <f>_xlfn.T.DIST.2T(E37, COUNT(raw_data!A:A) - 2)</f>
        <v>#NUM!</v>
      </c>
      <c r="F61" s="48" t="e">
        <f>_xlfn.T.DIST.2T(F37, COUNT(raw_data!A:A) - 2)</f>
        <v>#NUM!</v>
      </c>
      <c r="G61" s="48" t="e">
        <f>_xlfn.T.DIST.2T(G37, COUNT(raw_data!A:A) - 2)</f>
        <v>#NUM!</v>
      </c>
      <c r="H61" s="48" t="e">
        <f>_xlfn.T.DIST.2T(H37, COUNT(raw_data!A:A) - 2)</f>
        <v>#NUM!</v>
      </c>
      <c r="I61" s="48">
        <v>1</v>
      </c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9"/>
    </row>
    <row r="62" spans="1:22" x14ac:dyDescent="0.35">
      <c r="A62" s="54" t="s">
        <v>498</v>
      </c>
      <c r="B62" s="13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3" t="e">
        <f>_xlfn.T.DIST.2T(G38, COUNT(raw_data!A:A) - 2)</f>
        <v>#NUM!</v>
      </c>
      <c r="H62" s="13" t="e">
        <f>_xlfn.T.DIST.2T(H38, COUNT(raw_data!A:A) - 2)</f>
        <v>#NUM!</v>
      </c>
      <c r="I62" s="13">
        <f>_xlfn.T.DIST.2T(I38, COUNT(raw_data!A:A) - 2)</f>
        <v>1.1146797121351106E-2</v>
      </c>
      <c r="J62" s="13">
        <v>1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6"/>
    </row>
    <row r="63" spans="1:22" x14ac:dyDescent="0.35">
      <c r="A63" s="55" t="s">
        <v>462</v>
      </c>
      <c r="B63" s="1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1">
        <f>_xlfn.T.DIST.2T(G39, COUNT(raw_data!A:A) - 2)</f>
        <v>0.70645881537033539</v>
      </c>
      <c r="H63" s="1">
        <f>_xlfn.T.DIST.2T(H39, COUNT(raw_data!A:A) - 2)</f>
        <v>0.83274606081212466</v>
      </c>
      <c r="I63" s="1" t="e">
        <f>_xlfn.T.DIST.2T(I39, COUNT(raw_data!A:A) - 2)</f>
        <v>#NUM!</v>
      </c>
      <c r="J63" s="1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47"/>
    </row>
    <row r="64" spans="1:22" x14ac:dyDescent="0.35">
      <c r="A64" s="55" t="s">
        <v>488</v>
      </c>
      <c r="B64" s="1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1">
        <f>_xlfn.T.DIST.2T(G40, COUNT(raw_data!A:A) - 2)</f>
        <v>0.30500591455474163</v>
      </c>
      <c r="H64" s="1">
        <f>_xlfn.T.DIST.2T(H40, COUNT(raw_data!A:A) - 2)</f>
        <v>0.43086723263653592</v>
      </c>
      <c r="I64" s="1" t="e">
        <f>_xlfn.T.DIST.2T(I40, COUNT(raw_data!A:A) - 2)</f>
        <v>#NUM!</v>
      </c>
      <c r="J64" s="1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1"/>
      <c r="R64" s="1"/>
      <c r="S64" s="1"/>
      <c r="T64" s="1"/>
      <c r="U64" s="1"/>
      <c r="V64" s="47"/>
    </row>
    <row r="65" spans="1:22" x14ac:dyDescent="0.35">
      <c r="A65" s="55" t="s">
        <v>611</v>
      </c>
      <c r="B65" s="1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1">
        <f>_xlfn.T.DIST.2T(G41, COUNT(raw_data!A:A) - 2)</f>
        <v>0.36304795166890735</v>
      </c>
      <c r="H65" s="1">
        <f>_xlfn.T.DIST.2T(H41, COUNT(raw_data!A:A) - 2)</f>
        <v>0.13854271563098794</v>
      </c>
      <c r="I65" s="1" t="e">
        <f>_xlfn.T.DIST.2T(I41, COUNT(raw_data!A:A) - 2)</f>
        <v>#NUM!</v>
      </c>
      <c r="J65" s="1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1"/>
      <c r="R65" s="1"/>
      <c r="S65" s="1"/>
      <c r="T65" s="1"/>
      <c r="U65" s="1"/>
      <c r="V65" s="47"/>
    </row>
    <row r="66" spans="1:22" x14ac:dyDescent="0.35">
      <c r="A66" s="55" t="s">
        <v>612</v>
      </c>
      <c r="B66" s="1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1" t="e">
        <f>_xlfn.T.DIST.2T(G42, COUNT(raw_data!A:A) - 2)</f>
        <v>#NUM!</v>
      </c>
      <c r="H66" s="1" t="e">
        <f>_xlfn.T.DIST.2T(H42, COUNT(raw_data!A:A) - 2)</f>
        <v>#NUM!</v>
      </c>
      <c r="I66" s="1">
        <f>_xlfn.T.DIST.2T(I42, COUNT(raw_data!A:A) - 2)</f>
        <v>7.3570567893860336E-2</v>
      </c>
      <c r="J66" s="1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1"/>
      <c r="R66" s="1"/>
      <c r="S66" s="1"/>
      <c r="T66" s="1"/>
      <c r="U66" s="1"/>
      <c r="V66" s="47"/>
    </row>
    <row r="67" spans="1:22" x14ac:dyDescent="0.35">
      <c r="A67" s="55" t="s">
        <v>466</v>
      </c>
      <c r="B67" s="1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1">
        <f>_xlfn.T.DIST.2T(G43, COUNT(raw_data!A:A) - 2)</f>
        <v>0.48060932255723199</v>
      </c>
      <c r="H67" s="1">
        <f>_xlfn.T.DIST.2T(H43, COUNT(raw_data!A:A) - 2)</f>
        <v>0.1045572076373992</v>
      </c>
      <c r="I67" s="1" t="e">
        <f>_xlfn.T.DIST.2T(I43, COUNT(raw_data!A:A) - 2)</f>
        <v>#NUM!</v>
      </c>
      <c r="J67" s="1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1"/>
      <c r="R67" s="1"/>
      <c r="S67" s="1"/>
      <c r="T67" s="1"/>
      <c r="U67" s="1"/>
      <c r="V67" s="47"/>
    </row>
    <row r="68" spans="1:22" x14ac:dyDescent="0.35">
      <c r="A68" s="55" t="s">
        <v>497</v>
      </c>
      <c r="B68" s="1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1">
        <f>_xlfn.T.DIST.2T(G44, COUNT(raw_data!A:A) - 2)</f>
        <v>0.80932351662767132</v>
      </c>
      <c r="H68" s="1">
        <f>_xlfn.T.DIST.2T(H44, COUNT(raw_data!A:A) - 2)</f>
        <v>0.44416916015033292</v>
      </c>
      <c r="I68" s="1" t="e">
        <f>_xlfn.T.DIST.2T(I44, COUNT(raw_data!A:A) - 2)</f>
        <v>#NUM!</v>
      </c>
      <c r="J68" s="1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1"/>
      <c r="R68" s="1"/>
      <c r="S68" s="1"/>
      <c r="T68" s="1"/>
      <c r="U68" s="1"/>
      <c r="V68" s="47"/>
    </row>
    <row r="69" spans="1:22" ht="15" thickBot="1" x14ac:dyDescent="0.4">
      <c r="A69" s="56" t="s">
        <v>468</v>
      </c>
      <c r="B69" s="48">
        <f>_xlfn.T.DIST.2T(B45, COUNT(raw_data!A:A) - 2)</f>
        <v>1.0200191387450127E-2</v>
      </c>
      <c r="C69" s="48">
        <f>_xlfn.T.DIST.2T(C45, COUNT(raw_data!A:A) - 2)</f>
        <v>5.2761079358707866E-3</v>
      </c>
      <c r="D69" s="48">
        <f>_xlfn.T.DIST.2T(D45, COUNT(raw_data!A:A) - 2)</f>
        <v>4.0763526868416669E-9</v>
      </c>
      <c r="E69" s="48">
        <f>_xlfn.T.DIST.2T(E45, COUNT(raw_data!A:A) - 2)</f>
        <v>5.0334833707743821E-7</v>
      </c>
      <c r="F69" s="48">
        <f>_xlfn.T.DIST.2T(F45, COUNT(raw_data!A:A) - 2)</f>
        <v>1.0269277883594413E-3</v>
      </c>
      <c r="G69" s="48">
        <f>_xlfn.T.DIST.2T(G45, COUNT(raw_data!A:A) - 2)</f>
        <v>0.31215994619329684</v>
      </c>
      <c r="H69" s="48">
        <f>_xlfn.T.DIST.2T(H45, COUNT(raw_data!A:A) - 2)</f>
        <v>5.3570733729846415E-2</v>
      </c>
      <c r="I69" s="48" t="e">
        <f>_xlfn.T.DIST.2T(I45, COUNT(raw_data!A:A) - 2)</f>
        <v>#NUM!</v>
      </c>
      <c r="J69" s="48" t="e">
        <f>_xlfn.T.DIST.2T(J45, COUNT(raw_data!A:A) - 2)</f>
        <v>#NUM!</v>
      </c>
      <c r="K69" s="48">
        <f>_xlfn.T.DIST.2T(K45, COUNT(raw_data!A:A) - 2)</f>
        <v>0.1653339785858535</v>
      </c>
      <c r="L69" s="48">
        <f>_xlfn.T.DIST.2T(L45, COUNT(raw_data!A:A) - 2)</f>
        <v>0.5709390676208419</v>
      </c>
      <c r="M69" s="48">
        <f>_xlfn.T.DIST.2T(M45, COUNT(raw_data!A:A) - 2)</f>
        <v>2.7208560338869609E-2</v>
      </c>
      <c r="N69" s="48" t="e">
        <f>_xlfn.T.DIST.2T(N45, COUNT(raw_data!A:A) - 2)</f>
        <v>#NUM!</v>
      </c>
      <c r="O69" s="48">
        <f>_xlfn.T.DIST.2T(O45, COUNT(raw_data!A:A) - 2)</f>
        <v>2.7418870088220123E-3</v>
      </c>
      <c r="P69" s="48">
        <f>_xlfn.T.DIST.2T(P45, COUNT(raw_data!A:A) - 2)</f>
        <v>2.0773377112267887E-3</v>
      </c>
      <c r="Q69" s="48">
        <v>1</v>
      </c>
      <c r="R69" s="48"/>
      <c r="S69" s="48"/>
      <c r="T69" s="48"/>
      <c r="U69" s="48"/>
      <c r="V69" s="49"/>
    </row>
    <row r="70" spans="1:22" ht="15" thickBot="1" x14ac:dyDescent="0.4">
      <c r="A70" s="55" t="s">
        <v>469</v>
      </c>
      <c r="B70" s="1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1" t="e">
        <f>_xlfn.T.DIST.2T(G46, COUNT(raw_data!A:A) - 2)</f>
        <v>#NUM!</v>
      </c>
      <c r="H70" s="1">
        <f>_xlfn.T.DIST.2T(H46, COUNT(raw_data!A:A) - 2)</f>
        <v>0.77071327856932448</v>
      </c>
      <c r="I70" s="1">
        <f>_xlfn.T.DIST.2T(I46, COUNT(raw_data!A:A) - 2)</f>
        <v>0.90680964433156919</v>
      </c>
      <c r="J70" s="1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1">
        <f>_xlfn.T.DIST.2T(Q46, COUNT(raw_data!A:A) - 2)</f>
        <v>0.54473730080449112</v>
      </c>
      <c r="R70" s="1">
        <v>1</v>
      </c>
      <c r="S70" s="1"/>
      <c r="T70" s="1"/>
      <c r="U70" s="1"/>
      <c r="V70" s="47"/>
    </row>
    <row r="71" spans="1:22" x14ac:dyDescent="0.35">
      <c r="A71" s="54" t="s">
        <v>613</v>
      </c>
      <c r="B71" s="13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3">
        <f>_xlfn.T.DIST.2T(G47, COUNT(raw_data!A:A) - 2)</f>
        <v>0.18344169322415385</v>
      </c>
      <c r="H71" s="13">
        <f>_xlfn.T.DIST.2T(H47, COUNT(raw_data!A:A) - 2)</f>
        <v>6.8158828783734832E-2</v>
      </c>
      <c r="I71" s="13" t="e">
        <f>_xlfn.T.DIST.2T(I47, COUNT(raw_data!A:A) - 2)</f>
        <v>#NUM!</v>
      </c>
      <c r="J71" s="13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3">
        <f>_xlfn.T.DIST.2T(Q47, COUNT(raw_data!A:A) - 2)</f>
        <v>2.3000924132554252E-4</v>
      </c>
      <c r="R71" s="13">
        <f>_xlfn.T.DIST.2T(R47, COUNT(raw_data!A:A) - 2)</f>
        <v>0.44583834154275115</v>
      </c>
      <c r="S71" s="13">
        <v>1</v>
      </c>
      <c r="T71" s="13"/>
      <c r="U71" s="13"/>
      <c r="V71" s="46"/>
    </row>
    <row r="72" spans="1:22" x14ac:dyDescent="0.35">
      <c r="A72" s="55" t="s">
        <v>614</v>
      </c>
      <c r="B72" s="1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1">
        <f>_xlfn.T.DIST.2T(G48, COUNT(raw_data!A:A) - 2)</f>
        <v>0.24248551522384956</v>
      </c>
      <c r="H72" s="1">
        <f>_xlfn.T.DIST.2T(H48, COUNT(raw_data!A:A) - 2)</f>
        <v>6.557131909000101E-2</v>
      </c>
      <c r="I72" s="1" t="e">
        <f>_xlfn.T.DIST.2T(I48, COUNT(raw_data!A:A) - 2)</f>
        <v>#NUM!</v>
      </c>
      <c r="J72" s="1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1">
        <f>_xlfn.T.DIST.2T(Q48, COUNT(raw_data!A:A) - 2)</f>
        <v>1.3451376287921851E-4</v>
      </c>
      <c r="R72" s="1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7"/>
    </row>
    <row r="73" spans="1:22" x14ac:dyDescent="0.35">
      <c r="A73" s="55" t="s">
        <v>471</v>
      </c>
      <c r="B73" s="1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1">
        <f>_xlfn.T.DIST.2T(G49, COUNT(raw_data!A:A) - 2)</f>
        <v>0.34166766932340248</v>
      </c>
      <c r="H73" s="1">
        <f>_xlfn.T.DIST.2T(H49, COUNT(raw_data!A:A) - 2)</f>
        <v>0.53460461436009654</v>
      </c>
      <c r="I73" s="1" t="e">
        <f>_xlfn.T.DIST.2T(I49, COUNT(raw_data!A:A) - 2)</f>
        <v>#NUM!</v>
      </c>
      <c r="J73" s="1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1">
        <f>_xlfn.T.DIST.2T(Q49, COUNT(raw_data!A:A) - 2)</f>
        <v>7.4232093305194674E-2</v>
      </c>
      <c r="R73" s="1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7"/>
    </row>
    <row r="74" spans="1:22" ht="15" thickBot="1" x14ac:dyDescent="0.4">
      <c r="A74" s="56" t="s">
        <v>473</v>
      </c>
      <c r="B74" s="48">
        <f>_xlfn.T.DIST.2T(B50, COUNT(raw_data!A:A) - 2)</f>
        <v>3.680293368955264E-2</v>
      </c>
      <c r="C74" s="48">
        <f>_xlfn.T.DIST.2T(C50, COUNT(raw_data!A:A) - 2)</f>
        <v>4.3176727827846817E-2</v>
      </c>
      <c r="D74" s="48">
        <f>_xlfn.T.DIST.2T(D50, COUNT(raw_data!A:A) - 2)</f>
        <v>7.4091326155433318E-2</v>
      </c>
      <c r="E74" s="48">
        <f>_xlfn.T.DIST.2T(E50, COUNT(raw_data!A:A) - 2)</f>
        <v>5.46959769415091E-2</v>
      </c>
      <c r="F74" s="48">
        <f>_xlfn.T.DIST.2T(F50, COUNT(raw_data!A:A) - 2)</f>
        <v>0.33588751488431462</v>
      </c>
      <c r="G74" s="48">
        <f>_xlfn.T.DIST.2T(G50, COUNT(raw_data!A:A) - 2)</f>
        <v>0.52703650146924952</v>
      </c>
      <c r="H74" s="48">
        <f>_xlfn.T.DIST.2T(H50, COUNT(raw_data!A:A) - 2)</f>
        <v>0.62407535954144155</v>
      </c>
      <c r="I74" s="48" t="e">
        <f>_xlfn.T.DIST.2T(I50, COUNT(raw_data!A:A) - 2)</f>
        <v>#NUM!</v>
      </c>
      <c r="J74" s="48" t="e">
        <f>_xlfn.T.DIST.2T(J50, COUNT(raw_data!A:A) - 2)</f>
        <v>#NUM!</v>
      </c>
      <c r="K74" s="48">
        <f>_xlfn.T.DIST.2T(K50, COUNT(raw_data!A:A) - 2)</f>
        <v>3.9779173622276357E-4</v>
      </c>
      <c r="L74" s="48">
        <f>_xlfn.T.DIST.2T(L50, COUNT(raw_data!A:A) - 2)</f>
        <v>0.20318026478672366</v>
      </c>
      <c r="M74" s="48">
        <f>_xlfn.T.DIST.2T(M50, COUNT(raw_data!A:A) - 2)</f>
        <v>0.2297859402849754</v>
      </c>
      <c r="N74" s="48" t="e">
        <f>_xlfn.T.DIST.2T(N50, COUNT(raw_data!A:A) - 2)</f>
        <v>#NUM!</v>
      </c>
      <c r="O74" s="48">
        <f>_xlfn.T.DIST.2T(O50, COUNT(raw_data!A:A) - 2)</f>
        <v>5.1739797962892423E-2</v>
      </c>
      <c r="P74" s="48">
        <f>_xlfn.T.DIST.2T(P50, COUNT(raw_data!A:A) - 2)</f>
        <v>0.18677653942190667</v>
      </c>
      <c r="Q74" s="48">
        <f>_xlfn.T.DIST.2T(Q50, COUNT(raw_data!A:A) - 2)</f>
        <v>0.12445457981879561</v>
      </c>
      <c r="R74" s="48">
        <f>_xlfn.T.DIST.2T(R50, COUNT(raw_data!A:A) - 2)</f>
        <v>0.4608560143074204</v>
      </c>
      <c r="S74" s="48">
        <f>_xlfn.T.DIST.2T(S50, COUNT(raw_data!A:A) - 2)</f>
        <v>8.1201994708422973E-2</v>
      </c>
      <c r="T74" s="48">
        <f>_xlfn.T.DIST.2T(T50, COUNT(raw_data!A:A) - 2)</f>
        <v>5.2227286169775594E-2</v>
      </c>
      <c r="U74" s="48">
        <f>_xlfn.T.DIST.2T(U50, COUNT(raw_data!A:A) - 2)</f>
        <v>5.5582686181969085E-4</v>
      </c>
      <c r="V74" s="49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3" priority="1" operator="lessThan">
      <formula>0.01</formula>
    </cfRule>
    <cfRule type="cellIs" dxfId="2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2020-06-13T02:53:14Z</dcterms:modified>
</cp:coreProperties>
</file>