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defaultThemeVersion="124226"/>
  <xr:revisionPtr revIDLastSave="0" documentId="13_ncr:1_{53B205FB-04DE-4CD3-AC04-BAF2FFA5991E}" xr6:coauthVersionLast="47" xr6:coauthVersionMax="47" xr10:uidLastSave="{00000000-0000-0000-0000-000000000000}"/>
  <bookViews>
    <workbookView xWindow="880" yWindow="-110" windowWidth="18430" windowHeight="11020" xr2:uid="{00000000-000D-0000-FFFF-FFFF00000000}"/>
  </bookViews>
  <sheets>
    <sheet name="Intro" sheetId="8" r:id="rId1"/>
    <sheet name="raw_data" sheetId="1" r:id="rId2"/>
    <sheet name="coded_data" sheetId="2" r:id="rId3"/>
    <sheet name="processed_data" sheetId="3" r:id="rId4"/>
    <sheet name="survey_answers" sheetId="6" r:id="rId5"/>
    <sheet name="summary" sheetId="5" r:id="rId6"/>
    <sheet name="correlation" sheetId="9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</workbook>
</file>

<file path=xl/calcChain.xml><?xml version="1.0" encoding="utf-8"?>
<calcChain xmlns="http://schemas.openxmlformats.org/spreadsheetml/2006/main">
  <c r="B7" i="8" l="1"/>
  <c r="CB5" i="2"/>
  <c r="CB6" i="2"/>
  <c r="CB7" i="2"/>
  <c r="CB8" i="2"/>
  <c r="CB9" i="2"/>
  <c r="CB10" i="2"/>
  <c r="CB11" i="2"/>
  <c r="CB12" i="2"/>
  <c r="CB13" i="2"/>
  <c r="CB4" i="2"/>
  <c r="C5" i="2"/>
  <c r="C6" i="2"/>
  <c r="C7" i="2"/>
  <c r="C8" i="2"/>
  <c r="C9" i="2"/>
  <c r="C10" i="2"/>
  <c r="C11" i="2"/>
  <c r="C12" i="2"/>
  <c r="C13" i="2"/>
  <c r="C4" i="2"/>
  <c r="E5" i="2"/>
  <c r="E6" i="2"/>
  <c r="E7" i="2"/>
  <c r="E8" i="2"/>
  <c r="E9" i="2"/>
  <c r="E10" i="2"/>
  <c r="E11" i="2"/>
  <c r="E12" i="2"/>
  <c r="E13" i="2"/>
  <c r="E4" i="2"/>
  <c r="D5" i="2" l="1"/>
  <c r="D6" i="2"/>
  <c r="D7" i="2"/>
  <c r="D8" i="2"/>
  <c r="D9" i="2"/>
  <c r="D10" i="2"/>
  <c r="D11" i="2"/>
  <c r="D12" i="2"/>
  <c r="D13" i="2"/>
  <c r="D4" i="2"/>
  <c r="FA5" i="2" l="1"/>
  <c r="FB5" i="2"/>
  <c r="FC5" i="2"/>
  <c r="FA6" i="2"/>
  <c r="FB6" i="2"/>
  <c r="FC6" i="2"/>
  <c r="FA7" i="2"/>
  <c r="FB7" i="2"/>
  <c r="FC7" i="2"/>
  <c r="FA8" i="2"/>
  <c r="FB8" i="2"/>
  <c r="FC8" i="2"/>
  <c r="FA9" i="2"/>
  <c r="FB9" i="2"/>
  <c r="FC9" i="2"/>
  <c r="FA10" i="2"/>
  <c r="FB10" i="2"/>
  <c r="FC10" i="2"/>
  <c r="FA11" i="2"/>
  <c r="FB11" i="2"/>
  <c r="FC11" i="2"/>
  <c r="FA12" i="2"/>
  <c r="FB12" i="2"/>
  <c r="FC12" i="2"/>
  <c r="FA13" i="2"/>
  <c r="FB13" i="2"/>
  <c r="FC13" i="2"/>
  <c r="FB4" i="2"/>
  <c r="FC4" i="2"/>
  <c r="FA4" i="2"/>
  <c r="EY5" i="2"/>
  <c r="EZ5" i="2"/>
  <c r="EY6" i="2"/>
  <c r="EZ6" i="2"/>
  <c r="EY7" i="2"/>
  <c r="EZ7" i="2"/>
  <c r="EY8" i="2"/>
  <c r="EZ8" i="2"/>
  <c r="EY9" i="2"/>
  <c r="EZ9" i="2"/>
  <c r="EY10" i="2"/>
  <c r="EZ10" i="2"/>
  <c r="EY11" i="2"/>
  <c r="EZ11" i="2"/>
  <c r="EY12" i="2"/>
  <c r="EZ12" i="2"/>
  <c r="EY13" i="2"/>
  <c r="EZ13" i="2"/>
  <c r="EZ4" i="2"/>
  <c r="EY4" i="2"/>
  <c r="ER5" i="2"/>
  <c r="ES5" i="2"/>
  <c r="ET5" i="2"/>
  <c r="ER6" i="2"/>
  <c r="ES6" i="2"/>
  <c r="ET6" i="2"/>
  <c r="ER7" i="2"/>
  <c r="ES7" i="2"/>
  <c r="ET7" i="2"/>
  <c r="ER8" i="2"/>
  <c r="ES8" i="2"/>
  <c r="ET8" i="2"/>
  <c r="ER9" i="2"/>
  <c r="ES9" i="2"/>
  <c r="ET9" i="2"/>
  <c r="ER10" i="2"/>
  <c r="ES10" i="2"/>
  <c r="ET10" i="2"/>
  <c r="ER11" i="2"/>
  <c r="ES11" i="2"/>
  <c r="ET11" i="2"/>
  <c r="ER12" i="2"/>
  <c r="ES12" i="2"/>
  <c r="ET12" i="2"/>
  <c r="ER13" i="2"/>
  <c r="ES13" i="2"/>
  <c r="ET13" i="2"/>
  <c r="ES4" i="2"/>
  <c r="ET4" i="2"/>
  <c r="ER4" i="2"/>
  <c r="EN5" i="2"/>
  <c r="EO5" i="2"/>
  <c r="EP5" i="2"/>
  <c r="EN6" i="2"/>
  <c r="EO6" i="2"/>
  <c r="EP6" i="2"/>
  <c r="EN7" i="2"/>
  <c r="EO7" i="2"/>
  <c r="EP7" i="2"/>
  <c r="EN8" i="2"/>
  <c r="EO8" i="2"/>
  <c r="EP8" i="2"/>
  <c r="EN9" i="2"/>
  <c r="EO9" i="2"/>
  <c r="EP9" i="2"/>
  <c r="EN10" i="2"/>
  <c r="EO10" i="2"/>
  <c r="EP10" i="2"/>
  <c r="EN11" i="2"/>
  <c r="EO11" i="2"/>
  <c r="EP11" i="2"/>
  <c r="EN12" i="2"/>
  <c r="EO12" i="2"/>
  <c r="EP12" i="2"/>
  <c r="EN13" i="2"/>
  <c r="EO13" i="2"/>
  <c r="EP13" i="2"/>
  <c r="EO4" i="2"/>
  <c r="EP4" i="2"/>
  <c r="EN4" i="2"/>
  <c r="EK5" i="2"/>
  <c r="EL5" i="2"/>
  <c r="EK6" i="2"/>
  <c r="EL6" i="2"/>
  <c r="EK7" i="2"/>
  <c r="EL7" i="2"/>
  <c r="EK8" i="2"/>
  <c r="EL8" i="2"/>
  <c r="EK9" i="2"/>
  <c r="EL9" i="2"/>
  <c r="EK10" i="2"/>
  <c r="EL10" i="2"/>
  <c r="EK11" i="2"/>
  <c r="EL11" i="2"/>
  <c r="EK12" i="2"/>
  <c r="EL12" i="2"/>
  <c r="EK13" i="2"/>
  <c r="EL13" i="2"/>
  <c r="EL4" i="2"/>
  <c r="EK4" i="2"/>
  <c r="EH5" i="2"/>
  <c r="EI5" i="2"/>
  <c r="EH6" i="2"/>
  <c r="EI6" i="2"/>
  <c r="EH7" i="2"/>
  <c r="EI7" i="2"/>
  <c r="EH8" i="2"/>
  <c r="EI8" i="2"/>
  <c r="EH9" i="2"/>
  <c r="EI9" i="2"/>
  <c r="EH10" i="2"/>
  <c r="EI10" i="2"/>
  <c r="EH11" i="2"/>
  <c r="EI11" i="2"/>
  <c r="EH12" i="2"/>
  <c r="EI12" i="2"/>
  <c r="EH13" i="2"/>
  <c r="EI13" i="2"/>
  <c r="EI4" i="2"/>
  <c r="EH4" i="2"/>
  <c r="EF4" i="2"/>
  <c r="EF5" i="2"/>
  <c r="EF6" i="2"/>
  <c r="EF7" i="2"/>
  <c r="EF8" i="2"/>
  <c r="EF9" i="2"/>
  <c r="EF10" i="2"/>
  <c r="EF11" i="2"/>
  <c r="EF12" i="2"/>
  <c r="EF13" i="2"/>
  <c r="EE5" i="2"/>
  <c r="EE6" i="2"/>
  <c r="EE7" i="2"/>
  <c r="EE8" i="2"/>
  <c r="EE9" i="2"/>
  <c r="EE10" i="2"/>
  <c r="EE11" i="2"/>
  <c r="EE12" i="2"/>
  <c r="EE13" i="2"/>
  <c r="EE4" i="2"/>
  <c r="AP6" i="6" l="1"/>
  <c r="AQ6" i="6" s="1"/>
  <c r="DN4" i="2"/>
  <c r="BS5" i="2"/>
  <c r="BT5" i="2"/>
  <c r="BU5" i="2"/>
  <c r="BV5" i="2"/>
  <c r="BW5" i="2"/>
  <c r="BX5" i="2"/>
  <c r="BS6" i="2"/>
  <c r="BT6" i="2"/>
  <c r="BU6" i="2"/>
  <c r="BV6" i="2"/>
  <c r="BW6" i="2"/>
  <c r="BX6" i="2"/>
  <c r="BS7" i="2"/>
  <c r="BT7" i="2"/>
  <c r="BU7" i="2"/>
  <c r="BV7" i="2"/>
  <c r="BW7" i="2"/>
  <c r="BX7" i="2"/>
  <c r="BS8" i="2"/>
  <c r="BT8" i="2"/>
  <c r="BU8" i="2"/>
  <c r="BV8" i="2"/>
  <c r="BW8" i="2"/>
  <c r="BX8" i="2"/>
  <c r="BS9" i="2"/>
  <c r="BT9" i="2"/>
  <c r="BU9" i="2"/>
  <c r="BV9" i="2"/>
  <c r="BW9" i="2"/>
  <c r="BX9" i="2"/>
  <c r="BS10" i="2"/>
  <c r="BT10" i="2"/>
  <c r="BU10" i="2"/>
  <c r="BV10" i="2"/>
  <c r="BW10" i="2"/>
  <c r="BX10" i="2"/>
  <c r="BS11" i="2"/>
  <c r="BT11" i="2"/>
  <c r="BU11" i="2"/>
  <c r="BV11" i="2"/>
  <c r="BW11" i="2"/>
  <c r="BX11" i="2"/>
  <c r="BS12" i="2"/>
  <c r="BT12" i="2"/>
  <c r="BU12" i="2"/>
  <c r="BV12" i="2"/>
  <c r="BW12" i="2"/>
  <c r="BX12" i="2"/>
  <c r="BS13" i="2"/>
  <c r="BT13" i="2"/>
  <c r="BU13" i="2"/>
  <c r="BV13" i="2"/>
  <c r="BW13" i="2"/>
  <c r="BX13" i="2"/>
  <c r="BT4" i="2"/>
  <c r="BU4" i="2"/>
  <c r="BV4" i="2"/>
  <c r="BW4" i="2"/>
  <c r="BX4" i="2"/>
  <c r="BS4" i="2"/>
  <c r="AO5" i="2" l="1"/>
  <c r="AN5" i="2"/>
  <c r="AN6" i="2"/>
  <c r="AN7" i="2"/>
  <c r="AN8" i="2"/>
  <c r="AN9" i="2"/>
  <c r="AN10" i="2"/>
  <c r="AN11" i="2"/>
  <c r="AN12" i="2"/>
  <c r="AN13" i="2"/>
  <c r="AN4" i="2"/>
  <c r="AC5" i="2"/>
  <c r="AC6" i="2"/>
  <c r="AC7" i="2"/>
  <c r="AC8" i="2"/>
  <c r="AC9" i="2"/>
  <c r="AC10" i="2"/>
  <c r="AC11" i="2"/>
  <c r="AC12" i="2"/>
  <c r="AC13" i="2"/>
  <c r="AC4" i="2"/>
  <c r="Z5" i="2" l="1"/>
  <c r="AA5" i="2"/>
  <c r="AB5" i="2"/>
  <c r="Z6" i="2"/>
  <c r="AA6" i="2"/>
  <c r="AB6" i="2"/>
  <c r="Z7" i="2"/>
  <c r="AA7" i="2"/>
  <c r="AB7" i="2"/>
  <c r="Z8" i="2"/>
  <c r="AA8" i="2"/>
  <c r="AB8" i="2"/>
  <c r="Z9" i="2"/>
  <c r="AA9" i="2"/>
  <c r="AB9" i="2"/>
  <c r="Z10" i="2"/>
  <c r="AA10" i="2"/>
  <c r="AB10" i="2"/>
  <c r="Z11" i="2"/>
  <c r="AA11" i="2"/>
  <c r="AB11" i="2"/>
  <c r="Z12" i="2"/>
  <c r="AA12" i="2"/>
  <c r="AB12" i="2"/>
  <c r="Z13" i="2"/>
  <c r="AA13" i="2"/>
  <c r="AB13" i="2"/>
  <c r="AA4" i="2"/>
  <c r="AB4" i="2"/>
  <c r="Z4" i="2"/>
  <c r="X5" i="2"/>
  <c r="X6" i="2"/>
  <c r="X7" i="2"/>
  <c r="X8" i="2"/>
  <c r="X9" i="2"/>
  <c r="X10" i="2"/>
  <c r="X11" i="2"/>
  <c r="X12" i="2"/>
  <c r="X13" i="2"/>
  <c r="X4" i="2"/>
  <c r="N12" i="2"/>
  <c r="O4" i="2"/>
  <c r="O5" i="2"/>
  <c r="O6" i="2"/>
  <c r="O7" i="2"/>
  <c r="O8" i="2"/>
  <c r="O9" i="2"/>
  <c r="O10" i="2"/>
  <c r="O11" i="2"/>
  <c r="O12" i="2"/>
  <c r="O13" i="2"/>
  <c r="N4" i="2"/>
  <c r="N5" i="2"/>
  <c r="N6" i="2"/>
  <c r="N7" i="2"/>
  <c r="N8" i="2"/>
  <c r="N9" i="2"/>
  <c r="N10" i="2"/>
  <c r="N11" i="2"/>
  <c r="N13" i="2"/>
  <c r="M5" i="2"/>
  <c r="M6" i="2"/>
  <c r="M7" i="2"/>
  <c r="M8" i="2"/>
  <c r="M9" i="2"/>
  <c r="M10" i="2"/>
  <c r="M11" i="2"/>
  <c r="M12" i="2"/>
  <c r="M13" i="2"/>
  <c r="M4" i="2"/>
  <c r="L5" i="2"/>
  <c r="L6" i="2"/>
  <c r="L7" i="2"/>
  <c r="L8" i="2"/>
  <c r="L9" i="2"/>
  <c r="L10" i="2"/>
  <c r="L11" i="2"/>
  <c r="L12" i="2"/>
  <c r="L13" i="2"/>
  <c r="L4" i="2"/>
  <c r="FW5" i="2" l="1"/>
  <c r="FX5" i="2"/>
  <c r="FY5" i="2"/>
  <c r="FW6" i="2"/>
  <c r="FX6" i="2"/>
  <c r="FY6" i="2"/>
  <c r="FW7" i="2"/>
  <c r="FX7" i="2"/>
  <c r="FY7" i="2"/>
  <c r="FW8" i="2"/>
  <c r="FX8" i="2"/>
  <c r="FY8" i="2"/>
  <c r="FW9" i="2"/>
  <c r="FX9" i="2"/>
  <c r="FY9" i="2"/>
  <c r="FW10" i="2"/>
  <c r="FX10" i="2"/>
  <c r="FY10" i="2"/>
  <c r="FW11" i="2"/>
  <c r="FX11" i="2"/>
  <c r="FY11" i="2"/>
  <c r="FW12" i="2"/>
  <c r="FX12" i="2"/>
  <c r="FY12" i="2"/>
  <c r="FW13" i="2"/>
  <c r="FX13" i="2"/>
  <c r="FY13" i="2"/>
  <c r="FX4" i="2"/>
  <c r="FY4" i="2"/>
  <c r="BI14" i="6" s="1"/>
  <c r="FW4" i="2"/>
  <c r="BG14" i="6" l="1"/>
  <c r="BH14" i="6"/>
  <c r="FJ5" i="2"/>
  <c r="FK5" i="2"/>
  <c r="FL5" i="2"/>
  <c r="FJ6" i="2"/>
  <c r="FK6" i="2"/>
  <c r="FL6" i="2"/>
  <c r="FJ7" i="2"/>
  <c r="FK7" i="2"/>
  <c r="FL7" i="2"/>
  <c r="FJ8" i="2"/>
  <c r="FK8" i="2"/>
  <c r="FL8" i="2"/>
  <c r="FJ9" i="2"/>
  <c r="FK9" i="2"/>
  <c r="FL9" i="2"/>
  <c r="FJ10" i="2"/>
  <c r="FK10" i="2"/>
  <c r="FL10" i="2"/>
  <c r="FJ11" i="2"/>
  <c r="FK11" i="2"/>
  <c r="FL11" i="2"/>
  <c r="FJ12" i="2"/>
  <c r="FK12" i="2"/>
  <c r="FL12" i="2"/>
  <c r="FJ13" i="2"/>
  <c r="FK13" i="2"/>
  <c r="FL13" i="2"/>
  <c r="FK4" i="2"/>
  <c r="FL4" i="2"/>
  <c r="FJ4" i="2"/>
  <c r="FD5" i="2"/>
  <c r="FE5" i="2"/>
  <c r="FF5" i="2"/>
  <c r="FD6" i="2"/>
  <c r="FE6" i="2"/>
  <c r="FF6" i="2"/>
  <c r="FD7" i="2"/>
  <c r="FE7" i="2"/>
  <c r="FF7" i="2"/>
  <c r="FD8" i="2"/>
  <c r="FE8" i="2"/>
  <c r="FF8" i="2"/>
  <c r="FD9" i="2"/>
  <c r="FE9" i="2"/>
  <c r="FF9" i="2"/>
  <c r="FD10" i="2"/>
  <c r="FE10" i="2"/>
  <c r="FF10" i="2"/>
  <c r="FD11" i="2"/>
  <c r="FE11" i="2"/>
  <c r="FF11" i="2"/>
  <c r="FD12" i="2"/>
  <c r="FE12" i="2"/>
  <c r="FF12" i="2"/>
  <c r="FD13" i="2"/>
  <c r="FE13" i="2"/>
  <c r="FF13" i="2"/>
  <c r="FE4" i="2"/>
  <c r="FF4" i="2"/>
  <c r="FD4" i="2"/>
  <c r="AW11" i="6" l="1"/>
  <c r="BA11" i="6"/>
  <c r="AV11" i="6"/>
  <c r="AZ11" i="6"/>
  <c r="AY11" i="6"/>
  <c r="AX11" i="6"/>
  <c r="M8" i="5"/>
  <c r="K35" i="5"/>
  <c r="D15" i="5" l="1"/>
  <c r="BI6" i="6" l="1"/>
  <c r="BI7" i="6"/>
  <c r="BI8" i="6"/>
  <c r="BI9" i="6"/>
  <c r="BI10" i="6"/>
  <c r="BI11" i="6"/>
  <c r="BI12" i="6"/>
  <c r="BI13" i="6"/>
  <c r="BI5" i="6"/>
  <c r="BH6" i="6"/>
  <c r="BH7" i="6"/>
  <c r="BH8" i="6"/>
  <c r="BH9" i="6"/>
  <c r="BH10" i="6"/>
  <c r="BH11" i="6"/>
  <c r="BH12" i="6"/>
  <c r="BH13" i="6"/>
  <c r="BH5" i="6"/>
  <c r="BG6" i="6"/>
  <c r="BG7" i="6"/>
  <c r="BG8" i="6"/>
  <c r="BG9" i="6"/>
  <c r="BG10" i="6"/>
  <c r="BG11" i="6"/>
  <c r="BG12" i="6"/>
  <c r="BG13" i="6"/>
  <c r="BG5" i="6"/>
  <c r="BD15" i="6"/>
  <c r="BD14" i="6"/>
  <c r="BD13" i="6"/>
  <c r="BD12" i="6"/>
  <c r="BD11" i="6"/>
  <c r="BD10" i="6"/>
  <c r="BD5" i="6"/>
  <c r="BD6" i="6"/>
  <c r="BD7" i="6"/>
  <c r="BD8" i="6"/>
  <c r="BD4" i="6"/>
  <c r="B1" i="5"/>
  <c r="BA17" i="6" l="1"/>
  <c r="BA18" i="6"/>
  <c r="BA19" i="6"/>
  <c r="AZ17" i="6"/>
  <c r="AZ18" i="6"/>
  <c r="AZ19" i="6"/>
  <c r="BA16" i="6"/>
  <c r="AZ16" i="6"/>
  <c r="AY17" i="6"/>
  <c r="AY18" i="6"/>
  <c r="AY19" i="6"/>
  <c r="AY16" i="6"/>
  <c r="AX17" i="6"/>
  <c r="AX18" i="6"/>
  <c r="AX19" i="6"/>
  <c r="AW17" i="6"/>
  <c r="AW18" i="6"/>
  <c r="AW19" i="6"/>
  <c r="AX16" i="6"/>
  <c r="AW16" i="6"/>
  <c r="AV17" i="6"/>
  <c r="AV18" i="6"/>
  <c r="AV19" i="6"/>
  <c r="AV16" i="6"/>
  <c r="BA7" i="6"/>
  <c r="BA8" i="6"/>
  <c r="BA9" i="6"/>
  <c r="BA10" i="6"/>
  <c r="BA12" i="6"/>
  <c r="BA6" i="6"/>
  <c r="AZ7" i="6"/>
  <c r="AZ8" i="6"/>
  <c r="AZ9" i="6"/>
  <c r="AZ10" i="6"/>
  <c r="AZ12" i="6"/>
  <c r="AZ6" i="6"/>
  <c r="AY7" i="6"/>
  <c r="AY8" i="6"/>
  <c r="AY9" i="6"/>
  <c r="AY10" i="6"/>
  <c r="AY12" i="6"/>
  <c r="AY6" i="6"/>
  <c r="AX7" i="6" l="1"/>
  <c r="AX8" i="6"/>
  <c r="AX9" i="6"/>
  <c r="AX10" i="6"/>
  <c r="AX12" i="6"/>
  <c r="AX6" i="6"/>
  <c r="AW7" i="6"/>
  <c r="AW8" i="6"/>
  <c r="AW9" i="6"/>
  <c r="AW10" i="6"/>
  <c r="AW12" i="6"/>
  <c r="AW6" i="6"/>
  <c r="AV7" i="6"/>
  <c r="AV8" i="6"/>
  <c r="AV9" i="6"/>
  <c r="AV10" i="6"/>
  <c r="AV12" i="6"/>
  <c r="AV6" i="6"/>
  <c r="AV4" i="2" l="1"/>
  <c r="AW4" i="2"/>
  <c r="AX4" i="2"/>
  <c r="AY4" i="2"/>
  <c r="AZ4" i="2"/>
  <c r="BA4" i="2"/>
  <c r="BB4" i="2"/>
  <c r="BC4" i="2"/>
  <c r="BD4" i="2"/>
  <c r="BE4" i="2"/>
  <c r="BF4" i="2"/>
  <c r="AV5" i="2"/>
  <c r="AW5" i="2"/>
  <c r="AX5" i="2"/>
  <c r="AY5" i="2"/>
  <c r="AZ5" i="2"/>
  <c r="BA5" i="2"/>
  <c r="BB5" i="2"/>
  <c r="BC5" i="2"/>
  <c r="BD5" i="2"/>
  <c r="BE5" i="2"/>
  <c r="BF5" i="2"/>
  <c r="AV6" i="2"/>
  <c r="AW6" i="2"/>
  <c r="AX6" i="2"/>
  <c r="AY6" i="2"/>
  <c r="AZ6" i="2"/>
  <c r="BA6" i="2"/>
  <c r="BB6" i="2"/>
  <c r="BC6" i="2"/>
  <c r="BD6" i="2"/>
  <c r="BE6" i="2"/>
  <c r="BF6" i="2"/>
  <c r="AV7" i="2"/>
  <c r="AW7" i="2"/>
  <c r="AX7" i="2"/>
  <c r="AY7" i="2"/>
  <c r="AZ7" i="2"/>
  <c r="BA7" i="2"/>
  <c r="BB7" i="2"/>
  <c r="BC7" i="2"/>
  <c r="BD7" i="2"/>
  <c r="BE7" i="2"/>
  <c r="BF7" i="2"/>
  <c r="AV8" i="2"/>
  <c r="AW8" i="2"/>
  <c r="AX8" i="2"/>
  <c r="AY8" i="2"/>
  <c r="AZ8" i="2"/>
  <c r="BA8" i="2"/>
  <c r="BB8" i="2"/>
  <c r="BC8" i="2"/>
  <c r="BD8" i="2"/>
  <c r="BE8" i="2"/>
  <c r="BF8" i="2"/>
  <c r="AV9" i="2"/>
  <c r="AW9" i="2"/>
  <c r="AX9" i="2"/>
  <c r="AY9" i="2"/>
  <c r="AZ9" i="2"/>
  <c r="BA9" i="2"/>
  <c r="BB9" i="2"/>
  <c r="BC9" i="2"/>
  <c r="BD9" i="2"/>
  <c r="BE9" i="2"/>
  <c r="BF9" i="2"/>
  <c r="AV10" i="2"/>
  <c r="AW10" i="2"/>
  <c r="AX10" i="2"/>
  <c r="AY10" i="2"/>
  <c r="AZ10" i="2"/>
  <c r="BA10" i="2"/>
  <c r="BB10" i="2"/>
  <c r="BC10" i="2"/>
  <c r="BD10" i="2"/>
  <c r="BE10" i="2"/>
  <c r="BF10" i="2"/>
  <c r="AV11" i="2"/>
  <c r="AW11" i="2"/>
  <c r="AX11" i="2"/>
  <c r="AY11" i="2"/>
  <c r="AZ11" i="2"/>
  <c r="BA11" i="2"/>
  <c r="BB11" i="2"/>
  <c r="BC11" i="2"/>
  <c r="BD11" i="2"/>
  <c r="BE11" i="2"/>
  <c r="BF11" i="2"/>
  <c r="AV12" i="2"/>
  <c r="AW12" i="2"/>
  <c r="AX12" i="2"/>
  <c r="AY12" i="2"/>
  <c r="AZ12" i="2"/>
  <c r="BA12" i="2"/>
  <c r="BB12" i="2"/>
  <c r="BC12" i="2"/>
  <c r="BD12" i="2"/>
  <c r="BE12" i="2"/>
  <c r="BF12" i="2"/>
  <c r="AV13" i="2"/>
  <c r="AW13" i="2"/>
  <c r="AX13" i="2"/>
  <c r="AY13" i="2"/>
  <c r="AZ13" i="2"/>
  <c r="BA13" i="2"/>
  <c r="BB13" i="2"/>
  <c r="BC13" i="2"/>
  <c r="BD13" i="2"/>
  <c r="BE13" i="2"/>
  <c r="BF13" i="2"/>
  <c r="AU5" i="2"/>
  <c r="AU6" i="2"/>
  <c r="AU7" i="2"/>
  <c r="AU8" i="2"/>
  <c r="AU9" i="2"/>
  <c r="AU10" i="2"/>
  <c r="AU11" i="2"/>
  <c r="AU12" i="2"/>
  <c r="AU13" i="2"/>
  <c r="AU4" i="2"/>
  <c r="BR5" i="2"/>
  <c r="BR6" i="2"/>
  <c r="BR7" i="2"/>
  <c r="BR8" i="2"/>
  <c r="BR9" i="2"/>
  <c r="BR10" i="2"/>
  <c r="BR11" i="2"/>
  <c r="BR12" i="2"/>
  <c r="BR13" i="2"/>
  <c r="BR4" i="2"/>
  <c r="AA5" i="3" l="1"/>
  <c r="AC5" i="3" s="1"/>
  <c r="AB5" i="3" s="1"/>
  <c r="Q11" i="6"/>
  <c r="R17" i="6"/>
  <c r="T15" i="6"/>
  <c r="T9" i="6"/>
  <c r="Q9" i="6"/>
  <c r="S14" i="6"/>
  <c r="P13" i="6"/>
  <c r="AA8" i="3"/>
  <c r="AC8" i="3" s="1"/>
  <c r="AB8" i="3" s="1"/>
  <c r="AA4" i="3"/>
  <c r="AC4" i="3" s="1"/>
  <c r="AB4" i="3" s="1"/>
  <c r="AA13" i="3"/>
  <c r="AC13" i="3" s="1"/>
  <c r="AB13" i="3" s="1"/>
  <c r="AA12" i="3"/>
  <c r="AC12" i="3" s="1"/>
  <c r="AB12" i="3" s="1"/>
  <c r="P11" i="6"/>
  <c r="R14" i="6"/>
  <c r="U17" i="6"/>
  <c r="V17" i="6" s="1"/>
  <c r="X17" i="6" s="1"/>
  <c r="W17" i="6" s="1"/>
  <c r="S9" i="6"/>
  <c r="U13" i="6"/>
  <c r="V13" i="6" s="1"/>
  <c r="X13" i="6" s="1"/>
  <c r="W13" i="6" s="1"/>
  <c r="P15" i="6"/>
  <c r="AA11" i="3"/>
  <c r="AC11" i="3" s="1"/>
  <c r="AB11" i="3" s="1"/>
  <c r="AA10" i="3"/>
  <c r="AC10" i="3" s="1"/>
  <c r="AB10" i="3" s="1"/>
  <c r="U9" i="6"/>
  <c r="V9" i="6" s="1"/>
  <c r="X9" i="6" s="1"/>
  <c r="W9" i="6" s="1"/>
  <c r="T11" i="6"/>
  <c r="S10" i="6"/>
  <c r="U8" i="6"/>
  <c r="V8" i="6" s="1"/>
  <c r="X8" i="6" s="1"/>
  <c r="W8" i="6" s="1"/>
  <c r="S12" i="6"/>
  <c r="U15" i="6"/>
  <c r="V15" i="6" s="1"/>
  <c r="X15" i="6" s="1"/>
  <c r="W15" i="6" s="1"/>
  <c r="U7" i="6"/>
  <c r="V7" i="6" s="1"/>
  <c r="X7" i="6" s="1"/>
  <c r="W7" i="6" s="1"/>
  <c r="P6" i="6"/>
  <c r="AA7" i="3"/>
  <c r="AC7" i="3" s="1"/>
  <c r="AB7" i="3" s="1"/>
  <c r="S13" i="6"/>
  <c r="T16" i="6"/>
  <c r="P7" i="6"/>
  <c r="Q13" i="6"/>
  <c r="R10" i="6"/>
  <c r="S8" i="6"/>
  <c r="R8" i="6"/>
  <c r="U11" i="6"/>
  <c r="V11" i="6" s="1"/>
  <c r="X11" i="6" s="1"/>
  <c r="W11" i="6" s="1"/>
  <c r="P9" i="6"/>
  <c r="Q15" i="6"/>
  <c r="R12" i="6"/>
  <c r="T6" i="6"/>
  <c r="S6" i="6"/>
  <c r="S11" i="6"/>
  <c r="U14" i="6"/>
  <c r="V14" i="6" s="1"/>
  <c r="X14" i="6" s="1"/>
  <c r="W14" i="6" s="1"/>
  <c r="T7" i="6"/>
  <c r="AA9" i="3"/>
  <c r="AC9" i="3" s="1"/>
  <c r="AB9" i="3" s="1"/>
  <c r="U12" i="6"/>
  <c r="V12" i="6" s="1"/>
  <c r="X12" i="6" s="1"/>
  <c r="W12" i="6" s="1"/>
  <c r="U6" i="6"/>
  <c r="V6" i="6" s="1"/>
  <c r="X6" i="6" s="1"/>
  <c r="W6" i="6" s="1"/>
  <c r="Q7" i="6"/>
  <c r="T13" i="6"/>
  <c r="S15" i="6"/>
  <c r="S7" i="6"/>
  <c r="U10" i="6"/>
  <c r="V10" i="6" s="1"/>
  <c r="X10" i="6" s="1"/>
  <c r="W10" i="6" s="1"/>
  <c r="AA6" i="3"/>
  <c r="AC6" i="3" s="1"/>
  <c r="AB6" i="3" s="1"/>
  <c r="T17" i="6"/>
  <c r="S17" i="6"/>
  <c r="R6" i="6"/>
  <c r="P8" i="6"/>
  <c r="P10" i="6"/>
  <c r="P12" i="6"/>
  <c r="P14" i="6"/>
  <c r="P17" i="6"/>
  <c r="Q8" i="6"/>
  <c r="Q10" i="6"/>
  <c r="Q12" i="6"/>
  <c r="Q14" i="6"/>
  <c r="Q17" i="6"/>
  <c r="R7" i="6"/>
  <c r="R9" i="6"/>
  <c r="R11" i="6"/>
  <c r="R13" i="6"/>
  <c r="R15" i="6"/>
  <c r="T8" i="6"/>
  <c r="T10" i="6"/>
  <c r="T12" i="6"/>
  <c r="T14" i="6"/>
  <c r="U16" i="6"/>
  <c r="V16" i="6" s="1"/>
  <c r="X16" i="6" s="1"/>
  <c r="W16" i="6" s="1"/>
  <c r="Q6" i="6"/>
  <c r="P16" i="6"/>
  <c r="Q16" i="6"/>
  <c r="R16" i="6"/>
  <c r="S16" i="6"/>
  <c r="DR4" i="2"/>
  <c r="EV5" i="2" l="1"/>
  <c r="EV6" i="2"/>
  <c r="EV7" i="2"/>
  <c r="EV8" i="2"/>
  <c r="EV9" i="2"/>
  <c r="EV10" i="2"/>
  <c r="EV11" i="2"/>
  <c r="EV12" i="2"/>
  <c r="EV13" i="2"/>
  <c r="EV4" i="2"/>
  <c r="EW5" i="2"/>
  <c r="EW6" i="2"/>
  <c r="EW7" i="2"/>
  <c r="EW8" i="2"/>
  <c r="EW9" i="2"/>
  <c r="EW10" i="2"/>
  <c r="EW11" i="2"/>
  <c r="EW12" i="2"/>
  <c r="EW13" i="2"/>
  <c r="EW4" i="2"/>
  <c r="EU5" i="2"/>
  <c r="EU6" i="2"/>
  <c r="EU7" i="2"/>
  <c r="EU8" i="2"/>
  <c r="EU9" i="2"/>
  <c r="EU10" i="2"/>
  <c r="EU11" i="2"/>
  <c r="EU12" i="2"/>
  <c r="EU13" i="2"/>
  <c r="EU4" i="2"/>
  <c r="EQ5" i="2"/>
  <c r="EQ6" i="2"/>
  <c r="EQ7" i="2"/>
  <c r="EQ8" i="2"/>
  <c r="EQ9" i="2"/>
  <c r="EQ10" i="2"/>
  <c r="EQ11" i="2"/>
  <c r="EQ12" i="2"/>
  <c r="EQ13" i="2"/>
  <c r="EQ4" i="2"/>
  <c r="EM5" i="2"/>
  <c r="EM6" i="2"/>
  <c r="EM7" i="2"/>
  <c r="EM8" i="2"/>
  <c r="EM9" i="2"/>
  <c r="EM10" i="2"/>
  <c r="EM11" i="2"/>
  <c r="EM12" i="2"/>
  <c r="EM13" i="2"/>
  <c r="EM4" i="2"/>
  <c r="EJ5" i="2"/>
  <c r="EJ6" i="2"/>
  <c r="EJ7" i="2"/>
  <c r="EJ8" i="2"/>
  <c r="EJ9" i="2"/>
  <c r="EJ10" i="2"/>
  <c r="EJ11" i="2"/>
  <c r="EJ12" i="2"/>
  <c r="EJ13" i="2"/>
  <c r="EJ4" i="2"/>
  <c r="EG5" i="2"/>
  <c r="EG6" i="2"/>
  <c r="EG7" i="2"/>
  <c r="EG8" i="2"/>
  <c r="EG9" i="2"/>
  <c r="EG10" i="2"/>
  <c r="EG11" i="2"/>
  <c r="EG12" i="2"/>
  <c r="EG13" i="2"/>
  <c r="EG4" i="2"/>
  <c r="ED5" i="2"/>
  <c r="ED6" i="2"/>
  <c r="ED7" i="2"/>
  <c r="ED8" i="2"/>
  <c r="ED9" i="2"/>
  <c r="ED10" i="2"/>
  <c r="ED11" i="2"/>
  <c r="ED12" i="2"/>
  <c r="ED13" i="2"/>
  <c r="ED4" i="2"/>
  <c r="I9" i="2"/>
  <c r="AI5" i="6" l="1"/>
  <c r="AJ5" i="6" s="1"/>
  <c r="AL5" i="6" s="1"/>
  <c r="AK5" i="6" s="1"/>
  <c r="AI10" i="6"/>
  <c r="AJ10" i="6" s="1"/>
  <c r="AL10" i="6" s="1"/>
  <c r="AK10" i="6" s="1"/>
  <c r="AI12" i="6"/>
  <c r="AJ12" i="6" s="1"/>
  <c r="AL12" i="6" s="1"/>
  <c r="AK12" i="6" s="1"/>
  <c r="BK6" i="3"/>
  <c r="BM6" i="3" s="1"/>
  <c r="BL6" i="3" s="1"/>
  <c r="BJ6" i="3"/>
  <c r="BO10" i="3"/>
  <c r="BQ10" i="3" s="1"/>
  <c r="BP10" i="3" s="1"/>
  <c r="BN10" i="3"/>
  <c r="BK12" i="3"/>
  <c r="BM12" i="3" s="1"/>
  <c r="BL12" i="3" s="1"/>
  <c r="BJ12" i="3"/>
  <c r="BO8" i="3"/>
  <c r="BQ8" i="3" s="1"/>
  <c r="BP8" i="3" s="1"/>
  <c r="BN8" i="3"/>
  <c r="AI4" i="6"/>
  <c r="AJ4" i="6" s="1"/>
  <c r="AL4" i="6" s="1"/>
  <c r="AK4" i="6" s="1"/>
  <c r="BK4" i="3"/>
  <c r="BM4" i="3" s="1"/>
  <c r="BL4" i="3" s="1"/>
  <c r="BJ4" i="3"/>
  <c r="AI7" i="6"/>
  <c r="AJ7" i="6" s="1"/>
  <c r="AL7" i="6" s="1"/>
  <c r="AK7" i="6" s="1"/>
  <c r="BS8" i="3"/>
  <c r="BU8" i="3" s="1"/>
  <c r="BT8" i="3" s="1"/>
  <c r="BR8" i="3"/>
  <c r="BK13" i="3"/>
  <c r="BM13" i="3" s="1"/>
  <c r="BL13" i="3" s="1"/>
  <c r="BJ13" i="3"/>
  <c r="BK5" i="3"/>
  <c r="BM5" i="3" s="1"/>
  <c r="BL5" i="3" s="1"/>
  <c r="BJ5" i="3"/>
  <c r="BO9" i="3"/>
  <c r="BQ9" i="3" s="1"/>
  <c r="BP9" i="3" s="1"/>
  <c r="BN9" i="3"/>
  <c r="BS7" i="3"/>
  <c r="BU7" i="3" s="1"/>
  <c r="BT7" i="3" s="1"/>
  <c r="BR7" i="3"/>
  <c r="AI14" i="6"/>
  <c r="AJ14" i="6" s="1"/>
  <c r="AL14" i="6" s="1"/>
  <c r="AK14" i="6" s="1"/>
  <c r="BS4" i="3"/>
  <c r="BU4" i="3" s="1"/>
  <c r="BT4" i="3" s="1"/>
  <c r="BR4" i="3"/>
  <c r="BK11" i="3"/>
  <c r="BM11" i="3" s="1"/>
  <c r="BL11" i="3" s="1"/>
  <c r="BJ11" i="3"/>
  <c r="BS13" i="3"/>
  <c r="BU13" i="3" s="1"/>
  <c r="BT13" i="3" s="1"/>
  <c r="BR13" i="3"/>
  <c r="BK10" i="3"/>
  <c r="BM10" i="3" s="1"/>
  <c r="BL10" i="3" s="1"/>
  <c r="BJ10" i="3"/>
  <c r="AI8" i="6"/>
  <c r="AJ8" i="6" s="1"/>
  <c r="AL8" i="6" s="1"/>
  <c r="AK8" i="6" s="1"/>
  <c r="BO4" i="3"/>
  <c r="BQ4" i="3" s="1"/>
  <c r="BP4" i="3" s="1"/>
  <c r="BN4" i="3"/>
  <c r="BO6" i="3"/>
  <c r="BQ6" i="3" s="1"/>
  <c r="BP6" i="3" s="1"/>
  <c r="BN6" i="3"/>
  <c r="AI11" i="6"/>
  <c r="AJ11" i="6" s="1"/>
  <c r="AL11" i="6" s="1"/>
  <c r="AK11" i="6" s="1"/>
  <c r="AI13" i="6"/>
  <c r="AJ13" i="6" s="1"/>
  <c r="AL13" i="6" s="1"/>
  <c r="AK13" i="6" s="1"/>
  <c r="BS12" i="3"/>
  <c r="BU12" i="3" s="1"/>
  <c r="BT12" i="3" s="1"/>
  <c r="BR12" i="3"/>
  <c r="AI16" i="6"/>
  <c r="AJ16" i="6" s="1"/>
  <c r="AL16" i="6" s="1"/>
  <c r="AK16" i="6" s="1"/>
  <c r="BO7" i="3"/>
  <c r="BQ7" i="3" s="1"/>
  <c r="BP7" i="3" s="1"/>
  <c r="BN7" i="3"/>
  <c r="BK9" i="3"/>
  <c r="BM9" i="3" s="1"/>
  <c r="BL9" i="3" s="1"/>
  <c r="BJ9" i="3"/>
  <c r="BO13" i="3"/>
  <c r="BQ13" i="3" s="1"/>
  <c r="BP13" i="3" s="1"/>
  <c r="BN13" i="3"/>
  <c r="BO5" i="3"/>
  <c r="BQ5" i="3" s="1"/>
  <c r="BP5" i="3" s="1"/>
  <c r="BN5" i="3"/>
  <c r="BS11" i="3"/>
  <c r="BU11" i="3" s="1"/>
  <c r="BT11" i="3" s="1"/>
  <c r="BR11" i="3"/>
  <c r="BS6" i="3"/>
  <c r="BU6" i="3" s="1"/>
  <c r="BT6" i="3" s="1"/>
  <c r="BR6" i="3"/>
  <c r="BS5" i="3"/>
  <c r="BU5" i="3" s="1"/>
  <c r="BT5" i="3" s="1"/>
  <c r="BR5" i="3"/>
  <c r="AI6" i="6"/>
  <c r="AJ6" i="6" s="1"/>
  <c r="AL6" i="6" s="1"/>
  <c r="AK6" i="6" s="1"/>
  <c r="BO12" i="3"/>
  <c r="BQ12" i="3" s="1"/>
  <c r="BP12" i="3" s="1"/>
  <c r="BN12" i="3"/>
  <c r="AI9" i="6"/>
  <c r="AJ9" i="6" s="1"/>
  <c r="AL9" i="6" s="1"/>
  <c r="AK9" i="6" s="1"/>
  <c r="BS10" i="3"/>
  <c r="BU10" i="3" s="1"/>
  <c r="BT10" i="3" s="1"/>
  <c r="BR10" i="3"/>
  <c r="AI15" i="6"/>
  <c r="AJ15" i="6" s="1"/>
  <c r="AL15" i="6" s="1"/>
  <c r="AK15" i="6" s="1"/>
  <c r="BK8" i="3"/>
  <c r="BM8" i="3" s="1"/>
  <c r="BL8" i="3" s="1"/>
  <c r="BJ8" i="3"/>
  <c r="BK7" i="3"/>
  <c r="BM7" i="3" s="1"/>
  <c r="BL7" i="3" s="1"/>
  <c r="BJ7" i="3"/>
  <c r="BO11" i="3"/>
  <c r="BQ11" i="3" s="1"/>
  <c r="BP11" i="3" s="1"/>
  <c r="BN11" i="3"/>
  <c r="BS9" i="3"/>
  <c r="BU9" i="3" s="1"/>
  <c r="BT9" i="3" s="1"/>
  <c r="BR9" i="3"/>
  <c r="EX5" i="2"/>
  <c r="BV5" i="3" s="1"/>
  <c r="EX6" i="2"/>
  <c r="BV6" i="3" s="1"/>
  <c r="EX7" i="2"/>
  <c r="BV7" i="3" s="1"/>
  <c r="EX8" i="2"/>
  <c r="EX9" i="2"/>
  <c r="BV9" i="3" s="1"/>
  <c r="EX10" i="2"/>
  <c r="BV10" i="3" s="1"/>
  <c r="EX11" i="2"/>
  <c r="BV11" i="3" s="1"/>
  <c r="EX12" i="2"/>
  <c r="BV12" i="3" s="1"/>
  <c r="EX13" i="2"/>
  <c r="BV13" i="3" s="1"/>
  <c r="EX4" i="2"/>
  <c r="BV4" i="3" s="1"/>
  <c r="FV5" i="2"/>
  <c r="FV6" i="2"/>
  <c r="FV7" i="2"/>
  <c r="FV8" i="2"/>
  <c r="FV9" i="2"/>
  <c r="FV10" i="2"/>
  <c r="FV11" i="2"/>
  <c r="FV12" i="2"/>
  <c r="FV13" i="2"/>
  <c r="FV4" i="2"/>
  <c r="FR4" i="2"/>
  <c r="FS4" i="2"/>
  <c r="FT4" i="2"/>
  <c r="FU4" i="2"/>
  <c r="FR5" i="2"/>
  <c r="FS5" i="2"/>
  <c r="FT5" i="2"/>
  <c r="FU5" i="2"/>
  <c r="FR6" i="2"/>
  <c r="FS6" i="2"/>
  <c r="FT6" i="2"/>
  <c r="FU6" i="2"/>
  <c r="FR7" i="2"/>
  <c r="FS7" i="2"/>
  <c r="FT7" i="2"/>
  <c r="FU7" i="2"/>
  <c r="FR8" i="2"/>
  <c r="FS8" i="2"/>
  <c r="FT8" i="2"/>
  <c r="FU8" i="2"/>
  <c r="FR9" i="2"/>
  <c r="FS9" i="2"/>
  <c r="FT9" i="2"/>
  <c r="FU9" i="2"/>
  <c r="FR10" i="2"/>
  <c r="FS10" i="2"/>
  <c r="FT10" i="2"/>
  <c r="FU10" i="2"/>
  <c r="FR11" i="2"/>
  <c r="FS11" i="2"/>
  <c r="FT11" i="2"/>
  <c r="FU11" i="2"/>
  <c r="FR12" i="2"/>
  <c r="FS12" i="2"/>
  <c r="FT12" i="2"/>
  <c r="FU12" i="2"/>
  <c r="FR13" i="2"/>
  <c r="FS13" i="2"/>
  <c r="FT13" i="2"/>
  <c r="FU13" i="2"/>
  <c r="FQ5" i="2"/>
  <c r="FQ6" i="2"/>
  <c r="FQ7" i="2"/>
  <c r="FQ8" i="2"/>
  <c r="FQ9" i="2"/>
  <c r="FQ10" i="2"/>
  <c r="FQ11" i="2"/>
  <c r="FQ12" i="2"/>
  <c r="FQ13" i="2"/>
  <c r="FQ4" i="2"/>
  <c r="FP5" i="2"/>
  <c r="FP6" i="2"/>
  <c r="FP7" i="2"/>
  <c r="FP8" i="2"/>
  <c r="FP9" i="2"/>
  <c r="FP10" i="2"/>
  <c r="FP11" i="2"/>
  <c r="FP12" i="2"/>
  <c r="FP13" i="2"/>
  <c r="FP4" i="2"/>
  <c r="FM5" i="2"/>
  <c r="FN5" i="2"/>
  <c r="FO5" i="2"/>
  <c r="FM6" i="2"/>
  <c r="FN6" i="2"/>
  <c r="FO6" i="2"/>
  <c r="FM7" i="2"/>
  <c r="FN7" i="2"/>
  <c r="FO7" i="2"/>
  <c r="FM8" i="2"/>
  <c r="FN8" i="2"/>
  <c r="FO8" i="2"/>
  <c r="FM9" i="2"/>
  <c r="FN9" i="2"/>
  <c r="FO9" i="2"/>
  <c r="FM10" i="2"/>
  <c r="FN10" i="2"/>
  <c r="FO10" i="2"/>
  <c r="FM11" i="2"/>
  <c r="FN11" i="2"/>
  <c r="FO11" i="2"/>
  <c r="FM12" i="2"/>
  <c r="FN12" i="2"/>
  <c r="FO12" i="2"/>
  <c r="FM13" i="2"/>
  <c r="FN13" i="2"/>
  <c r="FO13" i="2"/>
  <c r="FN4" i="2"/>
  <c r="FO4" i="2"/>
  <c r="FM4" i="2"/>
  <c r="FH4" i="2"/>
  <c r="FI4" i="2"/>
  <c r="FH5" i="2"/>
  <c r="FI5" i="2"/>
  <c r="FH6" i="2"/>
  <c r="FI6" i="2"/>
  <c r="FH7" i="2"/>
  <c r="FI7" i="2"/>
  <c r="FH8" i="2"/>
  <c r="FI8" i="2"/>
  <c r="FH9" i="2"/>
  <c r="FI9" i="2"/>
  <c r="FH10" i="2"/>
  <c r="FI10" i="2"/>
  <c r="FH11" i="2"/>
  <c r="FI11" i="2"/>
  <c r="FH12" i="2"/>
  <c r="FI12" i="2"/>
  <c r="FH13" i="2"/>
  <c r="FI13" i="2"/>
  <c r="FG5" i="2"/>
  <c r="FG6" i="2"/>
  <c r="FG7" i="2"/>
  <c r="FG8" i="2"/>
  <c r="FG9" i="2"/>
  <c r="FG10" i="2"/>
  <c r="FG11" i="2"/>
  <c r="FG12" i="2"/>
  <c r="FG13" i="2"/>
  <c r="FG4" i="2"/>
  <c r="AP5" i="6" l="1"/>
  <c r="AQ5" i="6" s="1"/>
  <c r="AS5" i="6" s="1"/>
  <c r="AR5" i="6" s="1"/>
  <c r="BV8" i="3"/>
  <c r="M31" i="5"/>
  <c r="G31" i="5"/>
  <c r="F31" i="5"/>
  <c r="M29" i="5"/>
  <c r="G29" i="5"/>
  <c r="F29" i="5"/>
  <c r="M30" i="5"/>
  <c r="G30" i="5"/>
  <c r="F30" i="5"/>
  <c r="R23" i="9"/>
  <c r="Q23" i="9"/>
  <c r="Q22" i="9"/>
  <c r="BW10" i="3"/>
  <c r="BY10" i="3" s="1"/>
  <c r="BX10" i="3" s="1"/>
  <c r="H29" i="5"/>
  <c r="I29" i="5" s="1"/>
  <c r="J29" i="5" s="1"/>
  <c r="K29" i="5" s="1"/>
  <c r="D29" i="5"/>
  <c r="E29" i="5"/>
  <c r="C29" i="5"/>
  <c r="E31" i="5"/>
  <c r="H31" i="5"/>
  <c r="I31" i="5" s="1"/>
  <c r="J31" i="5" s="1"/>
  <c r="K31" i="5" s="1"/>
  <c r="D31" i="5"/>
  <c r="C31" i="5"/>
  <c r="BW8" i="3"/>
  <c r="BY8" i="3" s="1"/>
  <c r="BX8" i="3" s="1"/>
  <c r="BW12" i="3"/>
  <c r="BY12" i="3" s="1"/>
  <c r="BX12" i="3" s="1"/>
  <c r="BW9" i="3"/>
  <c r="BY9" i="3" s="1"/>
  <c r="BX9" i="3" s="1"/>
  <c r="BW7" i="3"/>
  <c r="BY7" i="3" s="1"/>
  <c r="BX7" i="3" s="1"/>
  <c r="AP4" i="6"/>
  <c r="AQ4" i="6" s="1"/>
  <c r="AS4" i="6" s="1"/>
  <c r="AR4" i="6" s="1"/>
  <c r="BW4" i="3"/>
  <c r="BY4" i="3" s="1"/>
  <c r="BX4" i="3" s="1"/>
  <c r="BW6" i="3"/>
  <c r="BY6" i="3" s="1"/>
  <c r="BX6" i="3" s="1"/>
  <c r="BW13" i="3"/>
  <c r="BY13" i="3" s="1"/>
  <c r="BX13" i="3" s="1"/>
  <c r="BW5" i="3"/>
  <c r="BY5" i="3" s="1"/>
  <c r="BX5" i="3" s="1"/>
  <c r="H30" i="5"/>
  <c r="I30" i="5" s="1"/>
  <c r="J30" i="5" s="1"/>
  <c r="K30" i="5" s="1"/>
  <c r="D30" i="5"/>
  <c r="E30" i="5"/>
  <c r="C30" i="5"/>
  <c r="BW11" i="3"/>
  <c r="BY11" i="3" s="1"/>
  <c r="BX11" i="3" s="1"/>
  <c r="AS6" i="6"/>
  <c r="AR6" i="6" s="1"/>
  <c r="EC5" i="2"/>
  <c r="EC6" i="2"/>
  <c r="EC7" i="2"/>
  <c r="EC8" i="2"/>
  <c r="EC9" i="2"/>
  <c r="EC10" i="2"/>
  <c r="EC11" i="2"/>
  <c r="EC12" i="2"/>
  <c r="EC13" i="2"/>
  <c r="EC4" i="2"/>
  <c r="EB5" i="2"/>
  <c r="EB6" i="2"/>
  <c r="EB7" i="2"/>
  <c r="EB8" i="2"/>
  <c r="EB9" i="2"/>
  <c r="EB10" i="2"/>
  <c r="EB11" i="2"/>
  <c r="EB12" i="2"/>
  <c r="EB13" i="2"/>
  <c r="EB4" i="2"/>
  <c r="EA5" i="2"/>
  <c r="EA6" i="2"/>
  <c r="EA7" i="2"/>
  <c r="EA8" i="2"/>
  <c r="EA9" i="2"/>
  <c r="EA10" i="2"/>
  <c r="EA11" i="2"/>
  <c r="EA12" i="2"/>
  <c r="EA13" i="2"/>
  <c r="EA4" i="2"/>
  <c r="DZ5" i="2"/>
  <c r="DZ6" i="2"/>
  <c r="DZ7" i="2"/>
  <c r="DZ8" i="2"/>
  <c r="DZ9" i="2"/>
  <c r="DZ10" i="2"/>
  <c r="DZ11" i="2"/>
  <c r="DZ12" i="2"/>
  <c r="DZ13" i="2"/>
  <c r="DZ4" i="2"/>
  <c r="DY5" i="2"/>
  <c r="DY6" i="2"/>
  <c r="DY7" i="2"/>
  <c r="DY8" i="2"/>
  <c r="DY9" i="2"/>
  <c r="DY10" i="2"/>
  <c r="DY11" i="2"/>
  <c r="DY12" i="2"/>
  <c r="DY13" i="2"/>
  <c r="DY4" i="2"/>
  <c r="DX5" i="2"/>
  <c r="DX6" i="2"/>
  <c r="DX7" i="2"/>
  <c r="DX8" i="2"/>
  <c r="DX9" i="2"/>
  <c r="DX10" i="2"/>
  <c r="DX11" i="2"/>
  <c r="DX12" i="2"/>
  <c r="DX13" i="2"/>
  <c r="DX4" i="2"/>
  <c r="DW5" i="2"/>
  <c r="DW6" i="2"/>
  <c r="DW7" i="2"/>
  <c r="DW8" i="2"/>
  <c r="DW9" i="2"/>
  <c r="DW10" i="2"/>
  <c r="DW11" i="2"/>
  <c r="DW12" i="2"/>
  <c r="DW13" i="2"/>
  <c r="DW4" i="2"/>
  <c r="DV5" i="2"/>
  <c r="DV6" i="2"/>
  <c r="DV7" i="2"/>
  <c r="DV8" i="2"/>
  <c r="DV9" i="2"/>
  <c r="DV10" i="2"/>
  <c r="DV11" i="2"/>
  <c r="DV12" i="2"/>
  <c r="DV13" i="2"/>
  <c r="DV4" i="2"/>
  <c r="DU5" i="2"/>
  <c r="DU6" i="2"/>
  <c r="DU7" i="2"/>
  <c r="DU8" i="2"/>
  <c r="DU9" i="2"/>
  <c r="DU10" i="2"/>
  <c r="DU11" i="2"/>
  <c r="DU12" i="2"/>
  <c r="DU13" i="2"/>
  <c r="DU4" i="2"/>
  <c r="DT5" i="2"/>
  <c r="DT6" i="2"/>
  <c r="DT7" i="2"/>
  <c r="DT8" i="2"/>
  <c r="DT9" i="2"/>
  <c r="DT10" i="2"/>
  <c r="DT11" i="2"/>
  <c r="DT12" i="2"/>
  <c r="DT13" i="2"/>
  <c r="DT4" i="2"/>
  <c r="DR5" i="2"/>
  <c r="DS5" i="2"/>
  <c r="DR6" i="2"/>
  <c r="DS6" i="2"/>
  <c r="DR7" i="2"/>
  <c r="DS7" i="2"/>
  <c r="DR8" i="2"/>
  <c r="DS8" i="2"/>
  <c r="DR9" i="2"/>
  <c r="DS9" i="2"/>
  <c r="DR10" i="2"/>
  <c r="DS10" i="2"/>
  <c r="DR11" i="2"/>
  <c r="DS11" i="2"/>
  <c r="DR12" i="2"/>
  <c r="DS12" i="2"/>
  <c r="DR13" i="2"/>
  <c r="DS13" i="2"/>
  <c r="DS4" i="2"/>
  <c r="DO5" i="2"/>
  <c r="DP5" i="2"/>
  <c r="DQ5" i="2"/>
  <c r="DO6" i="2"/>
  <c r="DP6" i="2"/>
  <c r="DQ6" i="2"/>
  <c r="DO7" i="2"/>
  <c r="DP7" i="2"/>
  <c r="DQ7" i="2"/>
  <c r="DO8" i="2"/>
  <c r="DP8" i="2"/>
  <c r="DQ8" i="2"/>
  <c r="DO9" i="2"/>
  <c r="DP9" i="2"/>
  <c r="DQ9" i="2"/>
  <c r="DO10" i="2"/>
  <c r="DP10" i="2"/>
  <c r="DQ10" i="2"/>
  <c r="DO11" i="2"/>
  <c r="DP11" i="2"/>
  <c r="DQ11" i="2"/>
  <c r="DO12" i="2"/>
  <c r="DP12" i="2"/>
  <c r="DQ12" i="2"/>
  <c r="DO13" i="2"/>
  <c r="DP13" i="2"/>
  <c r="DQ13" i="2"/>
  <c r="DP4" i="2"/>
  <c r="DQ4" i="2"/>
  <c r="DO4" i="2"/>
  <c r="DN5" i="2"/>
  <c r="DN6" i="2"/>
  <c r="DN7" i="2"/>
  <c r="DN8" i="2"/>
  <c r="DN9" i="2"/>
  <c r="DN10" i="2"/>
  <c r="DN11" i="2"/>
  <c r="DN12" i="2"/>
  <c r="DN13" i="2"/>
  <c r="DL5" i="2"/>
  <c r="DM5" i="2"/>
  <c r="DL6" i="2"/>
  <c r="DM6" i="2"/>
  <c r="DL7" i="2"/>
  <c r="DM7" i="2"/>
  <c r="DL8" i="2"/>
  <c r="DM8" i="2"/>
  <c r="DL9" i="2"/>
  <c r="DM9" i="2"/>
  <c r="DL10" i="2"/>
  <c r="DM10" i="2"/>
  <c r="DL11" i="2"/>
  <c r="DM11" i="2"/>
  <c r="DL12" i="2"/>
  <c r="DM12" i="2"/>
  <c r="DL13" i="2"/>
  <c r="DM13" i="2"/>
  <c r="DM4" i="2"/>
  <c r="DL4" i="2"/>
  <c r="DI5" i="2"/>
  <c r="DJ5" i="2"/>
  <c r="DK5" i="2"/>
  <c r="DI6" i="2"/>
  <c r="DJ6" i="2"/>
  <c r="DK6" i="2"/>
  <c r="DI7" i="2"/>
  <c r="DJ7" i="2"/>
  <c r="DK7" i="2"/>
  <c r="DI8" i="2"/>
  <c r="DJ8" i="2"/>
  <c r="DK8" i="2"/>
  <c r="DI9" i="2"/>
  <c r="DJ9" i="2"/>
  <c r="DK9" i="2"/>
  <c r="DI10" i="2"/>
  <c r="DJ10" i="2"/>
  <c r="DK10" i="2"/>
  <c r="DI11" i="2"/>
  <c r="DJ11" i="2"/>
  <c r="DK11" i="2"/>
  <c r="DI12" i="2"/>
  <c r="DJ12" i="2"/>
  <c r="DK12" i="2"/>
  <c r="DI13" i="2"/>
  <c r="DJ13" i="2"/>
  <c r="DK13" i="2"/>
  <c r="DJ4" i="2"/>
  <c r="DK4" i="2"/>
  <c r="DI4" i="2"/>
  <c r="Q44" i="9" l="1"/>
  <c r="Q66" i="9" s="1"/>
  <c r="Q45" i="9"/>
  <c r="Q67" i="9" s="1"/>
  <c r="R67" i="9"/>
  <c r="R45" i="9"/>
  <c r="L31" i="5"/>
  <c r="S24" i="9"/>
  <c r="Q24" i="9"/>
  <c r="R24" i="9"/>
  <c r="M35" i="5"/>
  <c r="G35" i="5"/>
  <c r="F35" i="5"/>
  <c r="L30" i="5"/>
  <c r="L29" i="5"/>
  <c r="AY7" i="3"/>
  <c r="BA7" i="3" s="1"/>
  <c r="AZ7" i="3" s="1"/>
  <c r="AX7" i="3"/>
  <c r="AY5" i="3"/>
  <c r="BA5" i="3" s="1"/>
  <c r="AZ5" i="3" s="1"/>
  <c r="AX5" i="3"/>
  <c r="AY13" i="3"/>
  <c r="BA13" i="3" s="1"/>
  <c r="AZ13" i="3" s="1"/>
  <c r="AX13" i="3"/>
  <c r="BC8" i="3"/>
  <c r="BE8" i="3" s="1"/>
  <c r="BD8" i="3" s="1"/>
  <c r="BB8" i="3"/>
  <c r="AB19" i="6"/>
  <c r="AC19" i="6" s="1"/>
  <c r="AE19" i="6" s="1"/>
  <c r="AD19" i="6" s="1"/>
  <c r="BG8" i="3"/>
  <c r="BI8" i="3" s="1"/>
  <c r="BH8" i="3" s="1"/>
  <c r="BF8" i="3"/>
  <c r="AY10" i="3"/>
  <c r="BA10" i="3" s="1"/>
  <c r="AZ10" i="3" s="1"/>
  <c r="AX10" i="3"/>
  <c r="BC7" i="3"/>
  <c r="BE7" i="3" s="1"/>
  <c r="BD7" i="3" s="1"/>
  <c r="BB7" i="3"/>
  <c r="BG7" i="3"/>
  <c r="BI7" i="3" s="1"/>
  <c r="BH7" i="3" s="1"/>
  <c r="BF7" i="3"/>
  <c r="BC13" i="3"/>
  <c r="BE13" i="3" s="1"/>
  <c r="BD13" i="3" s="1"/>
  <c r="BB13" i="3"/>
  <c r="BC12" i="3"/>
  <c r="BE12" i="3" s="1"/>
  <c r="BD12" i="3" s="1"/>
  <c r="BB12" i="3"/>
  <c r="BG12" i="3"/>
  <c r="BI12" i="3" s="1"/>
  <c r="BH12" i="3" s="1"/>
  <c r="BF12" i="3"/>
  <c r="BC6" i="3"/>
  <c r="BE6" i="3" s="1"/>
  <c r="BD6" i="3" s="1"/>
  <c r="BB6" i="3"/>
  <c r="BG6" i="3"/>
  <c r="BI6" i="3" s="1"/>
  <c r="BH6" i="3" s="1"/>
  <c r="BF6" i="3"/>
  <c r="BG5" i="3"/>
  <c r="BI5" i="3" s="1"/>
  <c r="BH5" i="3" s="1"/>
  <c r="BF5" i="3"/>
  <c r="AY9" i="3"/>
  <c r="BA9" i="3" s="1"/>
  <c r="AZ9" i="3" s="1"/>
  <c r="AX9" i="3"/>
  <c r="AY6" i="3"/>
  <c r="BA6" i="3" s="1"/>
  <c r="AZ6" i="3" s="1"/>
  <c r="AX6" i="3"/>
  <c r="BC11" i="3"/>
  <c r="BE11" i="3" s="1"/>
  <c r="BD11" i="3" s="1"/>
  <c r="BB11" i="3"/>
  <c r="BG11" i="3"/>
  <c r="BI11" i="3" s="1"/>
  <c r="BH11" i="3" s="1"/>
  <c r="BF11" i="3"/>
  <c r="AB20" i="6"/>
  <c r="AC20" i="6" s="1"/>
  <c r="AE20" i="6" s="1"/>
  <c r="AD20" i="6" s="1"/>
  <c r="BG4" i="3"/>
  <c r="BI4" i="3" s="1"/>
  <c r="BH4" i="3" s="1"/>
  <c r="BF4" i="3"/>
  <c r="AY4" i="3"/>
  <c r="BA4" i="3" s="1"/>
  <c r="AZ4" i="3" s="1"/>
  <c r="AB15" i="6"/>
  <c r="AC15" i="6" s="1"/>
  <c r="AE15" i="6" s="1"/>
  <c r="AD15" i="6" s="1"/>
  <c r="AX4" i="3"/>
  <c r="AY11" i="3"/>
  <c r="BA11" i="3" s="1"/>
  <c r="AZ11" i="3" s="1"/>
  <c r="AX11" i="3"/>
  <c r="BC10" i="3"/>
  <c r="BE10" i="3" s="1"/>
  <c r="BD10" i="3" s="1"/>
  <c r="BB10" i="3"/>
  <c r="AB18" i="6"/>
  <c r="AC18" i="6" s="1"/>
  <c r="AE18" i="6" s="1"/>
  <c r="AD18" i="6" s="1"/>
  <c r="BG10" i="3"/>
  <c r="BI10" i="3" s="1"/>
  <c r="BH10" i="3" s="1"/>
  <c r="BF10" i="3"/>
  <c r="H35" i="5"/>
  <c r="I35" i="5" s="1"/>
  <c r="D35" i="5"/>
  <c r="E35" i="5"/>
  <c r="C35" i="5"/>
  <c r="BC4" i="3"/>
  <c r="BE4" i="3" s="1"/>
  <c r="BD4" i="3" s="1"/>
  <c r="AB17" i="6"/>
  <c r="AC17" i="6" s="1"/>
  <c r="AE17" i="6" s="1"/>
  <c r="AD17" i="6" s="1"/>
  <c r="BB4" i="3"/>
  <c r="AY12" i="3"/>
  <c r="BA12" i="3" s="1"/>
  <c r="AZ12" i="3" s="1"/>
  <c r="AX12" i="3"/>
  <c r="BC5" i="3"/>
  <c r="BE5" i="3" s="1"/>
  <c r="BD5" i="3" s="1"/>
  <c r="BB5" i="3"/>
  <c r="BG13" i="3"/>
  <c r="BI13" i="3" s="1"/>
  <c r="BH13" i="3" s="1"/>
  <c r="BF13" i="3"/>
  <c r="AY8" i="3"/>
  <c r="BA8" i="3" s="1"/>
  <c r="AZ8" i="3" s="1"/>
  <c r="AX8" i="3"/>
  <c r="AB16" i="6"/>
  <c r="AC16" i="6" s="1"/>
  <c r="AE16" i="6" s="1"/>
  <c r="AD16" i="6" s="1"/>
  <c r="BC9" i="3"/>
  <c r="BE9" i="3" s="1"/>
  <c r="BD9" i="3" s="1"/>
  <c r="BB9" i="3"/>
  <c r="BG9" i="3"/>
  <c r="BI9" i="3" s="1"/>
  <c r="BH9" i="3" s="1"/>
  <c r="BF9" i="3"/>
  <c r="DH5" i="2"/>
  <c r="DH6" i="2"/>
  <c r="DH7" i="2"/>
  <c r="DH8" i="2"/>
  <c r="DH9" i="2"/>
  <c r="DH10" i="2"/>
  <c r="DH11" i="2"/>
  <c r="DH12" i="2"/>
  <c r="DH13" i="2"/>
  <c r="DH4" i="2"/>
  <c r="DE4" i="2"/>
  <c r="DF4" i="2"/>
  <c r="DG4" i="2"/>
  <c r="DE5" i="2"/>
  <c r="DF5" i="2"/>
  <c r="DG5" i="2"/>
  <c r="DE6" i="2"/>
  <c r="DF6" i="2"/>
  <c r="DG6" i="2"/>
  <c r="DE7" i="2"/>
  <c r="DF7" i="2"/>
  <c r="DG7" i="2"/>
  <c r="DE8" i="2"/>
  <c r="DF8" i="2"/>
  <c r="DG8" i="2"/>
  <c r="DE9" i="2"/>
  <c r="DF9" i="2"/>
  <c r="DG9" i="2"/>
  <c r="DE10" i="2"/>
  <c r="DF10" i="2"/>
  <c r="DG10" i="2"/>
  <c r="DE11" i="2"/>
  <c r="DF11" i="2"/>
  <c r="DG11" i="2"/>
  <c r="DE12" i="2"/>
  <c r="DF12" i="2"/>
  <c r="DG12" i="2"/>
  <c r="DE13" i="2"/>
  <c r="DF13" i="2"/>
  <c r="DG13" i="2"/>
  <c r="DD5" i="2"/>
  <c r="DD6" i="2"/>
  <c r="DD7" i="2"/>
  <c r="DD8" i="2"/>
  <c r="DD9" i="2"/>
  <c r="DD10" i="2"/>
  <c r="DD11" i="2"/>
  <c r="DD12" i="2"/>
  <c r="DD13" i="2"/>
  <c r="DD4" i="2"/>
  <c r="DC5" i="2"/>
  <c r="DC6" i="2"/>
  <c r="DC7" i="2"/>
  <c r="DC8" i="2"/>
  <c r="DC9" i="2"/>
  <c r="DC10" i="2"/>
  <c r="DC11" i="2"/>
  <c r="DC12" i="2"/>
  <c r="DC13" i="2"/>
  <c r="DC4" i="2"/>
  <c r="DB5" i="2"/>
  <c r="DB6" i="2"/>
  <c r="DB7" i="2"/>
  <c r="DB8" i="2"/>
  <c r="DB9" i="2"/>
  <c r="DB10" i="2"/>
  <c r="DB11" i="2"/>
  <c r="DB12" i="2"/>
  <c r="DB13" i="2"/>
  <c r="DB4" i="2"/>
  <c r="DA5" i="2"/>
  <c r="DA6" i="2"/>
  <c r="DA7" i="2"/>
  <c r="DA8" i="2"/>
  <c r="DA9" i="2"/>
  <c r="DA10" i="2"/>
  <c r="DA11" i="2"/>
  <c r="DA12" i="2"/>
  <c r="DA13" i="2"/>
  <c r="DA4" i="2"/>
  <c r="CZ5" i="2"/>
  <c r="CZ6" i="2"/>
  <c r="CZ7" i="2"/>
  <c r="CZ8" i="2"/>
  <c r="CZ9" i="2"/>
  <c r="CZ10" i="2"/>
  <c r="CZ11" i="2"/>
  <c r="CZ12" i="2"/>
  <c r="CZ13" i="2"/>
  <c r="CZ4" i="2"/>
  <c r="CY4" i="2"/>
  <c r="CY5" i="2"/>
  <c r="CY6" i="2"/>
  <c r="CY7" i="2"/>
  <c r="CY8" i="2"/>
  <c r="CY9" i="2"/>
  <c r="CY10" i="2"/>
  <c r="CY11" i="2"/>
  <c r="CY12" i="2"/>
  <c r="CY13" i="2"/>
  <c r="CX5" i="2"/>
  <c r="CX6" i="2"/>
  <c r="CX7" i="2"/>
  <c r="CX8" i="2"/>
  <c r="CX9" i="2"/>
  <c r="CX10" i="2"/>
  <c r="CX11" i="2"/>
  <c r="CX12" i="2"/>
  <c r="CX13" i="2"/>
  <c r="CX4" i="2"/>
  <c r="CW5" i="2"/>
  <c r="CW6" i="2"/>
  <c r="CW7" i="2"/>
  <c r="CW8" i="2"/>
  <c r="CW9" i="2"/>
  <c r="CW10" i="2"/>
  <c r="CW11" i="2"/>
  <c r="CW12" i="2"/>
  <c r="CW13" i="2"/>
  <c r="CW4" i="2"/>
  <c r="CR4" i="2"/>
  <c r="CS4" i="2"/>
  <c r="CT4" i="2"/>
  <c r="CU4" i="2"/>
  <c r="CV4" i="2"/>
  <c r="CR5" i="2"/>
  <c r="CS5" i="2"/>
  <c r="CT5" i="2"/>
  <c r="CU5" i="2"/>
  <c r="CV5" i="2"/>
  <c r="CR6" i="2"/>
  <c r="CS6" i="2"/>
  <c r="CT6" i="2"/>
  <c r="CU6" i="2"/>
  <c r="CV6" i="2"/>
  <c r="CR7" i="2"/>
  <c r="CS7" i="2"/>
  <c r="CT7" i="2"/>
  <c r="CU7" i="2"/>
  <c r="CV7" i="2"/>
  <c r="CR8" i="2"/>
  <c r="CS8" i="2"/>
  <c r="CT8" i="2"/>
  <c r="CU8" i="2"/>
  <c r="CV8" i="2"/>
  <c r="CR9" i="2"/>
  <c r="CS9" i="2"/>
  <c r="CT9" i="2"/>
  <c r="CU9" i="2"/>
  <c r="CV9" i="2"/>
  <c r="CR10" i="2"/>
  <c r="CS10" i="2"/>
  <c r="CT10" i="2"/>
  <c r="CU10" i="2"/>
  <c r="CV10" i="2"/>
  <c r="CR11" i="2"/>
  <c r="CS11" i="2"/>
  <c r="CT11" i="2"/>
  <c r="CU11" i="2"/>
  <c r="CV11" i="2"/>
  <c r="CR12" i="2"/>
  <c r="CS12" i="2"/>
  <c r="CT12" i="2"/>
  <c r="CU12" i="2"/>
  <c r="CV12" i="2"/>
  <c r="CR13" i="2"/>
  <c r="CS13" i="2"/>
  <c r="CT13" i="2"/>
  <c r="CU13" i="2"/>
  <c r="CV13" i="2"/>
  <c r="CQ13" i="2"/>
  <c r="CQ5" i="2"/>
  <c r="CQ6" i="2"/>
  <c r="CQ7" i="2"/>
  <c r="CQ8" i="2"/>
  <c r="CQ9" i="2"/>
  <c r="CQ10" i="2"/>
  <c r="CQ11" i="2"/>
  <c r="CQ12" i="2"/>
  <c r="CQ4" i="2"/>
  <c r="CM5" i="2"/>
  <c r="CN5" i="2"/>
  <c r="CO5" i="2"/>
  <c r="CP5" i="2"/>
  <c r="CM6" i="2"/>
  <c r="CN6" i="2"/>
  <c r="CO6" i="2"/>
  <c r="CP6" i="2"/>
  <c r="CM7" i="2"/>
  <c r="CN7" i="2"/>
  <c r="CO7" i="2"/>
  <c r="CP7" i="2"/>
  <c r="CM8" i="2"/>
  <c r="CN8" i="2"/>
  <c r="CO8" i="2"/>
  <c r="CP8" i="2"/>
  <c r="CM9" i="2"/>
  <c r="CN9" i="2"/>
  <c r="CO9" i="2"/>
  <c r="CP9" i="2"/>
  <c r="CM10" i="2"/>
  <c r="CN10" i="2"/>
  <c r="CO10" i="2"/>
  <c r="CP10" i="2"/>
  <c r="CM11" i="2"/>
  <c r="CN11" i="2"/>
  <c r="CO11" i="2"/>
  <c r="CP11" i="2"/>
  <c r="CM12" i="2"/>
  <c r="CN12" i="2"/>
  <c r="CO12" i="2"/>
  <c r="CP12" i="2"/>
  <c r="CM13" i="2"/>
  <c r="CN13" i="2"/>
  <c r="CO13" i="2"/>
  <c r="CP13" i="2"/>
  <c r="CN4" i="2"/>
  <c r="CO4" i="2"/>
  <c r="CP4" i="2"/>
  <c r="CM4" i="2"/>
  <c r="CH4" i="2"/>
  <c r="CI4" i="2"/>
  <c r="CJ4" i="2"/>
  <c r="CK4" i="2"/>
  <c r="CL4" i="2"/>
  <c r="CH5" i="2"/>
  <c r="CI5" i="2"/>
  <c r="CJ5" i="2"/>
  <c r="CK5" i="2"/>
  <c r="CL5" i="2"/>
  <c r="CH6" i="2"/>
  <c r="CI6" i="2"/>
  <c r="CJ6" i="2"/>
  <c r="CK6" i="2"/>
  <c r="CL6" i="2"/>
  <c r="CH7" i="2"/>
  <c r="CI7" i="2"/>
  <c r="CJ7" i="2"/>
  <c r="CK7" i="2"/>
  <c r="CL7" i="2"/>
  <c r="CH8" i="2"/>
  <c r="CI8" i="2"/>
  <c r="CJ8" i="2"/>
  <c r="CK8" i="2"/>
  <c r="CL8" i="2"/>
  <c r="CH9" i="2"/>
  <c r="CI9" i="2"/>
  <c r="CJ9" i="2"/>
  <c r="CK9" i="2"/>
  <c r="CL9" i="2"/>
  <c r="CH10" i="2"/>
  <c r="CI10" i="2"/>
  <c r="CJ10" i="2"/>
  <c r="CK10" i="2"/>
  <c r="CL10" i="2"/>
  <c r="CH11" i="2"/>
  <c r="CI11" i="2"/>
  <c r="CJ11" i="2"/>
  <c r="CK11" i="2"/>
  <c r="CL11" i="2"/>
  <c r="CH12" i="2"/>
  <c r="CI12" i="2"/>
  <c r="CJ12" i="2"/>
  <c r="CK12" i="2"/>
  <c r="CL12" i="2"/>
  <c r="CH13" i="2"/>
  <c r="CI13" i="2"/>
  <c r="CJ13" i="2"/>
  <c r="CK13" i="2"/>
  <c r="CL13" i="2"/>
  <c r="CG5" i="2"/>
  <c r="CG6" i="2"/>
  <c r="CG7" i="2"/>
  <c r="CG8" i="2"/>
  <c r="CG9" i="2"/>
  <c r="CG10" i="2"/>
  <c r="CG11" i="2"/>
  <c r="CG12" i="2"/>
  <c r="CG13" i="2"/>
  <c r="CG4" i="2"/>
  <c r="CF4" i="2"/>
  <c r="CF5" i="2"/>
  <c r="CF6" i="2"/>
  <c r="CF7" i="2"/>
  <c r="CF8" i="2"/>
  <c r="CF9" i="2"/>
  <c r="CF10" i="2"/>
  <c r="CF11" i="2"/>
  <c r="CF12" i="2"/>
  <c r="CF13" i="2"/>
  <c r="BZ4" i="2"/>
  <c r="CA4" i="2"/>
  <c r="CC4" i="2"/>
  <c r="CD4" i="2"/>
  <c r="CE4" i="2"/>
  <c r="BZ5" i="2"/>
  <c r="CA5" i="2"/>
  <c r="CC5" i="2"/>
  <c r="CD5" i="2"/>
  <c r="CE5" i="2"/>
  <c r="BZ6" i="2"/>
  <c r="CA6" i="2"/>
  <c r="CC6" i="2"/>
  <c r="CD6" i="2"/>
  <c r="CE6" i="2"/>
  <c r="BZ7" i="2"/>
  <c r="CA7" i="2"/>
  <c r="CC7" i="2"/>
  <c r="CD7" i="2"/>
  <c r="CE7" i="2"/>
  <c r="BZ8" i="2"/>
  <c r="CA8" i="2"/>
  <c r="CC8" i="2"/>
  <c r="CD8" i="2"/>
  <c r="CE8" i="2"/>
  <c r="BZ9" i="2"/>
  <c r="CA9" i="2"/>
  <c r="CC9" i="2"/>
  <c r="CD9" i="2"/>
  <c r="CE9" i="2"/>
  <c r="BZ10" i="2"/>
  <c r="CA10" i="2"/>
  <c r="CC10" i="2"/>
  <c r="CD10" i="2"/>
  <c r="CE10" i="2"/>
  <c r="BZ11" i="2"/>
  <c r="CA11" i="2"/>
  <c r="CC11" i="2"/>
  <c r="CD11" i="2"/>
  <c r="CE11" i="2"/>
  <c r="BZ12" i="2"/>
  <c r="CA12" i="2"/>
  <c r="CC12" i="2"/>
  <c r="CD12" i="2"/>
  <c r="CE12" i="2"/>
  <c r="BZ13" i="2"/>
  <c r="CA13" i="2"/>
  <c r="CC13" i="2"/>
  <c r="CD13" i="2"/>
  <c r="CE13" i="2"/>
  <c r="BY5" i="2"/>
  <c r="BY6" i="2"/>
  <c r="BY7" i="2"/>
  <c r="BY8" i="2"/>
  <c r="BY9" i="2"/>
  <c r="BY10" i="2"/>
  <c r="BY11" i="2"/>
  <c r="BY12" i="2"/>
  <c r="BY13" i="2"/>
  <c r="BY4" i="2"/>
  <c r="S46" i="9" l="1"/>
  <c r="S68" i="9" s="1"/>
  <c r="R68" i="9"/>
  <c r="R46" i="9"/>
  <c r="Q46" i="9"/>
  <c r="Q68" i="9" s="1"/>
  <c r="AB5" i="6"/>
  <c r="AC5" i="6" s="1"/>
  <c r="AE5" i="6" s="1"/>
  <c r="AD5" i="6" s="1"/>
  <c r="AB14" i="6"/>
  <c r="AC14" i="6" s="1"/>
  <c r="AE14" i="6" s="1"/>
  <c r="AD14" i="6" s="1"/>
  <c r="L35" i="5"/>
  <c r="M20" i="5"/>
  <c r="F20" i="5"/>
  <c r="G20" i="5"/>
  <c r="G22" i="5"/>
  <c r="F22" i="5"/>
  <c r="M22" i="5"/>
  <c r="F25" i="5"/>
  <c r="M25" i="5"/>
  <c r="G25" i="5"/>
  <c r="E22" i="5"/>
  <c r="N23" i="9"/>
  <c r="N22" i="9"/>
  <c r="N21" i="9"/>
  <c r="N20" i="9"/>
  <c r="N19" i="9"/>
  <c r="N24" i="9"/>
  <c r="E25" i="5"/>
  <c r="P23" i="9"/>
  <c r="P22" i="9"/>
  <c r="P21" i="9"/>
  <c r="P24" i="9"/>
  <c r="E20" i="5"/>
  <c r="O24" i="9"/>
  <c r="O20" i="9"/>
  <c r="O23" i="9"/>
  <c r="O22" i="9"/>
  <c r="O21" i="9"/>
  <c r="AB4" i="6"/>
  <c r="AC4" i="6" s="1"/>
  <c r="AE4" i="6" s="1"/>
  <c r="AD4" i="6" s="1"/>
  <c r="AI4" i="3"/>
  <c r="AK4" i="3" s="1"/>
  <c r="AJ4" i="3" s="1"/>
  <c r="AH4" i="3"/>
  <c r="AM4" i="3"/>
  <c r="AO4" i="3" s="1"/>
  <c r="AN4" i="3" s="1"/>
  <c r="AB8" i="6"/>
  <c r="AC8" i="6" s="1"/>
  <c r="AE8" i="6" s="1"/>
  <c r="AD8" i="6" s="1"/>
  <c r="AL4" i="3"/>
  <c r="AB9" i="6"/>
  <c r="AC9" i="6" s="1"/>
  <c r="AE9" i="6" s="1"/>
  <c r="AD9" i="6" s="1"/>
  <c r="AQ4" i="3"/>
  <c r="AS4" i="3" s="1"/>
  <c r="AR4" i="3" s="1"/>
  <c r="AP4" i="3"/>
  <c r="AQ5" i="3"/>
  <c r="AS5" i="3" s="1"/>
  <c r="AR5" i="3" s="1"/>
  <c r="AP5" i="3"/>
  <c r="AB13" i="6"/>
  <c r="AC13" i="6" s="1"/>
  <c r="AE13" i="6" s="1"/>
  <c r="AD13" i="6" s="1"/>
  <c r="AU4" i="3"/>
  <c r="AW4" i="3" s="1"/>
  <c r="AV4" i="3" s="1"/>
  <c r="AT4" i="3"/>
  <c r="AU6" i="3"/>
  <c r="AW6" i="3" s="1"/>
  <c r="AV6" i="3" s="1"/>
  <c r="AT6" i="3"/>
  <c r="D20" i="5"/>
  <c r="H20" i="5"/>
  <c r="I20" i="5" s="1"/>
  <c r="J20" i="5" s="1"/>
  <c r="K20" i="5" s="1"/>
  <c r="C20" i="5"/>
  <c r="AI12" i="3"/>
  <c r="AK12" i="3" s="1"/>
  <c r="AJ12" i="3" s="1"/>
  <c r="AH12" i="3"/>
  <c r="AI8" i="3"/>
  <c r="AK8" i="3" s="1"/>
  <c r="AJ8" i="3" s="1"/>
  <c r="AH8" i="3"/>
  <c r="AQ12" i="3"/>
  <c r="AS12" i="3" s="1"/>
  <c r="AR12" i="3" s="1"/>
  <c r="AP12" i="3"/>
  <c r="AQ13" i="3"/>
  <c r="AS13" i="3" s="1"/>
  <c r="AR13" i="3" s="1"/>
  <c r="AP13" i="3"/>
  <c r="AU13" i="3"/>
  <c r="AW13" i="3" s="1"/>
  <c r="AV13" i="3" s="1"/>
  <c r="AT13" i="3"/>
  <c r="AU5" i="3"/>
  <c r="AW5" i="3" s="1"/>
  <c r="AV5" i="3" s="1"/>
  <c r="AT5" i="3"/>
  <c r="AM12" i="3"/>
  <c r="AO12" i="3" s="1"/>
  <c r="AN12" i="3" s="1"/>
  <c r="AL12" i="3"/>
  <c r="AQ10" i="3"/>
  <c r="AS10" i="3" s="1"/>
  <c r="AR10" i="3" s="1"/>
  <c r="AP10" i="3"/>
  <c r="AU11" i="3"/>
  <c r="AW11" i="3" s="1"/>
  <c r="AV11" i="3" s="1"/>
  <c r="AT11" i="3"/>
  <c r="AB6" i="6"/>
  <c r="AC6" i="6" s="1"/>
  <c r="AE6" i="6" s="1"/>
  <c r="AD6" i="6" s="1"/>
  <c r="AQ9" i="3"/>
  <c r="AS9" i="3" s="1"/>
  <c r="AR9" i="3" s="1"/>
  <c r="AP9" i="3"/>
  <c r="AU10" i="3"/>
  <c r="AW10" i="3" s="1"/>
  <c r="AV10" i="3" s="1"/>
  <c r="AT10" i="3"/>
  <c r="AQ11" i="3"/>
  <c r="AS11" i="3" s="1"/>
  <c r="AR11" i="3" s="1"/>
  <c r="AP11" i="3"/>
  <c r="D22" i="5"/>
  <c r="C22" i="5"/>
  <c r="H22" i="5"/>
  <c r="I22" i="5" s="1"/>
  <c r="J22" i="5" s="1"/>
  <c r="K22" i="5" s="1"/>
  <c r="AI13" i="3"/>
  <c r="AK13" i="3" s="1"/>
  <c r="AJ13" i="3" s="1"/>
  <c r="AH13" i="3"/>
  <c r="AI9" i="3"/>
  <c r="AK9" i="3" s="1"/>
  <c r="AJ9" i="3" s="1"/>
  <c r="AH9" i="3"/>
  <c r="AI5" i="3"/>
  <c r="AK5" i="3" s="1"/>
  <c r="AJ5" i="3" s="1"/>
  <c r="AH5" i="3"/>
  <c r="AM6" i="3"/>
  <c r="AO6" i="3" s="1"/>
  <c r="AN6" i="3" s="1"/>
  <c r="AL6" i="3"/>
  <c r="AB7" i="6"/>
  <c r="AC7" i="6" s="1"/>
  <c r="AE7" i="6" s="1"/>
  <c r="AD7" i="6" s="1"/>
  <c r="AI10" i="3"/>
  <c r="AK10" i="3" s="1"/>
  <c r="AJ10" i="3" s="1"/>
  <c r="AH10" i="3"/>
  <c r="AI6" i="3"/>
  <c r="AK6" i="3" s="1"/>
  <c r="AJ6" i="3" s="1"/>
  <c r="AH6" i="3"/>
  <c r="AQ8" i="3"/>
  <c r="AS8" i="3" s="1"/>
  <c r="AR8" i="3" s="1"/>
  <c r="AP8" i="3"/>
  <c r="AU9" i="3"/>
  <c r="AW9" i="3" s="1"/>
  <c r="AV9" i="3" s="1"/>
  <c r="AT9" i="3"/>
  <c r="H25" i="5"/>
  <c r="I25" i="5" s="1"/>
  <c r="J25" i="5" s="1"/>
  <c r="K25" i="5" s="1"/>
  <c r="C25" i="5"/>
  <c r="D25" i="5"/>
  <c r="AU12" i="3"/>
  <c r="AW12" i="3" s="1"/>
  <c r="AV12" i="3" s="1"/>
  <c r="AT12" i="3"/>
  <c r="AM8" i="3"/>
  <c r="AO8" i="3" s="1"/>
  <c r="AN8" i="3" s="1"/>
  <c r="AL8" i="3"/>
  <c r="AB10" i="6"/>
  <c r="AC10" i="6" s="1"/>
  <c r="AE10" i="6" s="1"/>
  <c r="AD10" i="6" s="1"/>
  <c r="AQ7" i="3"/>
  <c r="AS7" i="3" s="1"/>
  <c r="AR7" i="3" s="1"/>
  <c r="AP7" i="3"/>
  <c r="AB11" i="6"/>
  <c r="AC11" i="6" s="1"/>
  <c r="AE11" i="6" s="1"/>
  <c r="AD11" i="6" s="1"/>
  <c r="AB12" i="6"/>
  <c r="AC12" i="6" s="1"/>
  <c r="AE12" i="6" s="1"/>
  <c r="AD12" i="6" s="1"/>
  <c r="AU8" i="3"/>
  <c r="AW8" i="3" s="1"/>
  <c r="AV8" i="3" s="1"/>
  <c r="AT8" i="3"/>
  <c r="AM10" i="3"/>
  <c r="AO10" i="3" s="1"/>
  <c r="AN10" i="3" s="1"/>
  <c r="AL10" i="3"/>
  <c r="AI11" i="3"/>
  <c r="AK11" i="3" s="1"/>
  <c r="AJ11" i="3" s="1"/>
  <c r="AH11" i="3"/>
  <c r="AI7" i="3"/>
  <c r="AK7" i="3" s="1"/>
  <c r="AJ7" i="3" s="1"/>
  <c r="AH7" i="3"/>
  <c r="AM13" i="3"/>
  <c r="AO13" i="3" s="1"/>
  <c r="AN13" i="3" s="1"/>
  <c r="AL13" i="3"/>
  <c r="AM11" i="3"/>
  <c r="AO11" i="3" s="1"/>
  <c r="AN11" i="3" s="1"/>
  <c r="AL11" i="3"/>
  <c r="AM9" i="3"/>
  <c r="AO9" i="3" s="1"/>
  <c r="AN9" i="3" s="1"/>
  <c r="AL9" i="3"/>
  <c r="AM7" i="3"/>
  <c r="AO7" i="3" s="1"/>
  <c r="AN7" i="3" s="1"/>
  <c r="AL7" i="3"/>
  <c r="AM5" i="3"/>
  <c r="AO5" i="3" s="1"/>
  <c r="AN5" i="3" s="1"/>
  <c r="AL5" i="3"/>
  <c r="AQ6" i="3"/>
  <c r="AS6" i="3" s="1"/>
  <c r="AR6" i="3" s="1"/>
  <c r="AP6" i="3"/>
  <c r="AU7" i="3"/>
  <c r="AW7" i="3" s="1"/>
  <c r="AV7" i="3" s="1"/>
  <c r="AT7" i="3"/>
  <c r="BK4" i="2"/>
  <c r="BL4" i="2"/>
  <c r="BM4" i="2"/>
  <c r="BN4" i="2"/>
  <c r="BO4" i="2"/>
  <c r="BP4" i="2"/>
  <c r="BQ4" i="2"/>
  <c r="BK5" i="2"/>
  <c r="BL5" i="2"/>
  <c r="BM5" i="2"/>
  <c r="BN5" i="2"/>
  <c r="BO5" i="2"/>
  <c r="BP5" i="2"/>
  <c r="BQ5" i="2"/>
  <c r="BK6" i="2"/>
  <c r="BL6" i="2"/>
  <c r="BM6" i="2"/>
  <c r="BN6" i="2"/>
  <c r="BO6" i="2"/>
  <c r="BP6" i="2"/>
  <c r="BQ6" i="2"/>
  <c r="BK7" i="2"/>
  <c r="BL7" i="2"/>
  <c r="BM7" i="2"/>
  <c r="BN7" i="2"/>
  <c r="BO7" i="2"/>
  <c r="BP7" i="2"/>
  <c r="BQ7" i="2"/>
  <c r="BK8" i="2"/>
  <c r="BL8" i="2"/>
  <c r="BM8" i="2"/>
  <c r="BN8" i="2"/>
  <c r="BO8" i="2"/>
  <c r="BP8" i="2"/>
  <c r="BQ8" i="2"/>
  <c r="BK9" i="2"/>
  <c r="BL9" i="2"/>
  <c r="BM9" i="2"/>
  <c r="BN9" i="2"/>
  <c r="BO9" i="2"/>
  <c r="BP9" i="2"/>
  <c r="BQ9" i="2"/>
  <c r="BK10" i="2"/>
  <c r="BL10" i="2"/>
  <c r="BM10" i="2"/>
  <c r="BN10" i="2"/>
  <c r="BO10" i="2"/>
  <c r="BP10" i="2"/>
  <c r="BQ10" i="2"/>
  <c r="BK11" i="2"/>
  <c r="BL11" i="2"/>
  <c r="BM11" i="2"/>
  <c r="BN11" i="2"/>
  <c r="BO11" i="2"/>
  <c r="BP11" i="2"/>
  <c r="BQ11" i="2"/>
  <c r="BK12" i="2"/>
  <c r="BL12" i="2"/>
  <c r="BM12" i="2"/>
  <c r="BN12" i="2"/>
  <c r="BO12" i="2"/>
  <c r="BP12" i="2"/>
  <c r="BQ12" i="2"/>
  <c r="BK13" i="2"/>
  <c r="BL13" i="2"/>
  <c r="BM13" i="2"/>
  <c r="BN13" i="2"/>
  <c r="BO13" i="2"/>
  <c r="BP13" i="2"/>
  <c r="BQ13" i="2"/>
  <c r="BJ5" i="2"/>
  <c r="BJ6" i="2"/>
  <c r="BJ7" i="2"/>
  <c r="BJ8" i="2"/>
  <c r="BJ9" i="2"/>
  <c r="BJ10" i="2"/>
  <c r="BJ11" i="2"/>
  <c r="BJ12" i="2"/>
  <c r="BJ13" i="2"/>
  <c r="BJ4" i="2"/>
  <c r="BG13" i="2"/>
  <c r="BH13" i="2"/>
  <c r="BI13" i="2"/>
  <c r="BG5" i="2"/>
  <c r="BH5" i="2"/>
  <c r="BI5" i="2"/>
  <c r="BG6" i="2"/>
  <c r="BH6" i="2"/>
  <c r="BI6" i="2"/>
  <c r="BG7" i="2"/>
  <c r="BH7" i="2"/>
  <c r="BI7" i="2"/>
  <c r="BG8" i="2"/>
  <c r="BH8" i="2"/>
  <c r="BI8" i="2"/>
  <c r="BG9" i="2"/>
  <c r="BH9" i="2"/>
  <c r="BI9" i="2"/>
  <c r="BG10" i="2"/>
  <c r="BH10" i="2"/>
  <c r="BI10" i="2"/>
  <c r="BG11" i="2"/>
  <c r="BH11" i="2"/>
  <c r="BI11" i="2"/>
  <c r="BG12" i="2"/>
  <c r="BH12" i="2"/>
  <c r="BI12" i="2"/>
  <c r="BH4" i="2"/>
  <c r="BI4" i="2"/>
  <c r="BG4" i="2"/>
  <c r="N41" i="9" l="1"/>
  <c r="N63" i="9" s="1"/>
  <c r="O46" i="9"/>
  <c r="O68" i="9" s="1"/>
  <c r="N42" i="9"/>
  <c r="N64" i="9" s="1"/>
  <c r="O65" i="9"/>
  <c r="O43" i="9"/>
  <c r="P46" i="9"/>
  <c r="P68" i="9" s="1"/>
  <c r="N43" i="9"/>
  <c r="N65" i="9" s="1"/>
  <c r="N44" i="9"/>
  <c r="N66" i="9" s="1"/>
  <c r="N67" i="9"/>
  <c r="N45" i="9"/>
  <c r="P45" i="9"/>
  <c r="P67" i="9" s="1"/>
  <c r="O45" i="9"/>
  <c r="O67" i="9" s="1"/>
  <c r="P43" i="9"/>
  <c r="P65" i="9" s="1"/>
  <c r="P66" i="9"/>
  <c r="P44" i="9"/>
  <c r="O44" i="9"/>
  <c r="O66" i="9" s="1"/>
  <c r="O42" i="9"/>
  <c r="O64" i="9" s="1"/>
  <c r="N46" i="9"/>
  <c r="N68" i="9" s="1"/>
  <c r="AE8" i="3"/>
  <c r="AG8" i="3" s="1"/>
  <c r="AF8" i="3" s="1"/>
  <c r="M19" i="5"/>
  <c r="G19" i="5"/>
  <c r="F19" i="5"/>
  <c r="M24" i="5"/>
  <c r="G24" i="5"/>
  <c r="F24" i="5"/>
  <c r="M23" i="5"/>
  <c r="G23" i="5"/>
  <c r="F23" i="5"/>
  <c r="M21" i="5"/>
  <c r="G21" i="5"/>
  <c r="F21" i="5"/>
  <c r="L20" i="5"/>
  <c r="L22" i="5"/>
  <c r="L25" i="5"/>
  <c r="E23" i="5"/>
  <c r="K17" i="9"/>
  <c r="K16" i="9"/>
  <c r="K24" i="9"/>
  <c r="K23" i="9"/>
  <c r="K22" i="9"/>
  <c r="K20" i="9"/>
  <c r="K21" i="9"/>
  <c r="K19" i="9"/>
  <c r="K18" i="9"/>
  <c r="E19" i="5"/>
  <c r="M18" i="9"/>
  <c r="M24" i="9"/>
  <c r="M23" i="9"/>
  <c r="M22" i="9"/>
  <c r="M21" i="9"/>
  <c r="M20" i="9"/>
  <c r="M19" i="9"/>
  <c r="E24" i="5"/>
  <c r="L23" i="9"/>
  <c r="L22" i="9"/>
  <c r="L20" i="9"/>
  <c r="L21" i="9"/>
  <c r="L19" i="9"/>
  <c r="L17" i="9"/>
  <c r="L18" i="9"/>
  <c r="L24" i="9"/>
  <c r="J23" i="9"/>
  <c r="J22" i="9"/>
  <c r="J21" i="9"/>
  <c r="J20" i="9"/>
  <c r="J19" i="9"/>
  <c r="J18" i="9"/>
  <c r="J17" i="9"/>
  <c r="J16" i="9"/>
  <c r="J24" i="9"/>
  <c r="J15" i="9"/>
  <c r="S19" i="6"/>
  <c r="P19" i="6"/>
  <c r="R19" i="6"/>
  <c r="Q19" i="6"/>
  <c r="U19" i="6"/>
  <c r="V19" i="6" s="1"/>
  <c r="X19" i="6" s="1"/>
  <c r="W19" i="6" s="1"/>
  <c r="T19" i="6"/>
  <c r="AE5" i="3"/>
  <c r="AG5" i="3" s="1"/>
  <c r="AF5" i="3" s="1"/>
  <c r="T25" i="6"/>
  <c r="S25" i="6"/>
  <c r="P25" i="6"/>
  <c r="R25" i="6"/>
  <c r="U25" i="6"/>
  <c r="V25" i="6" s="1"/>
  <c r="X25" i="6" s="1"/>
  <c r="W25" i="6" s="1"/>
  <c r="Q25" i="6"/>
  <c r="AE10" i="3"/>
  <c r="AG10" i="3" s="1"/>
  <c r="AF10" i="3" s="1"/>
  <c r="AE7" i="3"/>
  <c r="AG7" i="3" s="1"/>
  <c r="AF7" i="3" s="1"/>
  <c r="AE12" i="3"/>
  <c r="AG12" i="3" s="1"/>
  <c r="AF12" i="3" s="1"/>
  <c r="AE13" i="3"/>
  <c r="AG13" i="3" s="1"/>
  <c r="AF13" i="3" s="1"/>
  <c r="Q22" i="6"/>
  <c r="T22" i="6"/>
  <c r="S22" i="6"/>
  <c r="P22" i="6"/>
  <c r="R22" i="6"/>
  <c r="U22" i="6"/>
  <c r="V22" i="6" s="1"/>
  <c r="X22" i="6" s="1"/>
  <c r="W22" i="6" s="1"/>
  <c r="S26" i="6"/>
  <c r="P26" i="6"/>
  <c r="R26" i="6"/>
  <c r="U26" i="6"/>
  <c r="V26" i="6" s="1"/>
  <c r="X26" i="6" s="1"/>
  <c r="W26" i="6" s="1"/>
  <c r="Q26" i="6"/>
  <c r="T26" i="6"/>
  <c r="C23" i="5"/>
  <c r="D23" i="5"/>
  <c r="H23" i="5"/>
  <c r="I23" i="5" s="1"/>
  <c r="J23" i="5" s="1"/>
  <c r="K23" i="5" s="1"/>
  <c r="P24" i="6"/>
  <c r="T24" i="6"/>
  <c r="S24" i="6"/>
  <c r="R24" i="6"/>
  <c r="U24" i="6"/>
  <c r="V24" i="6" s="1"/>
  <c r="X24" i="6" s="1"/>
  <c r="W24" i="6" s="1"/>
  <c r="Q24" i="6"/>
  <c r="T23" i="6"/>
  <c r="S23" i="6"/>
  <c r="P23" i="6"/>
  <c r="R23" i="6"/>
  <c r="Q23" i="6"/>
  <c r="U23" i="6"/>
  <c r="V23" i="6" s="1"/>
  <c r="X23" i="6" s="1"/>
  <c r="W23" i="6" s="1"/>
  <c r="AE9" i="3"/>
  <c r="AG9" i="3" s="1"/>
  <c r="AF9" i="3" s="1"/>
  <c r="U21" i="6"/>
  <c r="V21" i="6" s="1"/>
  <c r="X21" i="6" s="1"/>
  <c r="W21" i="6" s="1"/>
  <c r="Q21" i="6"/>
  <c r="T21" i="6"/>
  <c r="R21" i="6"/>
  <c r="S21" i="6"/>
  <c r="P21" i="6"/>
  <c r="C19" i="5"/>
  <c r="D19" i="5"/>
  <c r="H19" i="5"/>
  <c r="I19" i="5" s="1"/>
  <c r="J19" i="5" s="1"/>
  <c r="K19" i="5" s="1"/>
  <c r="C24" i="5"/>
  <c r="D24" i="5"/>
  <c r="L24" i="5" s="1"/>
  <c r="H24" i="5"/>
  <c r="I24" i="5" s="1"/>
  <c r="J24" i="5" s="1"/>
  <c r="K24" i="5" s="1"/>
  <c r="H21" i="5"/>
  <c r="I21" i="5" s="1"/>
  <c r="J21" i="5" s="1"/>
  <c r="K21" i="5" s="1"/>
  <c r="C21" i="5"/>
  <c r="D21" i="5"/>
  <c r="R20" i="6"/>
  <c r="U20" i="6"/>
  <c r="V20" i="6" s="1"/>
  <c r="X20" i="6" s="1"/>
  <c r="W20" i="6" s="1"/>
  <c r="Q20" i="6"/>
  <c r="T20" i="6"/>
  <c r="S20" i="6"/>
  <c r="P20" i="6"/>
  <c r="AE6" i="3"/>
  <c r="AG6" i="3" s="1"/>
  <c r="AF6" i="3" s="1"/>
  <c r="R28" i="6"/>
  <c r="U28" i="6"/>
  <c r="V28" i="6" s="1"/>
  <c r="X28" i="6" s="1"/>
  <c r="W28" i="6" s="1"/>
  <c r="Q28" i="6"/>
  <c r="T28" i="6"/>
  <c r="S28" i="6"/>
  <c r="P28" i="6"/>
  <c r="AE4" i="3"/>
  <c r="AG4" i="3" s="1"/>
  <c r="AF4" i="3" s="1"/>
  <c r="R18" i="6"/>
  <c r="U18" i="6"/>
  <c r="V18" i="6" s="1"/>
  <c r="X18" i="6" s="1"/>
  <c r="W18" i="6" s="1"/>
  <c r="S18" i="6"/>
  <c r="P18" i="6"/>
  <c r="Q18" i="6"/>
  <c r="T18" i="6"/>
  <c r="AE11" i="3"/>
  <c r="AG11" i="3" s="1"/>
  <c r="AF11" i="3" s="1"/>
  <c r="S27" i="6"/>
  <c r="P27" i="6"/>
  <c r="Q27" i="6"/>
  <c r="R27" i="6"/>
  <c r="U27" i="6"/>
  <c r="V27" i="6" s="1"/>
  <c r="X27" i="6" s="1"/>
  <c r="W27" i="6" s="1"/>
  <c r="T27" i="6"/>
  <c r="AD4" i="3"/>
  <c r="AD11" i="3"/>
  <c r="AD9" i="3"/>
  <c r="AD7" i="3"/>
  <c r="AD5" i="3"/>
  <c r="AD12" i="3"/>
  <c r="AD10" i="3"/>
  <c r="AD8" i="3"/>
  <c r="AD6" i="3"/>
  <c r="AD13" i="3"/>
  <c r="AT5" i="2"/>
  <c r="W5" i="3" s="1"/>
  <c r="Y5" i="3" s="1"/>
  <c r="X5" i="3" s="1"/>
  <c r="AT6" i="2"/>
  <c r="W6" i="3" s="1"/>
  <c r="Y6" i="3" s="1"/>
  <c r="X6" i="3" s="1"/>
  <c r="AT7" i="2"/>
  <c r="W7" i="3" s="1"/>
  <c r="Y7" i="3" s="1"/>
  <c r="X7" i="3" s="1"/>
  <c r="AT8" i="2"/>
  <c r="W8" i="3" s="1"/>
  <c r="Y8" i="3" s="1"/>
  <c r="X8" i="3" s="1"/>
  <c r="AT9" i="2"/>
  <c r="W9" i="3" s="1"/>
  <c r="Y9" i="3" s="1"/>
  <c r="X9" i="3" s="1"/>
  <c r="AT10" i="2"/>
  <c r="W10" i="3" s="1"/>
  <c r="Y10" i="3" s="1"/>
  <c r="X10" i="3" s="1"/>
  <c r="AT11" i="2"/>
  <c r="W11" i="3" s="1"/>
  <c r="Y11" i="3" s="1"/>
  <c r="X11" i="3" s="1"/>
  <c r="AT12" i="2"/>
  <c r="W12" i="3" s="1"/>
  <c r="Y12" i="3" s="1"/>
  <c r="X12" i="3" s="1"/>
  <c r="AT13" i="2"/>
  <c r="W13" i="3" s="1"/>
  <c r="Y13" i="3" s="1"/>
  <c r="X13" i="3" s="1"/>
  <c r="AT4" i="2"/>
  <c r="AS5" i="2"/>
  <c r="S5" i="3" s="1"/>
  <c r="U5" i="3" s="1"/>
  <c r="T5" i="3" s="1"/>
  <c r="AS6" i="2"/>
  <c r="S6" i="3" s="1"/>
  <c r="U6" i="3" s="1"/>
  <c r="T6" i="3" s="1"/>
  <c r="AS7" i="2"/>
  <c r="S7" i="3" s="1"/>
  <c r="U7" i="3" s="1"/>
  <c r="T7" i="3" s="1"/>
  <c r="AS8" i="2"/>
  <c r="S8" i="3" s="1"/>
  <c r="U8" i="3" s="1"/>
  <c r="T8" i="3" s="1"/>
  <c r="AS9" i="2"/>
  <c r="S9" i="3" s="1"/>
  <c r="U9" i="3" s="1"/>
  <c r="T9" i="3" s="1"/>
  <c r="AS10" i="2"/>
  <c r="S10" i="3" s="1"/>
  <c r="U10" i="3" s="1"/>
  <c r="T10" i="3" s="1"/>
  <c r="AS11" i="2"/>
  <c r="S11" i="3" s="1"/>
  <c r="U11" i="3" s="1"/>
  <c r="T11" i="3" s="1"/>
  <c r="AS12" i="2"/>
  <c r="S12" i="3" s="1"/>
  <c r="U12" i="3" s="1"/>
  <c r="T12" i="3" s="1"/>
  <c r="AS13" i="2"/>
  <c r="S13" i="3" s="1"/>
  <c r="U13" i="3" s="1"/>
  <c r="T13" i="3" s="1"/>
  <c r="AS4" i="2"/>
  <c r="AP5" i="2"/>
  <c r="AQ5" i="2"/>
  <c r="AR5" i="2"/>
  <c r="AO6" i="2"/>
  <c r="AP6" i="2"/>
  <c r="AQ6" i="2"/>
  <c r="AR6" i="2"/>
  <c r="AO7" i="2"/>
  <c r="AP7" i="2"/>
  <c r="AQ7" i="2"/>
  <c r="AR7" i="2"/>
  <c r="AO8" i="2"/>
  <c r="AP8" i="2"/>
  <c r="AQ8" i="2"/>
  <c r="AR8" i="2"/>
  <c r="AO9" i="2"/>
  <c r="AP9" i="2"/>
  <c r="AQ9" i="2"/>
  <c r="AR9" i="2"/>
  <c r="AO10" i="2"/>
  <c r="AP10" i="2"/>
  <c r="AQ10" i="2"/>
  <c r="AR10" i="2"/>
  <c r="AO11" i="2"/>
  <c r="AP11" i="2"/>
  <c r="AQ11" i="2"/>
  <c r="AR11" i="2"/>
  <c r="AO12" i="2"/>
  <c r="AP12" i="2"/>
  <c r="AQ12" i="2"/>
  <c r="AR12" i="2"/>
  <c r="AO13" i="2"/>
  <c r="AP13" i="2"/>
  <c r="AQ13" i="2"/>
  <c r="AR13" i="2"/>
  <c r="AP4" i="2"/>
  <c r="AQ4" i="2"/>
  <c r="AR4" i="2"/>
  <c r="AO4" i="2"/>
  <c r="B5" i="2"/>
  <c r="B6" i="2"/>
  <c r="B7" i="2"/>
  <c r="B8" i="2"/>
  <c r="B9" i="2"/>
  <c r="B10" i="2"/>
  <c r="B11" i="2"/>
  <c r="B12" i="2"/>
  <c r="B13" i="2"/>
  <c r="B4" i="2"/>
  <c r="AH5" i="2"/>
  <c r="AI5" i="2"/>
  <c r="AJ5" i="2"/>
  <c r="AK5" i="2"/>
  <c r="AL5" i="2"/>
  <c r="AM5" i="2"/>
  <c r="AH6" i="2"/>
  <c r="AI6" i="2"/>
  <c r="AJ6" i="2"/>
  <c r="AK6" i="2"/>
  <c r="AL6" i="2"/>
  <c r="AM6" i="2"/>
  <c r="AH7" i="2"/>
  <c r="AI7" i="2"/>
  <c r="AJ7" i="2"/>
  <c r="AK7" i="2"/>
  <c r="AL7" i="2"/>
  <c r="AM7" i="2"/>
  <c r="AH8" i="2"/>
  <c r="AI8" i="2"/>
  <c r="AJ8" i="2"/>
  <c r="AK8" i="2"/>
  <c r="AL8" i="2"/>
  <c r="AM8" i="2"/>
  <c r="AH9" i="2"/>
  <c r="AI9" i="2"/>
  <c r="AJ9" i="2"/>
  <c r="AK9" i="2"/>
  <c r="AL9" i="2"/>
  <c r="AM9" i="2"/>
  <c r="AH10" i="2"/>
  <c r="AI10" i="2"/>
  <c r="AJ10" i="2"/>
  <c r="AK10" i="2"/>
  <c r="AL10" i="2"/>
  <c r="AM10" i="2"/>
  <c r="AH11" i="2"/>
  <c r="AI11" i="2"/>
  <c r="AJ11" i="2"/>
  <c r="AK11" i="2"/>
  <c r="AL11" i="2"/>
  <c r="AM11" i="2"/>
  <c r="AH12" i="2"/>
  <c r="AI12" i="2"/>
  <c r="AJ12" i="2"/>
  <c r="AK12" i="2"/>
  <c r="AL12" i="2"/>
  <c r="AM12" i="2"/>
  <c r="AH13" i="2"/>
  <c r="AI13" i="2"/>
  <c r="AJ13" i="2"/>
  <c r="AK13" i="2"/>
  <c r="AL13" i="2"/>
  <c r="AM13" i="2"/>
  <c r="AI4" i="2"/>
  <c r="AJ4" i="2"/>
  <c r="AK4" i="2"/>
  <c r="AL4" i="2"/>
  <c r="AM4" i="2"/>
  <c r="AH4" i="2"/>
  <c r="AG5" i="2"/>
  <c r="AG6" i="2"/>
  <c r="AG7" i="2"/>
  <c r="AG8" i="2"/>
  <c r="AG9" i="2"/>
  <c r="AG10" i="2"/>
  <c r="AG11" i="2"/>
  <c r="AG12" i="2"/>
  <c r="AG13" i="2"/>
  <c r="AG4" i="2"/>
  <c r="AF5" i="2"/>
  <c r="AF6" i="2"/>
  <c r="AF7" i="2"/>
  <c r="AF8" i="2"/>
  <c r="AF9" i="2"/>
  <c r="AF10" i="2"/>
  <c r="AF11" i="2"/>
  <c r="AF12" i="2"/>
  <c r="AF13" i="2"/>
  <c r="AF4" i="2"/>
  <c r="J39" i="9" l="1"/>
  <c r="J61" i="9" s="1"/>
  <c r="L40" i="9"/>
  <c r="L62" i="9" s="1"/>
  <c r="M41" i="9"/>
  <c r="M63" i="9" s="1"/>
  <c r="K40" i="9"/>
  <c r="K62" i="9" s="1"/>
  <c r="K39" i="9"/>
  <c r="K61" i="9" s="1"/>
  <c r="L42" i="9"/>
  <c r="L64" i="9" s="1"/>
  <c r="M46" i="9"/>
  <c r="M68" i="9" s="1"/>
  <c r="J40" i="9"/>
  <c r="J62" i="9" s="1"/>
  <c r="L39" i="9"/>
  <c r="L61" i="9" s="1"/>
  <c r="M42" i="9"/>
  <c r="M64" i="9" s="1"/>
  <c r="K41" i="9"/>
  <c r="K63" i="9" s="1"/>
  <c r="J43" i="9"/>
  <c r="J65" i="9" s="1"/>
  <c r="L44" i="9"/>
  <c r="L66" i="9" s="1"/>
  <c r="J41" i="9"/>
  <c r="J63" i="9" s="1"/>
  <c r="L41" i="9"/>
  <c r="L63" i="9" s="1"/>
  <c r="M43" i="9"/>
  <c r="M65" i="9" s="1"/>
  <c r="K43" i="9"/>
  <c r="K65" i="9" s="1"/>
  <c r="K44" i="9"/>
  <c r="K66" i="9" s="1"/>
  <c r="J42" i="9"/>
  <c r="J64" i="9" s="1"/>
  <c r="L43" i="9"/>
  <c r="L65" i="9" s="1"/>
  <c r="M44" i="9"/>
  <c r="M66" i="9" s="1"/>
  <c r="K42" i="9"/>
  <c r="K64" i="9" s="1"/>
  <c r="K45" i="9"/>
  <c r="K67" i="9" s="1"/>
  <c r="J37" i="9"/>
  <c r="J59" i="9" s="1"/>
  <c r="J46" i="9"/>
  <c r="J68" i="9" s="1"/>
  <c r="J45" i="9"/>
  <c r="J67" i="9" s="1"/>
  <c r="L45" i="9"/>
  <c r="L67" i="9" s="1"/>
  <c r="M40" i="9"/>
  <c r="M62" i="9" s="1"/>
  <c r="K46" i="9"/>
  <c r="K68" i="9" s="1"/>
  <c r="M45" i="9"/>
  <c r="M67" i="9" s="1"/>
  <c r="J44" i="9"/>
  <c r="J66" i="9" s="1"/>
  <c r="J38" i="9"/>
  <c r="J60" i="9" s="1"/>
  <c r="L46" i="9"/>
  <c r="L68" i="9" s="1"/>
  <c r="K38" i="9"/>
  <c r="K60" i="9" s="1"/>
  <c r="I17" i="6"/>
  <c r="J17" i="6" s="1"/>
  <c r="L21" i="5"/>
  <c r="I15" i="6"/>
  <c r="J15" i="6" s="1"/>
  <c r="L15" i="6" s="1"/>
  <c r="K15" i="6" s="1"/>
  <c r="M5" i="5"/>
  <c r="F13" i="5"/>
  <c r="M13" i="5"/>
  <c r="G13" i="5"/>
  <c r="L23" i="5"/>
  <c r="L19" i="5"/>
  <c r="I20" i="9"/>
  <c r="I19" i="9"/>
  <c r="I18" i="9"/>
  <c r="I24" i="9"/>
  <c r="I17" i="9"/>
  <c r="I23" i="9"/>
  <c r="I16" i="9"/>
  <c r="I22" i="9"/>
  <c r="I15" i="9"/>
  <c r="I21" i="9"/>
  <c r="I14" i="9"/>
  <c r="I18" i="6"/>
  <c r="J18" i="6" s="1"/>
  <c r="L18" i="6" s="1"/>
  <c r="K18" i="6" s="1"/>
  <c r="P5" i="6"/>
  <c r="Q5" i="6"/>
  <c r="R5" i="6"/>
  <c r="U5" i="6"/>
  <c r="V5" i="6" s="1"/>
  <c r="X5" i="6" s="1"/>
  <c r="W5" i="6" s="1"/>
  <c r="W4" i="3"/>
  <c r="Y4" i="3" s="1"/>
  <c r="X4" i="3" s="1"/>
  <c r="S5" i="6"/>
  <c r="T5" i="6"/>
  <c r="I19" i="6"/>
  <c r="J19" i="6" s="1"/>
  <c r="L19" i="6" s="1"/>
  <c r="K19" i="6" s="1"/>
  <c r="E6" i="6"/>
  <c r="E7" i="6"/>
  <c r="E8" i="6"/>
  <c r="E10" i="6"/>
  <c r="E11" i="6"/>
  <c r="E5" i="6"/>
  <c r="E9" i="6"/>
  <c r="E4" i="6"/>
  <c r="I16" i="6"/>
  <c r="J16" i="6" s="1"/>
  <c r="L16" i="6" s="1"/>
  <c r="K16" i="6" s="1"/>
  <c r="P4" i="6"/>
  <c r="S4" i="6"/>
  <c r="T4" i="6"/>
  <c r="S4" i="3"/>
  <c r="U4" i="3" s="1"/>
  <c r="T4" i="3" s="1"/>
  <c r="R4" i="6"/>
  <c r="U4" i="6"/>
  <c r="V4" i="6" s="1"/>
  <c r="X4" i="6" s="1"/>
  <c r="W4" i="6" s="1"/>
  <c r="Q4" i="6"/>
  <c r="I21" i="6"/>
  <c r="J21" i="6" s="1"/>
  <c r="L21" i="6" s="1"/>
  <c r="K21" i="6" s="1"/>
  <c r="L17" i="6"/>
  <c r="K17" i="6" s="1"/>
  <c r="I20" i="6"/>
  <c r="J20" i="6" s="1"/>
  <c r="L20" i="6" s="1"/>
  <c r="K20" i="6" s="1"/>
  <c r="D13" i="5"/>
  <c r="H13" i="5"/>
  <c r="I13" i="5" s="1"/>
  <c r="J13" i="5" s="1"/>
  <c r="K13" i="5" s="1"/>
  <c r="E13" i="5"/>
  <c r="C13" i="5"/>
  <c r="E21" i="5"/>
  <c r="R4" i="3"/>
  <c r="R12" i="3"/>
  <c r="R10" i="3"/>
  <c r="R8" i="3"/>
  <c r="R6" i="3"/>
  <c r="V4" i="3"/>
  <c r="V12" i="3"/>
  <c r="V10" i="3"/>
  <c r="V8" i="3"/>
  <c r="V6" i="3"/>
  <c r="Z4" i="3"/>
  <c r="R13" i="3"/>
  <c r="R11" i="3"/>
  <c r="R9" i="3"/>
  <c r="R7" i="3"/>
  <c r="R5" i="3"/>
  <c r="V13" i="3"/>
  <c r="V11" i="3"/>
  <c r="V9" i="3"/>
  <c r="V7" i="3"/>
  <c r="V5" i="3"/>
  <c r="Z12" i="3"/>
  <c r="Z11" i="3"/>
  <c r="Z10" i="3"/>
  <c r="Z9" i="3"/>
  <c r="Z8" i="3"/>
  <c r="Z7" i="3"/>
  <c r="Z6" i="3"/>
  <c r="Z5" i="3"/>
  <c r="Z13" i="3"/>
  <c r="Y5" i="2"/>
  <c r="Y6" i="2"/>
  <c r="Y7" i="2"/>
  <c r="Y8" i="2"/>
  <c r="Y9" i="2"/>
  <c r="Y10" i="2"/>
  <c r="Y11" i="2"/>
  <c r="Y12" i="2"/>
  <c r="Y13" i="2"/>
  <c r="Y4" i="2"/>
  <c r="I62" i="9" l="1"/>
  <c r="I40" i="9"/>
  <c r="I65" i="9"/>
  <c r="I43" i="9"/>
  <c r="I63" i="9"/>
  <c r="I41" i="9"/>
  <c r="I59" i="9"/>
  <c r="I37" i="9"/>
  <c r="I64" i="9"/>
  <c r="I42" i="9"/>
  <c r="I66" i="9"/>
  <c r="I44" i="9"/>
  <c r="I60" i="9"/>
  <c r="I38" i="9"/>
  <c r="I67" i="9"/>
  <c r="I45" i="9"/>
  <c r="I61" i="9"/>
  <c r="I39" i="9"/>
  <c r="I58" i="9"/>
  <c r="I36" i="9"/>
  <c r="I68" i="9"/>
  <c r="I46" i="9"/>
  <c r="M12" i="5"/>
  <c r="F12" i="5"/>
  <c r="G12" i="5"/>
  <c r="G15" i="5"/>
  <c r="F15" i="5"/>
  <c r="M15" i="5"/>
  <c r="M14" i="5"/>
  <c r="G14" i="5"/>
  <c r="F14" i="5"/>
  <c r="L13" i="5"/>
  <c r="G19" i="9"/>
  <c r="G18" i="9"/>
  <c r="G17" i="9"/>
  <c r="G24" i="9"/>
  <c r="G16" i="9"/>
  <c r="G23" i="9"/>
  <c r="G15" i="9"/>
  <c r="C15" i="5"/>
  <c r="L15" i="5" s="1"/>
  <c r="G22" i="9"/>
  <c r="G14" i="9"/>
  <c r="G21" i="9"/>
  <c r="G13" i="9"/>
  <c r="E15" i="5"/>
  <c r="G20" i="9"/>
  <c r="G12" i="9"/>
  <c r="H15" i="5"/>
  <c r="I15" i="5" s="1"/>
  <c r="J15" i="5" s="1"/>
  <c r="K15" i="5" s="1"/>
  <c r="F23" i="9"/>
  <c r="F20" i="9"/>
  <c r="F12" i="9"/>
  <c r="F22" i="9"/>
  <c r="F19" i="9"/>
  <c r="F11" i="9"/>
  <c r="F21" i="9"/>
  <c r="F18" i="9"/>
  <c r="F17" i="9"/>
  <c r="F16" i="9"/>
  <c r="F15" i="9"/>
  <c r="F14" i="9"/>
  <c r="F24" i="9"/>
  <c r="F13" i="9"/>
  <c r="H23" i="9"/>
  <c r="H19" i="9"/>
  <c r="H22" i="9"/>
  <c r="H18" i="9"/>
  <c r="H21" i="9"/>
  <c r="H17" i="9"/>
  <c r="H16" i="9"/>
  <c r="H15" i="9"/>
  <c r="H14" i="9"/>
  <c r="H13" i="9"/>
  <c r="H24" i="9"/>
  <c r="H20" i="9"/>
  <c r="I11" i="6"/>
  <c r="J11" i="6" s="1"/>
  <c r="L11" i="6" s="1"/>
  <c r="K11" i="6" s="1"/>
  <c r="H14" i="5"/>
  <c r="I14" i="5" s="1"/>
  <c r="J14" i="5" s="1"/>
  <c r="K14" i="5" s="1"/>
  <c r="E14" i="5"/>
  <c r="D14" i="5"/>
  <c r="C14" i="5"/>
  <c r="D12" i="5"/>
  <c r="H12" i="5"/>
  <c r="I12" i="5" s="1"/>
  <c r="J12" i="5" s="1"/>
  <c r="K12" i="5" s="1"/>
  <c r="E12" i="5"/>
  <c r="C12" i="5"/>
  <c r="I10" i="6"/>
  <c r="J10" i="6" s="1"/>
  <c r="L10" i="6" s="1"/>
  <c r="K10" i="6" s="1"/>
  <c r="I6" i="6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U5" i="2"/>
  <c r="U6" i="2"/>
  <c r="U7" i="2"/>
  <c r="U8" i="2"/>
  <c r="U9" i="2"/>
  <c r="U10" i="2"/>
  <c r="U11" i="2"/>
  <c r="U12" i="2"/>
  <c r="U13" i="2"/>
  <c r="T5" i="2"/>
  <c r="T6" i="2"/>
  <c r="T7" i="2"/>
  <c r="T8" i="2"/>
  <c r="T9" i="2"/>
  <c r="T10" i="2"/>
  <c r="T11" i="2"/>
  <c r="T12" i="2"/>
  <c r="T13" i="2"/>
  <c r="S5" i="2"/>
  <c r="S6" i="2"/>
  <c r="S7" i="2"/>
  <c r="S8" i="2"/>
  <c r="S9" i="2"/>
  <c r="S10" i="2"/>
  <c r="S11" i="2"/>
  <c r="S12" i="2"/>
  <c r="S13" i="2"/>
  <c r="S4" i="2"/>
  <c r="T4" i="2"/>
  <c r="U4" i="2"/>
  <c r="V4" i="2"/>
  <c r="W4" i="2"/>
  <c r="R5" i="2"/>
  <c r="R6" i="2"/>
  <c r="R7" i="2"/>
  <c r="R8" i="2"/>
  <c r="R9" i="2"/>
  <c r="R10" i="2"/>
  <c r="R11" i="2"/>
  <c r="R12" i="2"/>
  <c r="R13" i="2"/>
  <c r="R4" i="2"/>
  <c r="H42" i="9" l="1"/>
  <c r="H64" i="9" s="1"/>
  <c r="H68" i="9"/>
  <c r="H46" i="9"/>
  <c r="H35" i="9"/>
  <c r="H57" i="9" s="1"/>
  <c r="H36" i="9"/>
  <c r="H58" i="9" s="1"/>
  <c r="H37" i="9"/>
  <c r="H59" i="9" s="1"/>
  <c r="H60" i="9"/>
  <c r="H38" i="9"/>
  <c r="H39" i="9"/>
  <c r="H61" i="9" s="1"/>
  <c r="H43" i="9"/>
  <c r="H65" i="9" s="1"/>
  <c r="H40" i="9"/>
  <c r="H62" i="9" s="1"/>
  <c r="H66" i="9"/>
  <c r="H44" i="9"/>
  <c r="H41" i="9"/>
  <c r="H63" i="9" s="1"/>
  <c r="H45" i="9"/>
  <c r="H67" i="9" s="1"/>
  <c r="F35" i="9"/>
  <c r="F57" i="9" s="1"/>
  <c r="F68" i="9"/>
  <c r="F46" i="9"/>
  <c r="F36" i="9"/>
  <c r="F58" i="9" s="1"/>
  <c r="F37" i="9"/>
  <c r="F59" i="9" s="1"/>
  <c r="F38" i="9"/>
  <c r="F60" i="9" s="1"/>
  <c r="F61" i="9"/>
  <c r="F39" i="9"/>
  <c r="F40" i="9"/>
  <c r="F62" i="9" s="1"/>
  <c r="F43" i="9"/>
  <c r="F65" i="9" s="1"/>
  <c r="F33" i="9"/>
  <c r="F55" i="9" s="1"/>
  <c r="F63" i="9"/>
  <c r="F41" i="9"/>
  <c r="F44" i="9"/>
  <c r="F66" i="9" s="1"/>
  <c r="F34" i="9"/>
  <c r="F56" i="9" s="1"/>
  <c r="F42" i="9"/>
  <c r="F64" i="9" s="1"/>
  <c r="F67" i="9"/>
  <c r="F45" i="9"/>
  <c r="G34" i="9"/>
  <c r="G56" i="9" s="1"/>
  <c r="G42" i="9"/>
  <c r="G64" i="9" s="1"/>
  <c r="G35" i="9"/>
  <c r="G57" i="9" s="1"/>
  <c r="G65" i="9"/>
  <c r="G43" i="9"/>
  <c r="G36" i="9"/>
  <c r="G58" i="9" s="1"/>
  <c r="G44" i="9"/>
  <c r="G66" i="9" s="1"/>
  <c r="G37" i="9"/>
  <c r="G59" i="9" s="1"/>
  <c r="G67" i="9"/>
  <c r="G45" i="9"/>
  <c r="G38" i="9"/>
  <c r="G60" i="9" s="1"/>
  <c r="G46" i="9"/>
  <c r="G68" i="9" s="1"/>
  <c r="G39" i="9"/>
  <c r="G61" i="9" s="1"/>
  <c r="G62" i="9"/>
  <c r="G40" i="9"/>
  <c r="G41" i="9"/>
  <c r="G63" i="9" s="1"/>
  <c r="G4" i="3"/>
  <c r="I9" i="6"/>
  <c r="F4" i="3"/>
  <c r="F13" i="3"/>
  <c r="G13" i="3"/>
  <c r="G12" i="3"/>
  <c r="I12" i="3" s="1"/>
  <c r="H12" i="3" s="1"/>
  <c r="F12" i="3"/>
  <c r="F11" i="3"/>
  <c r="G11" i="3"/>
  <c r="I11" i="3" s="1"/>
  <c r="H11" i="3" s="1"/>
  <c r="F10" i="3"/>
  <c r="G10" i="3"/>
  <c r="I10" i="3" s="1"/>
  <c r="H10" i="3" s="1"/>
  <c r="G9" i="3"/>
  <c r="I9" i="3" s="1"/>
  <c r="H9" i="3" s="1"/>
  <c r="F9" i="3"/>
  <c r="F8" i="3"/>
  <c r="G8" i="3"/>
  <c r="F7" i="3"/>
  <c r="G7" i="3"/>
  <c r="G6" i="3"/>
  <c r="I6" i="3" s="1"/>
  <c r="H6" i="3" s="1"/>
  <c r="F6" i="3"/>
  <c r="F5" i="3"/>
  <c r="G5" i="3"/>
  <c r="I5" i="3" s="1"/>
  <c r="H5" i="3" s="1"/>
  <c r="I8" i="3"/>
  <c r="H8" i="3" s="1"/>
  <c r="L14" i="5"/>
  <c r="L12" i="5"/>
  <c r="I7" i="3"/>
  <c r="H7" i="3" s="1"/>
  <c r="I13" i="3"/>
  <c r="H13" i="3" s="1"/>
  <c r="AE5" i="2"/>
  <c r="AE6" i="2"/>
  <c r="AE7" i="2"/>
  <c r="AE8" i="2"/>
  <c r="AE9" i="2"/>
  <c r="AE10" i="2"/>
  <c r="AE11" i="2"/>
  <c r="AE12" i="2"/>
  <c r="AE13" i="2"/>
  <c r="AE4" i="2"/>
  <c r="AD5" i="2"/>
  <c r="AD6" i="2"/>
  <c r="AD7" i="2"/>
  <c r="AD8" i="2"/>
  <c r="AD9" i="2"/>
  <c r="AD10" i="2"/>
  <c r="AD11" i="2"/>
  <c r="AD12" i="2"/>
  <c r="AD13" i="2"/>
  <c r="AD4" i="2"/>
  <c r="K5" i="3"/>
  <c r="M5" i="3" s="1"/>
  <c r="L5" i="3" s="1"/>
  <c r="K6" i="3"/>
  <c r="M6" i="3" s="1"/>
  <c r="L6" i="3" s="1"/>
  <c r="K7" i="3"/>
  <c r="M7" i="3" s="1"/>
  <c r="L7" i="3" s="1"/>
  <c r="K8" i="3"/>
  <c r="M8" i="3" s="1"/>
  <c r="L8" i="3" s="1"/>
  <c r="K9" i="3"/>
  <c r="M9" i="3" s="1"/>
  <c r="L9" i="3" s="1"/>
  <c r="K10" i="3"/>
  <c r="M10" i="3" s="1"/>
  <c r="L10" i="3" s="1"/>
  <c r="K11" i="3"/>
  <c r="M11" i="3" s="1"/>
  <c r="L11" i="3" s="1"/>
  <c r="K12" i="3"/>
  <c r="M12" i="3" s="1"/>
  <c r="L12" i="3" s="1"/>
  <c r="K13" i="3"/>
  <c r="M13" i="3" s="1"/>
  <c r="L13" i="3" s="1"/>
  <c r="Q5" i="2"/>
  <c r="Q6" i="2"/>
  <c r="Q7" i="2"/>
  <c r="Q8" i="2"/>
  <c r="Q9" i="2"/>
  <c r="Q10" i="2"/>
  <c r="Q11" i="2"/>
  <c r="Q12" i="2"/>
  <c r="Q13" i="2"/>
  <c r="Q4" i="2"/>
  <c r="P5" i="2"/>
  <c r="P6" i="2"/>
  <c r="P7" i="2"/>
  <c r="P8" i="2"/>
  <c r="P9" i="2"/>
  <c r="P10" i="2"/>
  <c r="P11" i="2"/>
  <c r="P12" i="2"/>
  <c r="P13" i="2"/>
  <c r="P4" i="2"/>
  <c r="O9" i="3" l="1"/>
  <c r="Q9" i="3" s="1"/>
  <c r="P9" i="3" s="1"/>
  <c r="O8" i="3"/>
  <c r="Q8" i="3" s="1"/>
  <c r="P8" i="3" s="1"/>
  <c r="I7" i="6"/>
  <c r="O10" i="3"/>
  <c r="Q10" i="3" s="1"/>
  <c r="P10" i="3" s="1"/>
  <c r="O13" i="3"/>
  <c r="Q13" i="3" s="1"/>
  <c r="P13" i="3" s="1"/>
  <c r="O5" i="3"/>
  <c r="Q5" i="3" s="1"/>
  <c r="P5" i="3" s="1"/>
  <c r="F7" i="5"/>
  <c r="C7" i="5"/>
  <c r="E7" i="5"/>
  <c r="D7" i="5"/>
  <c r="H7" i="5"/>
  <c r="G7" i="5"/>
  <c r="C20" i="9"/>
  <c r="C11" i="9"/>
  <c r="C19" i="9"/>
  <c r="C10" i="9"/>
  <c r="C18" i="9"/>
  <c r="C24" i="9"/>
  <c r="C17" i="9"/>
  <c r="C23" i="9"/>
  <c r="C15" i="9"/>
  <c r="C22" i="9"/>
  <c r="C14" i="9"/>
  <c r="C21" i="9"/>
  <c r="C13" i="9"/>
  <c r="C12" i="9"/>
  <c r="I4" i="3"/>
  <c r="H4" i="3" s="1"/>
  <c r="C16" i="9"/>
  <c r="O12" i="3"/>
  <c r="Q12" i="3" s="1"/>
  <c r="P12" i="3" s="1"/>
  <c r="I14" i="6"/>
  <c r="J14" i="6" s="1"/>
  <c r="L14" i="6" s="1"/>
  <c r="K14" i="6" s="1"/>
  <c r="O11" i="3"/>
  <c r="Q11" i="3" s="1"/>
  <c r="P11" i="3" s="1"/>
  <c r="I12" i="6"/>
  <c r="J12" i="6" s="1"/>
  <c r="L12" i="6" s="1"/>
  <c r="K12" i="6" s="1"/>
  <c r="K4" i="3"/>
  <c r="I8" i="6"/>
  <c r="O7" i="3"/>
  <c r="Q7" i="3" s="1"/>
  <c r="P7" i="3" s="1"/>
  <c r="I13" i="6"/>
  <c r="J13" i="6" s="1"/>
  <c r="L13" i="6" s="1"/>
  <c r="K13" i="6" s="1"/>
  <c r="O4" i="3"/>
  <c r="Q4" i="3" s="1"/>
  <c r="P4" i="3" s="1"/>
  <c r="O6" i="3"/>
  <c r="Q6" i="3" s="1"/>
  <c r="P6" i="3" s="1"/>
  <c r="J4" i="3"/>
  <c r="J12" i="3"/>
  <c r="J10" i="3"/>
  <c r="J8" i="3"/>
  <c r="J6" i="3"/>
  <c r="N4" i="3"/>
  <c r="N12" i="3"/>
  <c r="N10" i="3"/>
  <c r="N8" i="3"/>
  <c r="N6" i="3"/>
  <c r="J13" i="3"/>
  <c r="J11" i="3"/>
  <c r="J9" i="3"/>
  <c r="J7" i="3"/>
  <c r="J5" i="3"/>
  <c r="N13" i="3"/>
  <c r="N11" i="3"/>
  <c r="N9" i="3"/>
  <c r="N7" i="3"/>
  <c r="N5" i="3"/>
  <c r="K5" i="2"/>
  <c r="K6" i="2"/>
  <c r="C6" i="3" s="1"/>
  <c r="E6" i="3" s="1"/>
  <c r="D6" i="3" s="1"/>
  <c r="K7" i="2"/>
  <c r="K8" i="2"/>
  <c r="C8" i="3" s="1"/>
  <c r="E8" i="3" s="1"/>
  <c r="D8" i="3" s="1"/>
  <c r="K9" i="2"/>
  <c r="C9" i="3" s="1"/>
  <c r="E9" i="3" s="1"/>
  <c r="D9" i="3" s="1"/>
  <c r="K10" i="2"/>
  <c r="K11" i="2"/>
  <c r="K12" i="2"/>
  <c r="C12" i="3" s="1"/>
  <c r="E12" i="3" s="1"/>
  <c r="D12" i="3" s="1"/>
  <c r="K13" i="2"/>
  <c r="K4" i="2"/>
  <c r="C4" i="3" s="1"/>
  <c r="E4" i="3" s="1"/>
  <c r="D4" i="3" s="1"/>
  <c r="J5" i="2"/>
  <c r="J6" i="2"/>
  <c r="J7" i="2"/>
  <c r="J8" i="2"/>
  <c r="J9" i="2"/>
  <c r="J10" i="2"/>
  <c r="J11" i="2"/>
  <c r="J12" i="2"/>
  <c r="J13" i="2"/>
  <c r="J4" i="2"/>
  <c r="I5" i="2"/>
  <c r="I6" i="2"/>
  <c r="I7" i="2"/>
  <c r="I8" i="2"/>
  <c r="I10" i="2"/>
  <c r="I11" i="2"/>
  <c r="I12" i="2"/>
  <c r="I13" i="2"/>
  <c r="I4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J9" i="6" s="1"/>
  <c r="C60" i="9" l="1"/>
  <c r="C38" i="9"/>
  <c r="C56" i="9"/>
  <c r="C34" i="9"/>
  <c r="C57" i="9"/>
  <c r="C35" i="9"/>
  <c r="C65" i="9"/>
  <c r="C43" i="9"/>
  <c r="C58" i="9"/>
  <c r="C36" i="9"/>
  <c r="C66" i="9"/>
  <c r="C44" i="9"/>
  <c r="C59" i="9"/>
  <c r="C37" i="9"/>
  <c r="C67" i="9"/>
  <c r="C45" i="9"/>
  <c r="C61" i="9"/>
  <c r="C39" i="9"/>
  <c r="C68" i="9"/>
  <c r="C46" i="9"/>
  <c r="C62" i="9"/>
  <c r="C40" i="9"/>
  <c r="C54" i="9"/>
  <c r="C32" i="9"/>
  <c r="C63" i="9"/>
  <c r="C41" i="9"/>
  <c r="C55" i="9"/>
  <c r="C33" i="9"/>
  <c r="C64" i="9"/>
  <c r="C42" i="9"/>
  <c r="J7" i="5"/>
  <c r="K7" i="5" s="1"/>
  <c r="I7" i="5"/>
  <c r="L7" i="5"/>
  <c r="M6" i="5"/>
  <c r="M7" i="5"/>
  <c r="E20" i="6"/>
  <c r="E18" i="6"/>
  <c r="E21" i="6"/>
  <c r="E19" i="6"/>
  <c r="E8" i="5"/>
  <c r="D8" i="5"/>
  <c r="G8" i="5"/>
  <c r="F8" i="5"/>
  <c r="C8" i="5"/>
  <c r="H8" i="5"/>
  <c r="F6" i="5"/>
  <c r="D6" i="5"/>
  <c r="G6" i="5"/>
  <c r="H6" i="5"/>
  <c r="E6" i="5"/>
  <c r="C6" i="5"/>
  <c r="E14" i="9"/>
  <c r="E15" i="9"/>
  <c r="E10" i="9"/>
  <c r="E13" i="9"/>
  <c r="E24" i="9"/>
  <c r="E20" i="9"/>
  <c r="E12" i="9"/>
  <c r="E23" i="9"/>
  <c r="E19" i="9"/>
  <c r="E11" i="9"/>
  <c r="E22" i="9"/>
  <c r="E18" i="9"/>
  <c r="E21" i="9"/>
  <c r="E17" i="9"/>
  <c r="E16" i="9"/>
  <c r="M4" i="3"/>
  <c r="L4" i="3" s="1"/>
  <c r="C9" i="9"/>
  <c r="D23" i="9"/>
  <c r="D17" i="9"/>
  <c r="D22" i="9"/>
  <c r="D16" i="9"/>
  <c r="D21" i="9"/>
  <c r="D15" i="9"/>
  <c r="D9" i="9"/>
  <c r="D14" i="9"/>
  <c r="D13" i="9"/>
  <c r="D20" i="9"/>
  <c r="D12" i="9"/>
  <c r="D19" i="9"/>
  <c r="D11" i="9"/>
  <c r="D24" i="9"/>
  <c r="D18" i="9"/>
  <c r="D10" i="9"/>
  <c r="C8" i="9"/>
  <c r="E35" i="6"/>
  <c r="E36" i="6"/>
  <c r="E34" i="6"/>
  <c r="E37" i="6"/>
  <c r="E38" i="6"/>
  <c r="E33" i="6"/>
  <c r="E39" i="6"/>
  <c r="C11" i="3"/>
  <c r="E11" i="3" s="1"/>
  <c r="D11" i="3" s="1"/>
  <c r="C10" i="3"/>
  <c r="E10" i="3" s="1"/>
  <c r="D10" i="3" s="1"/>
  <c r="E13" i="6"/>
  <c r="E14" i="6"/>
  <c r="E15" i="6"/>
  <c r="E16" i="6"/>
  <c r="E12" i="6"/>
  <c r="J6" i="6"/>
  <c r="L6" i="6" s="1"/>
  <c r="K6" i="6" s="1"/>
  <c r="E29" i="6"/>
  <c r="E28" i="6"/>
  <c r="E27" i="6"/>
  <c r="C7" i="3"/>
  <c r="E7" i="3" s="1"/>
  <c r="D7" i="3" s="1"/>
  <c r="L9" i="6"/>
  <c r="K9" i="6" s="1"/>
  <c r="E25" i="6"/>
  <c r="E26" i="6"/>
  <c r="E24" i="6"/>
  <c r="E22" i="6"/>
  <c r="E23" i="6"/>
  <c r="E40" i="6"/>
  <c r="E42" i="6"/>
  <c r="E41" i="6"/>
  <c r="E44" i="6"/>
  <c r="E43" i="6"/>
  <c r="C13" i="3"/>
  <c r="E13" i="3" s="1"/>
  <c r="D13" i="3" s="1"/>
  <c r="C5" i="3"/>
  <c r="E5" i="3" s="1"/>
  <c r="D5" i="3" s="1"/>
  <c r="J8" i="6"/>
  <c r="L8" i="6" s="1"/>
  <c r="K8" i="6" s="1"/>
  <c r="E17" i="6"/>
  <c r="E31" i="6"/>
  <c r="E32" i="6"/>
  <c r="E30" i="6"/>
  <c r="I5" i="6"/>
  <c r="J5" i="6" s="1"/>
  <c r="L5" i="6" s="1"/>
  <c r="K5" i="6" s="1"/>
  <c r="J7" i="6"/>
  <c r="L7" i="6" s="1"/>
  <c r="K7" i="6" s="1"/>
  <c r="I4" i="6"/>
  <c r="J4" i="6" s="1"/>
  <c r="L4" i="6" s="1"/>
  <c r="K4" i="6" s="1"/>
  <c r="B4" i="3"/>
  <c r="B12" i="3"/>
  <c r="B10" i="3"/>
  <c r="B8" i="3"/>
  <c r="B6" i="3"/>
  <c r="B13" i="3"/>
  <c r="B11" i="3"/>
  <c r="B9" i="3"/>
  <c r="B7" i="3"/>
  <c r="B5" i="3"/>
  <c r="C30" i="9" l="1"/>
  <c r="C52" i="9" s="1"/>
  <c r="D32" i="9"/>
  <c r="D54" i="9" s="1"/>
  <c r="D40" i="9"/>
  <c r="D62" i="9" s="1"/>
  <c r="D68" i="9"/>
  <c r="D46" i="9"/>
  <c r="D33" i="9"/>
  <c r="D55" i="9" s="1"/>
  <c r="D41" i="9"/>
  <c r="D63" i="9" s="1"/>
  <c r="D34" i="9"/>
  <c r="D56" i="9" s="1"/>
  <c r="D64" i="9"/>
  <c r="D42" i="9"/>
  <c r="D35" i="9"/>
  <c r="D57" i="9" s="1"/>
  <c r="D36" i="9"/>
  <c r="D58" i="9" s="1"/>
  <c r="D31" i="9"/>
  <c r="D53" i="9" s="1"/>
  <c r="D59" i="9"/>
  <c r="D37" i="9"/>
  <c r="D43" i="9"/>
  <c r="D65" i="9" s="1"/>
  <c r="D38" i="9"/>
  <c r="D60" i="9" s="1"/>
  <c r="D44" i="9"/>
  <c r="D66" i="9" s="1"/>
  <c r="D61" i="9"/>
  <c r="D39" i="9"/>
  <c r="D45" i="9"/>
  <c r="D67" i="9" s="1"/>
  <c r="C31" i="9"/>
  <c r="C53" i="9" s="1"/>
  <c r="E38" i="9"/>
  <c r="E60" i="9" s="1"/>
  <c r="E61" i="9"/>
  <c r="E39" i="9"/>
  <c r="E43" i="9"/>
  <c r="E65" i="9" s="1"/>
  <c r="E40" i="9"/>
  <c r="E62" i="9" s="1"/>
  <c r="E44" i="9"/>
  <c r="E66" i="9" s="1"/>
  <c r="E55" i="9"/>
  <c r="E33" i="9"/>
  <c r="E41" i="9"/>
  <c r="E63" i="9" s="1"/>
  <c r="E45" i="9"/>
  <c r="E67" i="9" s="1"/>
  <c r="E34" i="9"/>
  <c r="E56" i="9" s="1"/>
  <c r="E64" i="9"/>
  <c r="E42" i="9"/>
  <c r="E46" i="9"/>
  <c r="E68" i="9" s="1"/>
  <c r="E35" i="9"/>
  <c r="E57" i="9" s="1"/>
  <c r="E32" i="9"/>
  <c r="E54" i="9" s="1"/>
  <c r="E59" i="9"/>
  <c r="E37" i="9"/>
  <c r="E36" i="9"/>
  <c r="E58" i="9" s="1"/>
  <c r="I6" i="5"/>
  <c r="J6" i="5" s="1"/>
  <c r="K6" i="5" s="1"/>
  <c r="I8" i="5"/>
  <c r="J8" i="5" s="1"/>
  <c r="K8" i="5" s="1"/>
  <c r="L8" i="5"/>
  <c r="L6" i="5"/>
  <c r="G5" i="5"/>
  <c r="F5" i="5"/>
  <c r="D5" i="5"/>
  <c r="E5" i="5"/>
  <c r="H5" i="5"/>
  <c r="C5" i="5"/>
  <c r="B23" i="9"/>
  <c r="B9" i="9"/>
  <c r="B16" i="9"/>
  <c r="B15" i="9"/>
  <c r="B12" i="9"/>
  <c r="B22" i="9"/>
  <c r="B8" i="9"/>
  <c r="B21" i="9"/>
  <c r="B14" i="9"/>
  <c r="B13" i="9"/>
  <c r="B20" i="9"/>
  <c r="B19" i="9"/>
  <c r="B11" i="9"/>
  <c r="B18" i="9"/>
  <c r="B10" i="9"/>
  <c r="B24" i="9"/>
  <c r="B17" i="9"/>
  <c r="B7" i="9"/>
  <c r="B29" i="9" l="1"/>
  <c r="B51" i="9" s="1"/>
  <c r="B39" i="9"/>
  <c r="B61" i="9" s="1"/>
  <c r="B68" i="9"/>
  <c r="B46" i="9"/>
  <c r="B32" i="9"/>
  <c r="B54" i="9" s="1"/>
  <c r="B40" i="9"/>
  <c r="B62" i="9" s="1"/>
  <c r="B33" i="9"/>
  <c r="B55" i="9" s="1"/>
  <c r="B63" i="9"/>
  <c r="B41" i="9"/>
  <c r="B42" i="9"/>
  <c r="B64" i="9" s="1"/>
  <c r="B35" i="9"/>
  <c r="B57" i="9" s="1"/>
  <c r="B36" i="9"/>
  <c r="B58" i="9" s="1"/>
  <c r="B65" i="9"/>
  <c r="B43" i="9"/>
  <c r="B30" i="9"/>
  <c r="B52" i="9" s="1"/>
  <c r="B44" i="9"/>
  <c r="B66" i="9" s="1"/>
  <c r="B34" i="9"/>
  <c r="B56" i="9" s="1"/>
  <c r="B59" i="9"/>
  <c r="B37" i="9"/>
  <c r="B38" i="9"/>
  <c r="B60" i="9" s="1"/>
  <c r="B31" i="9"/>
  <c r="B53" i="9" s="1"/>
  <c r="B45" i="9"/>
  <c r="B67" i="9" s="1"/>
  <c r="J5" i="5"/>
  <c r="K5" i="5" s="1"/>
  <c r="I5" i="5"/>
  <c r="L5" i="5"/>
</calcChain>
</file>

<file path=xl/sharedStrings.xml><?xml version="1.0" encoding="utf-8"?>
<sst xmlns="http://schemas.openxmlformats.org/spreadsheetml/2006/main" count="2846" uniqueCount="718">
  <si>
    <t>elementary</t>
  </si>
  <si>
    <t>post-graduate</t>
  </si>
  <si>
    <t>high school</t>
  </si>
  <si>
    <t>college</t>
  </si>
  <si>
    <t>proprietor</t>
  </si>
  <si>
    <t>staff</t>
  </si>
  <si>
    <t>vet pharmacist</t>
  </si>
  <si>
    <t>no_schooling</t>
  </si>
  <si>
    <t>less than 1 year</t>
  </si>
  <si>
    <t>large-scale</t>
  </si>
  <si>
    <t>small-scale</t>
  </si>
  <si>
    <t>medium-scale</t>
  </si>
  <si>
    <t>input</t>
  </si>
  <si>
    <t>not in charge</t>
  </si>
  <si>
    <t>did not apply</t>
  </si>
  <si>
    <t>large farm owners</t>
  </si>
  <si>
    <t>small farm owners</t>
  </si>
  <si>
    <t>medium farm owners</t>
  </si>
  <si>
    <t>small retailers</t>
  </si>
  <si>
    <t>large retailers</t>
  </si>
  <si>
    <t>male</t>
  </si>
  <si>
    <t>female</t>
  </si>
  <si>
    <t>yes</t>
  </si>
  <si>
    <t>no</t>
  </si>
  <si>
    <t>don't know</t>
  </si>
  <si>
    <t>growth booster</t>
  </si>
  <si>
    <t>others</t>
  </si>
  <si>
    <t>bacteria develop resistance</t>
  </si>
  <si>
    <t>medicine is ineffective</t>
  </si>
  <si>
    <t>dangerous but don't know</t>
  </si>
  <si>
    <t>na</t>
  </si>
  <si>
    <t>other response</t>
  </si>
  <si>
    <t>false</t>
  </si>
  <si>
    <t>true</t>
  </si>
  <si>
    <t>advanced understanding</t>
  </si>
  <si>
    <t>little idea</t>
  </si>
  <si>
    <t>no idea</t>
  </si>
  <si>
    <t>basic info</t>
  </si>
  <si>
    <t>amoxicillin</t>
  </si>
  <si>
    <t>doxycycline</t>
  </si>
  <si>
    <t>azithromcyin</t>
  </si>
  <si>
    <t>doxycline</t>
  </si>
  <si>
    <t>cephalexin</t>
  </si>
  <si>
    <t>ciproflxacin</t>
  </si>
  <si>
    <t>antibacterial</t>
  </si>
  <si>
    <t>antiviral</t>
  </si>
  <si>
    <t>antifungal</t>
  </si>
  <si>
    <t>5 correct</t>
  </si>
  <si>
    <t>4 correct</t>
  </si>
  <si>
    <t>1 correct</t>
  </si>
  <si>
    <t>2 correct</t>
  </si>
  <si>
    <t>3 correct</t>
  </si>
  <si>
    <t>very serious</t>
  </si>
  <si>
    <t>serious</t>
  </si>
  <si>
    <t>moderately serios</t>
  </si>
  <si>
    <t>slightly serious</t>
  </si>
  <si>
    <t>least serious</t>
  </si>
  <si>
    <t>seriously concerned</t>
  </si>
  <si>
    <t>concerned</t>
  </si>
  <si>
    <t>no opinion</t>
  </si>
  <si>
    <t>slightly concerned</t>
  </si>
  <si>
    <t>strongly agree</t>
  </si>
  <si>
    <t>agree</t>
  </si>
  <si>
    <t>neutral</t>
  </si>
  <si>
    <t>disagree</t>
  </si>
  <si>
    <t>strongly disagree</t>
  </si>
  <si>
    <t>limited</t>
  </si>
  <si>
    <t>moderate</t>
  </si>
  <si>
    <t>very strong</t>
  </si>
  <si>
    <t>substantial</t>
  </si>
  <si>
    <t>k1_ab</t>
  </si>
  <si>
    <t>k2_ab_use</t>
  </si>
  <si>
    <t>k3_abname1</t>
  </si>
  <si>
    <t>a1_seriousness</t>
  </si>
  <si>
    <t>a2_concern</t>
  </si>
  <si>
    <t>a3_am_protect</t>
  </si>
  <si>
    <t>a3_am_importance</t>
  </si>
  <si>
    <t>a3_am_stocking</t>
  </si>
  <si>
    <t>a3_ab_treatment</t>
  </si>
  <si>
    <t>a3_ab_speed</t>
  </si>
  <si>
    <t>a3_ab_sched</t>
  </si>
  <si>
    <t>a3_ab_skip</t>
  </si>
  <si>
    <t>a3_ab_safe</t>
  </si>
  <si>
    <t>a3_ab_sell</t>
  </si>
  <si>
    <t>a3_ab_sideeffect</t>
  </si>
  <si>
    <t>a3_ab_proper</t>
  </si>
  <si>
    <t>a3_ab_prescribe</t>
  </si>
  <si>
    <t>a4_inf_fam</t>
  </si>
  <si>
    <t>a4_inf_data</t>
  </si>
  <si>
    <t>a4_inf_industry</t>
  </si>
  <si>
    <t>a4_inf_client</t>
  </si>
  <si>
    <t>a4_inf_vetgroup</t>
  </si>
  <si>
    <t>a4_inf_journal</t>
  </si>
  <si>
    <t>a4_inf_web</t>
  </si>
  <si>
    <t>a4_inf_earning</t>
  </si>
  <si>
    <t>a4_inf_vet</t>
  </si>
  <si>
    <t>a4_inf_law</t>
  </si>
  <si>
    <t>a4_others</t>
  </si>
  <si>
    <t>a4_other_factor</t>
  </si>
  <si>
    <t>k3_abname2</t>
  </si>
  <si>
    <t>k3_abname3</t>
  </si>
  <si>
    <t>k4_abr_aware</t>
  </si>
  <si>
    <t>k5_abr</t>
  </si>
  <si>
    <t>k6_abrsource_tv</t>
  </si>
  <si>
    <t>k6_abrsource_radio</t>
  </si>
  <si>
    <t>k6_abrsource_friends</t>
  </si>
  <si>
    <t>k6_abrsource_seminar</t>
  </si>
  <si>
    <t>k6_abrsource_supplier</t>
  </si>
  <si>
    <t>k6_abrsource_SNS</t>
  </si>
  <si>
    <t>k7_am</t>
  </si>
  <si>
    <t>k8_amname1</t>
  </si>
  <si>
    <t>k8_amname2</t>
  </si>
  <si>
    <t>k8_amname3</t>
  </si>
  <si>
    <t>k9_amtype</t>
  </si>
  <si>
    <t>k10_amr</t>
  </si>
  <si>
    <t>k11_am_animals</t>
  </si>
  <si>
    <t>k12_abvsam</t>
  </si>
  <si>
    <t>k13_amr_aware</t>
  </si>
  <si>
    <t>k15_amr</t>
  </si>
  <si>
    <t>k16_amr_cause</t>
  </si>
  <si>
    <t>k17_amr_case</t>
  </si>
  <si>
    <t>k18_amr_prevent</t>
  </si>
  <si>
    <t>p1_top_otc1</t>
  </si>
  <si>
    <t>p1_top_otc2</t>
  </si>
  <si>
    <t>p1_top_otc3</t>
  </si>
  <si>
    <t>p2_top_presc_1</t>
  </si>
  <si>
    <t>p2_top_presc_2</t>
  </si>
  <si>
    <t>p2_top_presc_3</t>
  </si>
  <si>
    <t>fermkito</t>
  </si>
  <si>
    <t>slazbolak</t>
  </si>
  <si>
    <t>t5x sd</t>
  </si>
  <si>
    <t>tbx sd</t>
  </si>
  <si>
    <t>sustalin</t>
  </si>
  <si>
    <t>flowguard</t>
  </si>
  <si>
    <t>enroflaxacin</t>
  </si>
  <si>
    <t>endroflaxacin</t>
  </si>
  <si>
    <t>ecolmin</t>
  </si>
  <si>
    <t>actigen</t>
  </si>
  <si>
    <t>heat grow</t>
  </si>
  <si>
    <t>holtox</t>
  </si>
  <si>
    <t>galliacid</t>
  </si>
  <si>
    <t>cefotaxime</t>
  </si>
  <si>
    <t>ask past conditions</t>
  </si>
  <si>
    <t>client is my friend</t>
  </si>
  <si>
    <t>p6_advise</t>
  </si>
  <si>
    <t>don't know how to advise</t>
  </si>
  <si>
    <t>sometimes</t>
  </si>
  <si>
    <t>p9_howadvise</t>
  </si>
  <si>
    <t>as prescribed</t>
  </si>
  <si>
    <t>more than prescribed</t>
  </si>
  <si>
    <t>as suitable</t>
  </si>
  <si>
    <t>p10_record</t>
  </si>
  <si>
    <t>bovine respiratory disease complex</t>
  </si>
  <si>
    <t>black leg</t>
  </si>
  <si>
    <t>return to supplier</t>
  </si>
  <si>
    <t>return to store</t>
  </si>
  <si>
    <t>p15_checkexp</t>
  </si>
  <si>
    <t>p16_actexp</t>
  </si>
  <si>
    <t>p17_govmonitor</t>
  </si>
  <si>
    <t>fridge but without electricity</t>
  </si>
  <si>
    <t>once a month</t>
  </si>
  <si>
    <t>twice a month</t>
  </si>
  <si>
    <t>every 6 months</t>
  </si>
  <si>
    <t>don't check</t>
  </si>
  <si>
    <t>once a week</t>
  </si>
  <si>
    <t>pull out</t>
  </si>
  <si>
    <t>throw away</t>
  </si>
  <si>
    <t>e1_druglaw</t>
  </si>
  <si>
    <t>e2_lawnames1</t>
  </si>
  <si>
    <t>e2_lawnames2</t>
  </si>
  <si>
    <t>e3_disposelaw</t>
  </si>
  <si>
    <t>e4_lawnames1</t>
  </si>
  <si>
    <t>e4_lawnames2</t>
  </si>
  <si>
    <t>e5_govprogram</t>
  </si>
  <si>
    <t>e6_programnames1</t>
  </si>
  <si>
    <t>e6_programnames2</t>
  </si>
  <si>
    <t>e7_amrdiscuss</t>
  </si>
  <si>
    <t>e8_amrmessage1</t>
  </si>
  <si>
    <t>e8_amrmessage2</t>
  </si>
  <si>
    <t>e8_amrmessage3</t>
  </si>
  <si>
    <t>e9_am_useinfo</t>
  </si>
  <si>
    <t>e10_aminfo1</t>
  </si>
  <si>
    <t>e10_aminfo2</t>
  </si>
  <si>
    <t>e10_aminfo3</t>
  </si>
  <si>
    <t>e11_agriorg</t>
  </si>
  <si>
    <t>e12_seminar</t>
  </si>
  <si>
    <t>e13_discussmanagement</t>
  </si>
  <si>
    <t>i1_am</t>
  </si>
  <si>
    <t>i2_aminfo1</t>
  </si>
  <si>
    <t>i2_aminfo2</t>
  </si>
  <si>
    <t>c1_news1</t>
  </si>
  <si>
    <t>c1_news2</t>
  </si>
  <si>
    <t>c1_news3</t>
  </si>
  <si>
    <t>c1_avenewstime1</t>
  </si>
  <si>
    <t>c1_avenewstime2</t>
  </si>
  <si>
    <t>c1_avenewstime3</t>
  </si>
  <si>
    <t>c2_entr1</t>
  </si>
  <si>
    <t>c2_entr2</t>
  </si>
  <si>
    <t>c2_entrs3</t>
  </si>
  <si>
    <t>c2_aveentrtime1</t>
  </si>
  <si>
    <t>c2_aveentrtime2</t>
  </si>
  <si>
    <t>c2_aveentrtime3</t>
  </si>
  <si>
    <t>c3_usegrats</t>
  </si>
  <si>
    <t>c4_radio</t>
  </si>
  <si>
    <t>c4_tv</t>
  </si>
  <si>
    <t>c4_internet</t>
  </si>
  <si>
    <t>c4_sns</t>
  </si>
  <si>
    <t>c4_healthworkers</t>
  </si>
  <si>
    <t>c4_others</t>
  </si>
  <si>
    <t>mostly news</t>
  </si>
  <si>
    <t>mostly entertainment</t>
  </si>
  <si>
    <t>only entertainment</t>
  </si>
  <si>
    <t>balanced</t>
  </si>
  <si>
    <t>training</t>
  </si>
  <si>
    <t>c5_prefmedia1</t>
  </si>
  <si>
    <t>c5_prefmedia2</t>
  </si>
  <si>
    <t>c5_prefmedia3</t>
  </si>
  <si>
    <t>symposia</t>
  </si>
  <si>
    <t>journals</t>
  </si>
  <si>
    <t>tv</t>
  </si>
  <si>
    <t>sns</t>
  </si>
  <si>
    <t>radio</t>
  </si>
  <si>
    <t>newspaper</t>
  </si>
  <si>
    <t>friends</t>
  </si>
  <si>
    <t>1-2 hrs</t>
  </si>
  <si>
    <t>4+ hrs</t>
  </si>
  <si>
    <t>2-4 hrs</t>
  </si>
  <si>
    <t>less than 1 hr</t>
  </si>
  <si>
    <t>internet</t>
  </si>
  <si>
    <t>interested</t>
  </si>
  <si>
    <t>not interested</t>
  </si>
  <si>
    <t>new research</t>
  </si>
  <si>
    <t>difference between ab and am</t>
  </si>
  <si>
    <t>celebrities</t>
  </si>
  <si>
    <t>new ab for livestock</t>
  </si>
  <si>
    <t>cures for new diseases</t>
  </si>
  <si>
    <t>new products</t>
  </si>
  <si>
    <t>government programs</t>
  </si>
  <si>
    <t>Knowledge</t>
  </si>
  <si>
    <t>Attitude</t>
  </si>
  <si>
    <t>Min.</t>
  </si>
  <si>
    <t>Max</t>
  </si>
  <si>
    <t>Practices</t>
  </si>
  <si>
    <t>Demographic</t>
  </si>
  <si>
    <t>question</t>
  </si>
  <si>
    <t>answers</t>
  </si>
  <si>
    <t>score</t>
  </si>
  <si>
    <t>graduate</t>
  </si>
  <si>
    <t>technical</t>
  </si>
  <si>
    <t>some schooling</t>
  </si>
  <si>
    <t>no schooling</t>
  </si>
  <si>
    <t>sales representative</t>
  </si>
  <si>
    <t>other</t>
  </si>
  <si>
    <t>1-2 years</t>
  </si>
  <si>
    <t>2-5 years</t>
  </si>
  <si>
    <t>5-10 years</t>
  </si>
  <si>
    <t>10 + years</t>
  </si>
  <si>
    <t>RA 9268</t>
  </si>
  <si>
    <t>RA 1556</t>
  </si>
  <si>
    <t>RA1556</t>
  </si>
  <si>
    <t>AO 14-2006</t>
  </si>
  <si>
    <t>PNS 60:2008</t>
  </si>
  <si>
    <t>don't remember</t>
  </si>
  <si>
    <t>follow prescription</t>
  </si>
  <si>
    <t>do not sell without prescription</t>
  </si>
  <si>
    <t>get prescription</t>
  </si>
  <si>
    <t>pull out outdated drugs</t>
  </si>
  <si>
    <t>can't remember</t>
  </si>
  <si>
    <t>use antimicrobials responsibly</t>
  </si>
  <si>
    <t>always get a prescription</t>
  </si>
  <si>
    <t>do not self-diagnose</t>
  </si>
  <si>
    <t>all the time</t>
  </si>
  <si>
    <t>often</t>
  </si>
  <si>
    <t>rarely</t>
  </si>
  <si>
    <t>not at all</t>
  </si>
  <si>
    <t>Demographic Profile</t>
  </si>
  <si>
    <t>Knowledge on antibiotics</t>
  </si>
  <si>
    <t>Knowledge on antibiotic resistance</t>
  </si>
  <si>
    <t>Knowledge on antimicrobials</t>
  </si>
  <si>
    <t>Knowledge on antimicrobial resistance</t>
  </si>
  <si>
    <t>Index</t>
  </si>
  <si>
    <t>Mean</t>
  </si>
  <si>
    <t>Knowledge on Antibiotics</t>
  </si>
  <si>
    <t>Knowledge on Antibiotic Resistance</t>
  </si>
  <si>
    <t>Knowledge on Antimicrobials</t>
  </si>
  <si>
    <t>Knowledge on Antimicrobial Resistance</t>
  </si>
  <si>
    <t>Perceived Severity</t>
  </si>
  <si>
    <t>Self-Efficacy in Handling AMR Issues</t>
  </si>
  <si>
    <t>Attitude towards AMU/AMR</t>
  </si>
  <si>
    <t>Normative Expectations</t>
  </si>
  <si>
    <t>Selling Practices</t>
  </si>
  <si>
    <t>Access/Source</t>
  </si>
  <si>
    <t>Advising clients on antibiotic use</t>
  </si>
  <si>
    <t>Recording Purchases</t>
  </si>
  <si>
    <t>Disposal Instructions</t>
  </si>
  <si>
    <t>Storage Practices</t>
  </si>
  <si>
    <t>Internal Monitoring</t>
  </si>
  <si>
    <t>Reach of Government AMR Programs</t>
  </si>
  <si>
    <t>Reach of Laws on AMR</t>
  </si>
  <si>
    <t>Participation in Farming Community</t>
  </si>
  <si>
    <t>Intention to learn about antimicrobials</t>
  </si>
  <si>
    <t>Preferred News Source</t>
  </si>
  <si>
    <t>Preferred Information Source</t>
  </si>
  <si>
    <t>Uses and Gratification</t>
  </si>
  <si>
    <t>Preferred Health Information Sources</t>
  </si>
  <si>
    <t xml:space="preserve">KNOWLEDGE   </t>
  </si>
  <si>
    <t>ATTITUDES</t>
  </si>
  <si>
    <t>PRACTICES</t>
  </si>
  <si>
    <t>POLICY EVNIRONMENT</t>
  </si>
  <si>
    <t>COMMUNICATION PREFERENCES</t>
  </si>
  <si>
    <t>Advising Clients on Antibiotic Use</t>
  </si>
  <si>
    <t>Reach of AMR Laws</t>
  </si>
  <si>
    <t xml:space="preserve">Reach of Government AMR Programs </t>
  </si>
  <si>
    <t>Participation in Farming Communities</t>
  </si>
  <si>
    <t xml:space="preserve">ATTITUDES </t>
  </si>
  <si>
    <t>POLICY ENVIRONMENT</t>
  </si>
  <si>
    <t>Date/s of Visit</t>
  </si>
  <si>
    <t>Location</t>
  </si>
  <si>
    <t>Sample Size</t>
  </si>
  <si>
    <t>Region</t>
  </si>
  <si>
    <t>Country</t>
  </si>
  <si>
    <t>GitHub</t>
  </si>
  <si>
    <t>Intro!A1</t>
  </si>
  <si>
    <r>
      <t>(</t>
    </r>
    <r>
      <rPr>
        <i/>
        <sz val="11"/>
        <color theme="1"/>
        <rFont val="Calibri"/>
        <family val="2"/>
        <scheme val="minor"/>
      </rPr>
      <t>explanation provided)</t>
    </r>
  </si>
  <si>
    <t>We did not apply</t>
  </si>
  <si>
    <t xml:space="preserve"> I was not in charge</t>
  </si>
  <si>
    <t>Large farm owners</t>
  </si>
  <si>
    <t>Medium farm owners</t>
  </si>
  <si>
    <t>Small farm owners</t>
  </si>
  <si>
    <t>Medium retailers</t>
  </si>
  <si>
    <t>Large retailers</t>
  </si>
  <si>
    <t>Small retailers</t>
  </si>
  <si>
    <t>Others</t>
  </si>
  <si>
    <t>Male</t>
  </si>
  <si>
    <t>Female</t>
  </si>
  <si>
    <t>Yes</t>
  </si>
  <si>
    <t xml:space="preserve">No  </t>
  </si>
  <si>
    <t>code</t>
  </si>
  <si>
    <t>% of correct answers</t>
  </si>
  <si>
    <t>no.</t>
  </si>
  <si>
    <t>Quartile Index</t>
  </si>
  <si>
    <t>Can you describe what antibiotics are?</t>
  </si>
  <si>
    <t>What are antibiotics intended for?</t>
  </si>
  <si>
    <t>Have you heard of antibiotic resistance?</t>
  </si>
  <si>
    <t>List antibiotics that you know</t>
  </si>
  <si>
    <t>What best describes antibiotic resistance?</t>
  </si>
  <si>
    <t>Where did you hear about antibiotic resistance?</t>
  </si>
  <si>
    <t>Do you know what are antimicrobials?</t>
  </si>
  <si>
    <t>List three antimicrobials</t>
  </si>
  <si>
    <t>Which of the following are considered antimicrobials?</t>
  </si>
  <si>
    <t>Which of the following best describes AMR?</t>
  </si>
  <si>
    <t>All antimicrobials in humans are also used in animals</t>
  </si>
  <si>
    <t>There is a difference between antibiotics and antimicrobials</t>
  </si>
  <si>
    <t xml:space="preserve">Have you heard of antimicrobial resistance (AMR)? </t>
  </si>
  <si>
    <t>Where did you hear about AMR?</t>
  </si>
  <si>
    <t>Which is true about AMR?</t>
  </si>
  <si>
    <t>Which of the following is true about AMR as a health issue?</t>
  </si>
  <si>
    <t>Which of the following can contribute to AMR?</t>
  </si>
  <si>
    <t>Which of the following can control/prevent AMR?</t>
  </si>
  <si>
    <t>Are you worried or concerned about how prepared you are in handling AMR issues in the future?</t>
  </si>
  <si>
    <t>How would you rate your situation if one of your family members had an infection that cannot be treated with medicine?</t>
  </si>
  <si>
    <t>Antimicrobials such as antibiotics protect both humans and animals from diseases</t>
  </si>
  <si>
    <t>3a</t>
  </si>
  <si>
    <t>3b</t>
  </si>
  <si>
    <t>It is good to keep antibiotics at home in case there may be a need for the animals later</t>
  </si>
  <si>
    <t>3c</t>
  </si>
  <si>
    <t>When animals start to show signs of being ill, they should be given antibiotics to prevent them from getting a more serious illness</t>
  </si>
  <si>
    <t>Antibiotics would help animals to get better more quickly</t>
  </si>
  <si>
    <t>3d</t>
  </si>
  <si>
    <t>3e</t>
  </si>
  <si>
    <t>Antibiotics should be stopped as soon as the animal gets better</t>
  </si>
  <si>
    <t>3f</t>
  </si>
  <si>
    <t>Skipping one or two doses does not contribute to the development of antibiotic resistance</t>
  </si>
  <si>
    <t>3g</t>
  </si>
  <si>
    <t>Antiobiotics are safe; hence, they can be commonly used</t>
  </si>
  <si>
    <t>3h</t>
  </si>
  <si>
    <t>I find it hard to refuse a customer who asks for antibiotics even without prescription especially when he/she needs it</t>
  </si>
  <si>
    <t>3i</t>
  </si>
  <si>
    <t>If the animals get side effects during a course of antibiotic treatment, one should stop giving them as soon as possible</t>
  </si>
  <si>
    <t>3j</t>
  </si>
  <si>
    <t>There is no danger in giving antibiotics to animals if properly used</t>
  </si>
  <si>
    <t>3k</t>
  </si>
  <si>
    <t>Antibiotics should be given with prescription</t>
  </si>
  <si>
    <t>4a</t>
  </si>
  <si>
    <t>Opinions of my family members</t>
  </si>
  <si>
    <t>4b</t>
  </si>
  <si>
    <t>Laboratory data</t>
  </si>
  <si>
    <t>4c</t>
  </si>
  <si>
    <t>Opinions of the private industry</t>
  </si>
  <si>
    <t>4d</t>
  </si>
  <si>
    <t>Client/farmer expectations</t>
  </si>
  <si>
    <t>4e</t>
  </si>
  <si>
    <t>Opintions of veterinary professional groups</t>
  </si>
  <si>
    <t>4f</t>
  </si>
  <si>
    <t>Data in scientific journals</t>
  </si>
  <si>
    <t>4g</t>
  </si>
  <si>
    <t>Data from online search engines such as Google, Yahoo, Bing</t>
  </si>
  <si>
    <t>4h</t>
  </si>
  <si>
    <t>Potential earnings or financial gain</t>
  </si>
  <si>
    <t>4i</t>
  </si>
  <si>
    <t>Opinions of other veterinarians</t>
  </si>
  <si>
    <t xml:space="preserve">4j </t>
  </si>
  <si>
    <t>Adherence to laws and legislation</t>
  </si>
  <si>
    <t>4k</t>
  </si>
  <si>
    <t>Other factors</t>
  </si>
  <si>
    <t>Antibiotics are important to improve animal production</t>
  </si>
  <si>
    <t>3l</t>
  </si>
  <si>
    <t>1</t>
  </si>
  <si>
    <t>2</t>
  </si>
  <si>
    <t>3</t>
  </si>
  <si>
    <t>4</t>
  </si>
  <si>
    <t>5</t>
  </si>
  <si>
    <t xml:space="preserve">sample score </t>
  </si>
  <si>
    <t>sample score</t>
  </si>
  <si>
    <t xml:space="preserve">% of correct </t>
  </si>
  <si>
    <t>What are the three bestselling OTC drugs in your store?</t>
  </si>
  <si>
    <t>What are the three bestselling prescription drugs in your store?</t>
  </si>
  <si>
    <t>If you dispense prescription drugs without a vet's prescription, please tell us why?</t>
  </si>
  <si>
    <t>Where do you source the antibiotics you prescribe/sell?</t>
  </si>
  <si>
    <t>Do you always advise clients/customers how to use antibiotics for use in farms?</t>
  </si>
  <si>
    <t>If you answer "sometimes" or "no" in 6, please tell us why?</t>
  </si>
  <si>
    <t>When do you advise clients/customers to use/buy antibiotics for use in farms?</t>
  </si>
  <si>
    <t>How do you advise client/customer on the use of antibiotics in farms/animals?</t>
  </si>
  <si>
    <t>Do you keep a record of number of prescriptions you issue to clients/customers?</t>
  </si>
  <si>
    <t>Have you advised the use of antibiotics to treat any of the following diseases?</t>
  </si>
  <si>
    <t>What do you usually advise to clients/farmers when they have excess antibiotics?</t>
  </si>
  <si>
    <t>What do you usually advise to clients/farmers when they have expired antibiotics?</t>
  </si>
  <si>
    <t>Where do you store your prescriptionn drugs and antibiotics?</t>
  </si>
  <si>
    <t>How often do you check the expiration dates of the drugs including antibiotics?</t>
  </si>
  <si>
    <t>What do you do when the drugs including antibiotics have reached their expiration date?</t>
  </si>
  <si>
    <t>What do you do when a client wants to buy a prescription drug from your store?</t>
  </si>
  <si>
    <t>Does anyone from the government monitor the antibiotics you are selling?</t>
  </si>
  <si>
    <t>kab_score</t>
  </si>
  <si>
    <t>kab_ratio</t>
  </si>
  <si>
    <t>kab_index</t>
  </si>
  <si>
    <t>kab_quartile</t>
  </si>
  <si>
    <t>kabr_score</t>
  </si>
  <si>
    <t>kabr_ratio</t>
  </si>
  <si>
    <t>kabr_index</t>
  </si>
  <si>
    <t>kabr_quartile</t>
  </si>
  <si>
    <t>kam_score</t>
  </si>
  <si>
    <t>kam_ratio</t>
  </si>
  <si>
    <t>kam_index</t>
  </si>
  <si>
    <t>kam_quartile</t>
  </si>
  <si>
    <t>kamr_score</t>
  </si>
  <si>
    <t>kamr_ratio</t>
  </si>
  <si>
    <t>kamr_index</t>
  </si>
  <si>
    <t>kamr_quartile</t>
  </si>
  <si>
    <t>aps_score</t>
  </si>
  <si>
    <t>aps_ratio</t>
  </si>
  <si>
    <t>aps_index</t>
  </si>
  <si>
    <t>aps_quartile</t>
  </si>
  <si>
    <t>ase_score</t>
  </si>
  <si>
    <t>ase_ratio</t>
  </si>
  <si>
    <t>ase_index</t>
  </si>
  <si>
    <t>ase_quartile</t>
  </si>
  <si>
    <t>aa_score</t>
  </si>
  <si>
    <t>aa_ratio</t>
  </si>
  <si>
    <t>aa_index</t>
  </si>
  <si>
    <t>aa_quartile</t>
  </si>
  <si>
    <t>ane_score</t>
  </si>
  <si>
    <t>ane_ratio</t>
  </si>
  <si>
    <t>ane_index</t>
  </si>
  <si>
    <t>ane_quartile</t>
  </si>
  <si>
    <t>psp_ratio</t>
  </si>
  <si>
    <t>psp_index</t>
  </si>
  <si>
    <t>psp_quartile</t>
  </si>
  <si>
    <t>psp_score</t>
  </si>
  <si>
    <t>pas_score</t>
  </si>
  <si>
    <t>pas_ratio</t>
  </si>
  <si>
    <t>pas_index</t>
  </si>
  <si>
    <t>pas_quartile</t>
  </si>
  <si>
    <t>pac_score</t>
  </si>
  <si>
    <t>pac_ratio</t>
  </si>
  <si>
    <t>pac_index</t>
  </si>
  <si>
    <t>pac_quartile</t>
  </si>
  <si>
    <t>pr_score</t>
  </si>
  <si>
    <t>pr_ratio</t>
  </si>
  <si>
    <t>pr_index</t>
  </si>
  <si>
    <t>pr_quartile</t>
  </si>
  <si>
    <t>pd_score</t>
  </si>
  <si>
    <t>pd_ratio</t>
  </si>
  <si>
    <t>pd_index</t>
  </si>
  <si>
    <t>pd_quartile</t>
  </si>
  <si>
    <t>ps_score</t>
  </si>
  <si>
    <t>ps_ratio</t>
  </si>
  <si>
    <t>ps_index</t>
  </si>
  <si>
    <t>ps_quartile</t>
  </si>
  <si>
    <t>pim_score</t>
  </si>
  <si>
    <t>pim_ratio</t>
  </si>
  <si>
    <t>pim_index</t>
  </si>
  <si>
    <t>pim_quartile</t>
  </si>
  <si>
    <t>elaw_score</t>
  </si>
  <si>
    <t>elaw_ratio</t>
  </si>
  <si>
    <t>elaw_index</t>
  </si>
  <si>
    <t>elaw_quartile</t>
  </si>
  <si>
    <t>eprog_score</t>
  </si>
  <si>
    <t>eprog_ratio</t>
  </si>
  <si>
    <t>eprog_quartile</t>
  </si>
  <si>
    <t>eprog_index</t>
  </si>
  <si>
    <t>epar_score</t>
  </si>
  <si>
    <t>epar_ratio</t>
  </si>
  <si>
    <t>epar_index</t>
  </si>
  <si>
    <t>epar_quartile</t>
  </si>
  <si>
    <t>i_score</t>
  </si>
  <si>
    <t>i_ratio</t>
  </si>
  <si>
    <t>i_index</t>
  </si>
  <si>
    <t>i_quartile</t>
  </si>
  <si>
    <t>Can you describe your country's laws on using prescription veterinary drugs?</t>
  </si>
  <si>
    <t>Can you describe your country's laws on dispensing/disposing veterinary drugs?</t>
  </si>
  <si>
    <t>If yes, please list down the prescription laws you know or are familiar with</t>
  </si>
  <si>
    <t>If yes, please list down the disposing laws you know or are familiar with</t>
  </si>
  <si>
    <t>Have you heard about government programs on antimicrobial use in your community?</t>
  </si>
  <si>
    <t>Can you name these government programs on antimicrobial use?</t>
  </si>
  <si>
    <t>Have you been to an assembly where antimicrbial use was discussed?</t>
  </si>
  <si>
    <t>Based on what you head, please recall the top three messages that you got from the assembly</t>
  </si>
  <si>
    <t>Have you encountered information on antimicrobial use in the media?</t>
  </si>
  <si>
    <t>Please recall the top three messages that you got from the media</t>
  </si>
  <si>
    <t>Are you a member in agri-vet suppliers/vendor's organizations in your community?</t>
  </si>
  <si>
    <t>Do you join suppliers/vendors' assemblies or seminars?</t>
  </si>
  <si>
    <t>Do you discuss business management practices with your peers?</t>
  </si>
  <si>
    <t>Policy, Information, and Socio-cultural Environment</t>
  </si>
  <si>
    <t>Please rate your interest in learning more about antimicrobials such as antibiotics</t>
  </si>
  <si>
    <t>What information about antimicrobials such as antibiotics do you want to know about</t>
  </si>
  <si>
    <t>From whom do you want to learn about antimicrobial use such as antibiotics</t>
  </si>
  <si>
    <t>Source</t>
  </si>
  <si>
    <t>Top 1</t>
  </si>
  <si>
    <t>Top 2</t>
  </si>
  <si>
    <t>Top 3</t>
  </si>
  <si>
    <t xml:space="preserve">Media consumption </t>
  </si>
  <si>
    <t>For news</t>
  </si>
  <si>
    <t>For entertainment</t>
  </si>
  <si>
    <t>Communication Preferences</t>
  </si>
  <si>
    <t>Ave. Time</t>
  </si>
  <si>
    <t>Knowledge in Antibiotics</t>
  </si>
  <si>
    <t>Knowledge in Antibiotic Resistance</t>
  </si>
  <si>
    <t>Knowledge in Antimicrobials</t>
  </si>
  <si>
    <t>Knowledge in Antimicrobial Resistance</t>
  </si>
  <si>
    <t>Selling practices</t>
  </si>
  <si>
    <t>Attitude twards AMR</t>
  </si>
  <si>
    <t>Total score</t>
  </si>
  <si>
    <t>AP</t>
  </si>
  <si>
    <t>BJ</t>
  </si>
  <si>
    <t>Reach of AMR Government Programs</t>
  </si>
  <si>
    <t>Intention to Learn about Antimicrobials</t>
  </si>
  <si>
    <t>V</t>
  </si>
  <si>
    <t>B</t>
  </si>
  <si>
    <t>Variables</t>
  </si>
  <si>
    <t>Array</t>
  </si>
  <si>
    <t>KNOWLEDGE</t>
  </si>
  <si>
    <t>ATTITUDE</t>
  </si>
  <si>
    <t>INTENTION TO LEARN ABOUT ANTIMICROBIALS</t>
  </si>
  <si>
    <t>% of Agreement</t>
  </si>
  <si>
    <t>% of interest</t>
  </si>
  <si>
    <t>(%) of correct</t>
  </si>
  <si>
    <t>(%) of Agreement</t>
  </si>
  <si>
    <t>(%) of Interest</t>
  </si>
  <si>
    <t>Uses and Gratifications</t>
  </si>
  <si>
    <t>Preferred Health Sources</t>
  </si>
  <si>
    <t>Average Media Consumption Time</t>
  </si>
  <si>
    <t>news</t>
  </si>
  <si>
    <t>entertainment</t>
  </si>
  <si>
    <t>healthworkers</t>
  </si>
  <si>
    <t>Preferred Media Source</t>
  </si>
  <si>
    <t>vet school</t>
  </si>
  <si>
    <t>onine course</t>
  </si>
  <si>
    <t>websites</t>
  </si>
  <si>
    <t>documentary</t>
  </si>
  <si>
    <t>blogs</t>
  </si>
  <si>
    <t>VARIABLES</t>
  </si>
  <si>
    <t>Knowledge on Antibiotic</t>
  </si>
  <si>
    <t>P-VALUES</t>
  </si>
  <si>
    <t>Attitude towards AMR</t>
  </si>
  <si>
    <t>Self-efficacy in handling AMR-related issues</t>
  </si>
  <si>
    <t>Significant at p &lt; 0.05</t>
  </si>
  <si>
    <t>T Values</t>
  </si>
  <si>
    <t>PEARSON COEFFICIENTS</t>
  </si>
  <si>
    <t>CORRELATION OF KAP+ VARIABLES (based on processed_data scores)</t>
  </si>
  <si>
    <t>Preferred Entertainment Source</t>
  </si>
  <si>
    <t>J</t>
  </si>
  <si>
    <t>F</t>
  </si>
  <si>
    <t>N</t>
  </si>
  <si>
    <t>Z</t>
  </si>
  <si>
    <t>AD</t>
  </si>
  <si>
    <t>R</t>
  </si>
  <si>
    <t>AH</t>
  </si>
  <si>
    <t>AL</t>
  </si>
  <si>
    <t>AT</t>
  </si>
  <si>
    <t>AX</t>
  </si>
  <si>
    <t>BB</t>
  </si>
  <si>
    <t>BF</t>
  </si>
  <si>
    <t>BN</t>
  </si>
  <si>
    <t>BR</t>
  </si>
  <si>
    <t>BV</t>
  </si>
  <si>
    <t>std. deviation</t>
  </si>
  <si>
    <t>range</t>
  </si>
  <si>
    <t>Median</t>
  </si>
  <si>
    <t>Mode</t>
  </si>
  <si>
    <t>What is your highest educational attainment?</t>
  </si>
  <si>
    <t>What profession do you consider yourself in?</t>
  </si>
  <si>
    <t>Age</t>
  </si>
  <si>
    <t>According to your experience, how does one apply a permit to operate as an agricultural supplier/store?</t>
  </si>
  <si>
    <t>Mainly who does your store/company cater?</t>
  </si>
  <si>
    <t>Gender</t>
  </si>
  <si>
    <t>Have you attended an informal training related to animal production?</t>
  </si>
  <si>
    <t>mean</t>
  </si>
  <si>
    <t>median</t>
  </si>
  <si>
    <t>mode</t>
  </si>
  <si>
    <t>standard deviation</t>
  </si>
  <si>
    <t>How many years of experience do you have in your work?</t>
  </si>
  <si>
    <t>How would you classify your store/company?</t>
  </si>
  <si>
    <t>treatment spec</t>
  </si>
  <si>
    <t>treatment all</t>
  </si>
  <si>
    <t>vitamins</t>
  </si>
  <si>
    <t>k6a_abrsource_tv</t>
  </si>
  <si>
    <t>k6b_abrsource_radio</t>
  </si>
  <si>
    <t>k6c_abrsource_friends</t>
  </si>
  <si>
    <t>k6d_abrsource_seminar</t>
  </si>
  <si>
    <t>k6f_abrsource_supplier</t>
  </si>
  <si>
    <t>k6g_abrsource_SNS</t>
  </si>
  <si>
    <t>k6g_absource_others</t>
  </si>
  <si>
    <t>school</t>
  </si>
  <si>
    <t>k14g_amrsourceothers</t>
  </si>
  <si>
    <t>k14a_amrsource_TV</t>
  </si>
  <si>
    <t>k14b_amrsource_radio</t>
  </si>
  <si>
    <t>k14c_amrsource_friends</t>
  </si>
  <si>
    <t>k14d_amrsource_seminar</t>
  </si>
  <si>
    <t>k14e_amrsource_supplier</t>
  </si>
  <si>
    <t>k14f_amrsourceSNS</t>
  </si>
  <si>
    <t>p3a_askpresc</t>
  </si>
  <si>
    <t>p3b_inqcondition</t>
  </si>
  <si>
    <t>p3c_nopresc_nosell</t>
  </si>
  <si>
    <t>p3d_nopresc_sell</t>
  </si>
  <si>
    <t>p3e_expdosage</t>
  </si>
  <si>
    <t>p3f_askmonitor</t>
  </si>
  <si>
    <t>p3g_askupdate</t>
  </si>
  <si>
    <t>p3h_others</t>
  </si>
  <si>
    <t>p4a_nolaw</t>
  </si>
  <si>
    <t>p4b_notreq</t>
  </si>
  <si>
    <t>p4c_noneed</t>
  </si>
  <si>
    <t>p4d_clientsprefer</t>
  </si>
  <si>
    <t>p4e_norefuse</t>
  </si>
  <si>
    <t>p4f_other</t>
  </si>
  <si>
    <t>p5a_absource_supplier</t>
  </si>
  <si>
    <t>p5b_absource_store</t>
  </si>
  <si>
    <t>p5c_absource_pharm</t>
  </si>
  <si>
    <t>p5d_absource_other</t>
  </si>
  <si>
    <t>p7a_nolaw</t>
  </si>
  <si>
    <t>p7b_notreq</t>
  </si>
  <si>
    <t>p7c_noneed</t>
  </si>
  <si>
    <t>p7d_clientsknow</t>
  </si>
  <si>
    <t>p7e_busy</t>
  </si>
  <si>
    <t>p7f_others</t>
  </si>
  <si>
    <t>p8a_ifpresc</t>
  </si>
  <si>
    <t>p8b_ifpromotion</t>
  </si>
  <si>
    <t>p8c_ifask</t>
  </si>
  <si>
    <t>p8d_ifneed</t>
  </si>
  <si>
    <t>p11a_avianflu</t>
  </si>
  <si>
    <t>p11b_fmd</t>
  </si>
  <si>
    <t>p11c_swinefever</t>
  </si>
  <si>
    <t>p11d_newcastle</t>
  </si>
  <si>
    <t>p11e_others</t>
  </si>
  <si>
    <t>p12a_throw</t>
  </si>
  <si>
    <t>p12b_bury</t>
  </si>
  <si>
    <t>p12c_burn</t>
  </si>
  <si>
    <t>p12d_give</t>
  </si>
  <si>
    <t>p12e_keep</t>
  </si>
  <si>
    <t>p12f_others</t>
  </si>
  <si>
    <t>p13a_throw</t>
  </si>
  <si>
    <t>p13b_bury</t>
  </si>
  <si>
    <t>p13c_burn</t>
  </si>
  <si>
    <t>p13d_give</t>
  </si>
  <si>
    <t>p13e_keep</t>
  </si>
  <si>
    <t>p13f_others</t>
  </si>
  <si>
    <t>p14a_closed</t>
  </si>
  <si>
    <t>p14b_closedwithsun</t>
  </si>
  <si>
    <t>p14c_open</t>
  </si>
  <si>
    <t>p14d_openwithsun</t>
  </si>
  <si>
    <t>p14e_fridge</t>
  </si>
  <si>
    <t>p14f_other</t>
  </si>
  <si>
    <t>i3a_prefhealth</t>
  </si>
  <si>
    <t>i3b_prefgov</t>
  </si>
  <si>
    <t>i3c_prefothers</t>
  </si>
  <si>
    <t>SNS</t>
  </si>
  <si>
    <t>SD1_education</t>
  </si>
  <si>
    <t>SD2_profession</t>
  </si>
  <si>
    <t>SD3_age</t>
  </si>
  <si>
    <t>SD4_work_experience</t>
  </si>
  <si>
    <t>SD5_store_classification</t>
  </si>
  <si>
    <t>SD6_permit_application</t>
  </si>
  <si>
    <t>SD7_store_market</t>
  </si>
  <si>
    <t>SD8_gender</t>
  </si>
  <si>
    <t>SD9_animalprod_training</t>
  </si>
  <si>
    <t>less than 1 yr</t>
  </si>
  <si>
    <t>1-2 yrs</t>
  </si>
  <si>
    <t>2-5 yrs</t>
  </si>
  <si>
    <t>5-10 yrs</t>
  </si>
  <si>
    <t>10+ yrs</t>
  </si>
  <si>
    <t>vet pharm</t>
  </si>
  <si>
    <t>ID</t>
  </si>
  <si>
    <t>Handbook</t>
  </si>
  <si>
    <t>Tutorial Playlist</t>
  </si>
  <si>
    <t>Survey Information</t>
  </si>
  <si>
    <t>---</t>
  </si>
  <si>
    <t>Related Documents</t>
  </si>
  <si>
    <t>Questionnaires</t>
  </si>
  <si>
    <t>(Survey sheet + codebook)</t>
  </si>
  <si>
    <t>Video Tutorials</t>
  </si>
  <si>
    <t>Link</t>
  </si>
  <si>
    <t>About the Tool</t>
  </si>
  <si>
    <t>Reset "no." to minimum to get correct values</t>
  </si>
  <si>
    <t>Government Monitoring</t>
  </si>
  <si>
    <t>positive</t>
  </si>
  <si>
    <t>strong</t>
  </si>
  <si>
    <t>weak</t>
  </si>
  <si>
    <t>very weak</t>
  </si>
  <si>
    <t>negative</t>
  </si>
  <si>
    <t>Significant at p &lt;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</si>
</sst>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20"/>
    </font>
    <font>
      <b/>
      <sz val="11"/>
      <color theme="0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9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48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6" fontId="0" fillId="0" borderId="0" xfId="0" applyNumberFormat="1" applyFill="1" applyBorder="1"/>
    <xf numFmtId="0" fontId="0" fillId="0" borderId="0" xfId="0" applyFill="1"/>
    <xf numFmtId="49" fontId="0" fillId="0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10" borderId="0" xfId="1" quotePrefix="1" applyFill="1" applyBorder="1"/>
    <xf numFmtId="0" fontId="0" fillId="10" borderId="0" xfId="0" applyFill="1" applyBorder="1"/>
    <xf numFmtId="0" fontId="3" fillId="10" borderId="0" xfId="1" applyFill="1" applyBorder="1"/>
    <xf numFmtId="0" fontId="0" fillId="0" borderId="10" xfId="0" applyBorder="1"/>
    <xf numFmtId="0" fontId="0" fillId="0" borderId="14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/>
    <xf numFmtId="0" fontId="0" fillId="0" borderId="18" xfId="0" applyBorder="1"/>
    <xf numFmtId="0" fontId="0" fillId="0" borderId="16" xfId="0" applyBorder="1" applyAlignment="1">
      <alignment horizontal="center"/>
    </xf>
    <xf numFmtId="0" fontId="0" fillId="0" borderId="26" xfId="0" applyBorder="1"/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/>
    <xf numFmtId="0" fontId="0" fillId="0" borderId="0" xfId="0" applyFont="1" applyBorder="1"/>
    <xf numFmtId="0" fontId="0" fillId="0" borderId="18" xfId="0" applyFont="1" applyBorder="1"/>
    <xf numFmtId="0" fontId="0" fillId="0" borderId="16" xfId="0" applyFont="1" applyBorder="1"/>
    <xf numFmtId="0" fontId="0" fillId="0" borderId="18" xfId="0" applyBorder="1" applyAlignment="1">
      <alignment horizontal="center"/>
    </xf>
    <xf numFmtId="10" fontId="0" fillId="0" borderId="0" xfId="0" applyNumberFormat="1"/>
    <xf numFmtId="0" fontId="0" fillId="0" borderId="27" xfId="0" applyBorder="1"/>
    <xf numFmtId="10" fontId="0" fillId="0" borderId="0" xfId="0" applyNumberFormat="1" applyBorder="1"/>
    <xf numFmtId="0" fontId="0" fillId="0" borderId="19" xfId="0" applyBorder="1"/>
    <xf numFmtId="10" fontId="0" fillId="0" borderId="18" xfId="0" applyNumberFormat="1" applyBorder="1"/>
    <xf numFmtId="0" fontId="0" fillId="0" borderId="0" xfId="0" applyBorder="1" applyAlignment="1">
      <alignment horizontal="center"/>
    </xf>
    <xf numFmtId="9" fontId="0" fillId="0" borderId="4" xfId="2" applyFont="1" applyBorder="1"/>
    <xf numFmtId="9" fontId="0" fillId="0" borderId="0" xfId="2" applyFont="1"/>
    <xf numFmtId="0" fontId="0" fillId="0" borderId="0" xfId="0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ont="1" applyFill="1" applyBorder="1"/>
    <xf numFmtId="9" fontId="0" fillId="0" borderId="0" xfId="2" applyFont="1" applyBorder="1"/>
    <xf numFmtId="10" fontId="0" fillId="0" borderId="18" xfId="0" applyNumberFormat="1" applyBorder="1" applyAlignment="1"/>
    <xf numFmtId="0" fontId="0" fillId="0" borderId="18" xfId="0" applyBorder="1" applyAlignment="1"/>
    <xf numFmtId="0" fontId="0" fillId="11" borderId="28" xfId="0" applyNumberFormat="1" applyFont="1" applyFill="1" applyBorder="1"/>
    <xf numFmtId="0" fontId="0" fillId="0" borderId="29" xfId="0" applyFont="1" applyBorder="1"/>
    <xf numFmtId="0" fontId="0" fillId="0" borderId="15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1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1" fillId="13" borderId="0" xfId="0" applyFont="1" applyFill="1" applyBorder="1" applyAlignment="1">
      <alignment horizontal="center"/>
    </xf>
    <xf numFmtId="0" fontId="11" fillId="15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18" borderId="0" xfId="0" applyFont="1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14" xfId="0" applyFill="1" applyBorder="1"/>
    <xf numFmtId="0" fontId="0" fillId="0" borderId="12" xfId="0" applyFill="1" applyBorder="1"/>
    <xf numFmtId="0" fontId="0" fillId="0" borderId="4" xfId="0" applyBorder="1" applyAlignment="1">
      <alignment horizontal="center"/>
    </xf>
    <xf numFmtId="0" fontId="0" fillId="0" borderId="0" xfId="0"/>
    <xf numFmtId="0" fontId="0" fillId="0" borderId="9" xfId="0" applyBorder="1"/>
    <xf numFmtId="0" fontId="0" fillId="0" borderId="14" xfId="0" applyBorder="1"/>
    <xf numFmtId="0" fontId="0" fillId="0" borderId="0" xfId="0" applyBorder="1"/>
    <xf numFmtId="0" fontId="0" fillId="0" borderId="12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21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1" fillId="13" borderId="33" xfId="0" applyFont="1" applyFill="1" applyBorder="1" applyAlignment="1">
      <alignment horizontal="center"/>
    </xf>
    <xf numFmtId="0" fontId="11" fillId="15" borderId="33" xfId="0" applyFont="1" applyFill="1" applyBorder="1" applyAlignment="1">
      <alignment horizontal="center"/>
    </xf>
    <xf numFmtId="0" fontId="11" fillId="18" borderId="3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1" xfId="0" applyBorder="1"/>
    <xf numFmtId="0" fontId="0" fillId="0" borderId="0" xfId="0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2" xfId="0" applyFill="1" applyBorder="1"/>
    <xf numFmtId="0" fontId="0" fillId="9" borderId="23" xfId="0" applyFill="1" applyBorder="1"/>
    <xf numFmtId="0" fontId="0" fillId="9" borderId="25" xfId="0" applyFill="1" applyBorder="1"/>
    <xf numFmtId="0" fontId="0" fillId="9" borderId="36" xfId="0" applyFill="1" applyBorder="1"/>
    <xf numFmtId="0" fontId="0" fillId="3" borderId="23" xfId="0" applyFill="1" applyBorder="1"/>
    <xf numFmtId="0" fontId="0" fillId="3" borderId="25" xfId="0" applyFill="1" applyBorder="1"/>
    <xf numFmtId="0" fontId="0" fillId="3" borderId="36" xfId="0" applyFill="1" applyBorder="1"/>
    <xf numFmtId="0" fontId="0" fillId="4" borderId="23" xfId="0" applyFill="1" applyBorder="1"/>
    <xf numFmtId="0" fontId="0" fillId="4" borderId="25" xfId="0" applyFill="1" applyBorder="1"/>
    <xf numFmtId="0" fontId="0" fillId="4" borderId="36" xfId="0" applyFill="1" applyBorder="1"/>
    <xf numFmtId="0" fontId="0" fillId="5" borderId="19" xfId="0" applyFill="1" applyBorder="1"/>
    <xf numFmtId="0" fontId="0" fillId="5" borderId="17" xfId="0" applyFill="1" applyBorder="1"/>
    <xf numFmtId="0" fontId="0" fillId="5" borderId="24" xfId="0" applyFill="1" applyBorder="1"/>
    <xf numFmtId="0" fontId="0" fillId="0" borderId="24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26" xfId="0" applyNumberFormat="1" applyBorder="1" applyAlignment="1">
      <alignment horizontal="center"/>
    </xf>
    <xf numFmtId="11" fontId="0" fillId="0" borderId="27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1" fontId="0" fillId="0" borderId="37" xfId="0" applyNumberFormat="1" applyBorder="1" applyAlignment="1">
      <alignment horizontal="center"/>
    </xf>
    <xf numFmtId="11" fontId="0" fillId="0" borderId="38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19" xfId="0" applyNumberFormat="1" applyBorder="1" applyAlignment="1">
      <alignment horizontal="center"/>
    </xf>
    <xf numFmtId="11" fontId="0" fillId="0" borderId="18" xfId="0" applyNumberFormat="1" applyBorder="1" applyAlignment="1">
      <alignment horizontal="center"/>
    </xf>
    <xf numFmtId="11" fontId="0" fillId="0" borderId="24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11" fontId="0" fillId="0" borderId="39" xfId="0" applyNumberFormat="1" applyBorder="1" applyAlignment="1">
      <alignment horizontal="center"/>
    </xf>
    <xf numFmtId="11" fontId="0" fillId="0" borderId="21" xfId="0" applyNumberFormat="1" applyBorder="1" applyAlignment="1">
      <alignment horizontal="center"/>
    </xf>
    <xf numFmtId="11" fontId="0" fillId="0" borderId="40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5" borderId="23" xfId="0" applyFill="1" applyBorder="1"/>
    <xf numFmtId="0" fontId="0" fillId="5" borderId="25" xfId="0" applyFill="1" applyBorder="1"/>
    <xf numFmtId="0" fontId="0" fillId="5" borderId="36" xfId="0" applyFill="1" applyBorder="1"/>
    <xf numFmtId="0" fontId="0" fillId="7" borderId="19" xfId="0" applyFill="1" applyBorder="1"/>
    <xf numFmtId="0" fontId="0" fillId="2" borderId="23" xfId="0" applyFill="1" applyBorder="1"/>
    <xf numFmtId="0" fontId="0" fillId="2" borderId="25" xfId="0" applyFill="1" applyBorder="1"/>
    <xf numFmtId="0" fontId="0" fillId="2" borderId="36" xfId="0" applyFill="1" applyBorder="1"/>
    <xf numFmtId="0" fontId="0" fillId="7" borderId="27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Fill="1" applyBorder="1"/>
    <xf numFmtId="0" fontId="0" fillId="0" borderId="0" xfId="0" applyBorder="1" applyAlignment="1">
      <alignment horizontal="center"/>
    </xf>
    <xf numFmtId="0" fontId="0" fillId="0" borderId="42" xfId="0" applyFill="1" applyBorder="1"/>
    <xf numFmtId="0" fontId="1" fillId="0" borderId="45" xfId="0" applyFont="1" applyBorder="1" applyAlignment="1">
      <alignment horizontal="center"/>
    </xf>
    <xf numFmtId="0" fontId="1" fillId="22" borderId="4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10" borderId="0" xfId="1" applyFill="1" applyBorder="1" applyAlignment="1">
      <alignment horizontal="left"/>
    </xf>
    <xf numFmtId="0" fontId="6" fillId="10" borderId="0" xfId="1" applyFont="1" applyFill="1" applyBorder="1" applyAlignment="1"/>
    <xf numFmtId="0" fontId="3" fillId="10" borderId="0" xfId="1" applyFill="1" applyBorder="1" applyAlignment="1">
      <alignment horizontal="left" vertical="center"/>
    </xf>
    <xf numFmtId="0" fontId="3" fillId="10" borderId="0" xfId="1" applyFill="1" applyBorder="1" applyAlignment="1">
      <alignment horizontal="center"/>
    </xf>
    <xf numFmtId="0" fontId="1" fillId="10" borderId="10" xfId="0" applyFont="1" applyFill="1" applyBorder="1"/>
    <xf numFmtId="0" fontId="1" fillId="10" borderId="11" xfId="0" applyFont="1" applyFill="1" applyBorder="1"/>
    <xf numFmtId="0" fontId="1" fillId="10" borderId="0" xfId="0" applyFont="1" applyFill="1"/>
    <xf numFmtId="0" fontId="0" fillId="10" borderId="0" xfId="0" applyFill="1"/>
    <xf numFmtId="0" fontId="0" fillId="10" borderId="15" xfId="0" applyFill="1" applyBorder="1"/>
    <xf numFmtId="0" fontId="4" fillId="10" borderId="0" xfId="0" applyFont="1" applyFill="1"/>
    <xf numFmtId="0" fontId="4" fillId="10" borderId="15" xfId="0" applyFont="1" applyFill="1" applyBorder="1"/>
    <xf numFmtId="0" fontId="7" fillId="10" borderId="15" xfId="0" applyFont="1" applyFill="1" applyBorder="1"/>
    <xf numFmtId="0" fontId="7" fillId="10" borderId="0" xfId="0" applyFont="1" applyFill="1"/>
    <xf numFmtId="0" fontId="0" fillId="10" borderId="14" xfId="0" applyFill="1" applyBorder="1"/>
    <xf numFmtId="0" fontId="4" fillId="10" borderId="0" xfId="0" quotePrefix="1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5" fillId="10" borderId="15" xfId="0" applyFont="1" applyFill="1" applyBorder="1" applyAlignment="1">
      <alignment vertical="center"/>
    </xf>
    <xf numFmtId="0" fontId="5" fillId="10" borderId="0" xfId="0" applyFont="1" applyFill="1" applyAlignment="1">
      <alignment vertical="center"/>
    </xf>
    <xf numFmtId="0" fontId="1" fillId="10" borderId="0" xfId="0" applyFont="1" applyFill="1" applyAlignment="1">
      <alignment horizontal="right"/>
    </xf>
    <xf numFmtId="0" fontId="4" fillId="10" borderId="0" xfId="0" applyFont="1" applyFill="1" applyAlignment="1">
      <alignment horizontal="left"/>
    </xf>
    <xf numFmtId="0" fontId="6" fillId="10" borderId="15" xfId="1" applyFont="1" applyFill="1" applyBorder="1" applyAlignment="1"/>
    <xf numFmtId="0" fontId="3" fillId="10" borderId="15" xfId="1" applyFill="1" applyBorder="1" applyAlignment="1"/>
    <xf numFmtId="0" fontId="3" fillId="10" borderId="0" xfId="1" applyFill="1" applyBorder="1" applyAlignment="1"/>
    <xf numFmtId="0" fontId="6" fillId="10" borderId="15" xfId="1" quotePrefix="1" applyFont="1" applyFill="1" applyBorder="1" applyAlignment="1"/>
    <xf numFmtId="0" fontId="6" fillId="10" borderId="0" xfId="1" quotePrefix="1" applyFont="1" applyFill="1" applyBorder="1" applyAlignment="1"/>
    <xf numFmtId="0" fontId="1" fillId="10" borderId="0" xfId="0" applyFont="1" applyFill="1" applyAlignment="1">
      <alignment horizontal="center"/>
    </xf>
    <xf numFmtId="0" fontId="3" fillId="10" borderId="15" xfId="1" applyFill="1" applyBorder="1" applyAlignment="1">
      <alignment vertical="center"/>
    </xf>
    <xf numFmtId="0" fontId="3" fillId="10" borderId="0" xfId="1" applyFill="1" applyBorder="1" applyAlignment="1">
      <alignment vertical="center"/>
    </xf>
    <xf numFmtId="0" fontId="1" fillId="10" borderId="15" xfId="0" applyFont="1" applyFill="1" applyBorder="1"/>
    <xf numFmtId="0" fontId="3" fillId="10" borderId="0" xfId="1" applyFill="1" applyBorder="1" applyAlignment="1">
      <alignment horizontal="center" vertical="center"/>
    </xf>
    <xf numFmtId="0" fontId="3" fillId="10" borderId="0" xfId="1" quotePrefix="1" applyFill="1" applyBorder="1" applyAlignment="1"/>
    <xf numFmtId="0" fontId="3" fillId="10" borderId="15" xfId="1" quotePrefix="1" applyFill="1" applyBorder="1" applyAlignment="1"/>
    <xf numFmtId="0" fontId="0" fillId="10" borderId="14" xfId="0" applyFill="1" applyBorder="1" applyAlignment="1">
      <alignment vertical="center"/>
    </xf>
    <xf numFmtId="0" fontId="1" fillId="10" borderId="14" xfId="0" applyFont="1" applyFill="1" applyBorder="1"/>
    <xf numFmtId="0" fontId="4" fillId="10" borderId="20" xfId="0" applyFont="1" applyFill="1" applyBorder="1"/>
    <xf numFmtId="0" fontId="4" fillId="10" borderId="12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10" borderId="6" xfId="1" quotePrefix="1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2" fillId="10" borderId="0" xfId="0" applyFont="1" applyFill="1" applyAlignment="1">
      <alignment vertical="center"/>
    </xf>
    <xf numFmtId="10" fontId="0" fillId="3" borderId="0" xfId="0" applyNumberFormat="1" applyFill="1"/>
    <xf numFmtId="0" fontId="1" fillId="0" borderId="0" xfId="0" applyFont="1"/>
    <xf numFmtId="0" fontId="0" fillId="23" borderId="0" xfId="0" applyFill="1" applyAlignment="1">
      <alignment horizontal="center"/>
    </xf>
    <xf numFmtId="0" fontId="0" fillId="23" borderId="9" xfId="0" applyFill="1" applyBorder="1"/>
    <xf numFmtId="0" fontId="0" fillId="21" borderId="14" xfId="0" applyFill="1" applyBorder="1"/>
    <xf numFmtId="0" fontId="0" fillId="26" borderId="14" xfId="0" applyFill="1" applyBorder="1"/>
    <xf numFmtId="0" fontId="0" fillId="27" borderId="14" xfId="0" applyFill="1" applyBorder="1"/>
    <xf numFmtId="0" fontId="0" fillId="5" borderId="14" xfId="0" applyFill="1" applyBorder="1"/>
    <xf numFmtId="0" fontId="0" fillId="3" borderId="14" xfId="0" applyFill="1" applyBorder="1"/>
    <xf numFmtId="0" fontId="0" fillId="28" borderId="14" xfId="0" applyFill="1" applyBorder="1"/>
    <xf numFmtId="0" fontId="0" fillId="29" borderId="14" xfId="0" applyFill="1" applyBorder="1"/>
    <xf numFmtId="0" fontId="0" fillId="24" borderId="14" xfId="0" applyFill="1" applyBorder="1"/>
    <xf numFmtId="0" fontId="0" fillId="25" borderId="12" xfId="0" applyFill="1" applyBorder="1"/>
    <xf numFmtId="0" fontId="1" fillId="10" borderId="14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14" fillId="0" borderId="45" xfId="1" applyFont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14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4" fillId="22" borderId="45" xfId="1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3" fillId="0" borderId="15" xfId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1" fillId="17" borderId="14" xfId="0" applyFont="1" applyFill="1" applyBorder="1" applyAlignment="1">
      <alignment horizontal="center"/>
    </xf>
    <xf numFmtId="0" fontId="11" fillId="17" borderId="0" xfId="0" applyFont="1" applyFill="1" applyBorder="1" applyAlignment="1">
      <alignment horizontal="center"/>
    </xf>
    <xf numFmtId="0" fontId="3" fillId="0" borderId="0" xfId="1" applyBorder="1" applyAlignment="1">
      <alignment horizontal="center" vertical="center"/>
    </xf>
    <xf numFmtId="0" fontId="11" fillId="12" borderId="14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9" fillId="14" borderId="9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horizontal="center" vertical="center"/>
    </xf>
    <xf numFmtId="0" fontId="9" fillId="14" borderId="11" xfId="0" applyFont="1" applyFill="1" applyBorder="1" applyAlignment="1">
      <alignment horizontal="center" vertical="center"/>
    </xf>
    <xf numFmtId="0" fontId="9" fillId="14" borderId="12" xfId="0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0" fontId="9" fillId="14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/>
    </xf>
    <xf numFmtId="0" fontId="11" fillId="20" borderId="0" xfId="0" applyFont="1" applyFill="1" applyBorder="1" applyAlignment="1">
      <alignment horizontal="center"/>
    </xf>
    <xf numFmtId="0" fontId="11" fillId="19" borderId="14" xfId="0" applyFont="1" applyFill="1" applyBorder="1" applyAlignment="1">
      <alignment horizontal="center"/>
    </xf>
    <xf numFmtId="0" fontId="11" fillId="19" borderId="0" xfId="0" applyFont="1" applyFill="1" applyBorder="1" applyAlignment="1">
      <alignment horizontal="center"/>
    </xf>
    <xf numFmtId="0" fontId="11" fillId="16" borderId="14" xfId="0" applyFont="1" applyFill="1" applyBorder="1" applyAlignment="1">
      <alignment horizontal="center"/>
    </xf>
    <xf numFmtId="0" fontId="11" fillId="16" borderId="0" xfId="0" applyFont="1" applyFill="1" applyBorder="1" applyAlignment="1">
      <alignment horizontal="center"/>
    </xf>
    <xf numFmtId="0" fontId="9" fillId="10" borderId="32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0" fontId="9" fillId="10" borderId="30" xfId="0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12" fillId="14" borderId="9" xfId="0" applyFont="1" applyFill="1" applyBorder="1" applyAlignment="1">
      <alignment horizontal="center"/>
    </xf>
    <xf numFmtId="0" fontId="12" fillId="14" borderId="10" xfId="0" applyFont="1" applyFill="1" applyBorder="1" applyAlignment="1">
      <alignment horizontal="center"/>
    </xf>
    <xf numFmtId="0" fontId="12" fillId="14" borderId="11" xfId="0" applyFont="1" applyFill="1" applyBorder="1" applyAlignment="1">
      <alignment horizontal="center"/>
    </xf>
    <xf numFmtId="0" fontId="12" fillId="14" borderId="12" xfId="0" applyFont="1" applyFill="1" applyBorder="1" applyAlignment="1">
      <alignment horizontal="center"/>
    </xf>
    <xf numFmtId="0" fontId="12" fillId="14" borderId="6" xfId="0" applyFont="1" applyFill="1" applyBorder="1" applyAlignment="1">
      <alignment horizontal="center"/>
    </xf>
    <xf numFmtId="0" fontId="12" fillId="14" borderId="13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118"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Knowledge on</a:t>
            </a:r>
            <a:r>
              <a:rPr lang="en-US" b="1" baseline="0"/>
              <a:t> AMR/AMU</a:t>
            </a:r>
            <a:endParaRPr lang="en-US" b="1"/>
          </a:p>
        </c:rich>
      </c:tx>
      <c:layout>
        <c:manualLayout>
          <c:xMode val="edge"/>
          <c:yMode val="edge"/>
          <c:x val="3.3870301096083903E-2"/>
          <c:y val="3.64741641337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summary!$B$5:$B$8</c:f>
              <c:strCache>
                <c:ptCount val="4"/>
                <c:pt idx="0">
                  <c:v>Knowledge in Antibiotics</c:v>
                </c:pt>
                <c:pt idx="1">
                  <c:v>Knowledge in Antimicrobials</c:v>
                </c:pt>
                <c:pt idx="2">
                  <c:v>Knowledge in Antibiotic Resistance</c:v>
                </c:pt>
                <c:pt idx="3">
                  <c:v>Knowledge in Antimicrobial Resistance</c:v>
                </c:pt>
              </c:strCache>
            </c:strRef>
          </c:cat>
          <c:val>
            <c:numRef>
              <c:f>summary!$I$5:$I$8</c:f>
              <c:numCache>
                <c:formatCode>0%</c:formatCode>
                <c:ptCount val="4"/>
                <c:pt idx="0">
                  <c:v>0.52</c:v>
                </c:pt>
                <c:pt idx="1">
                  <c:v>0.33333333333333331</c:v>
                </c:pt>
                <c:pt idx="2">
                  <c:v>0.24</c:v>
                </c:pt>
                <c:pt idx="3">
                  <c:v>0.16774193548387098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5-4202-9435-D667BC1C8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1459888"/>
        <c:axId val="591461136"/>
      </c:barChart>
      <c:catAx>
        <c:axId val="59145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61136"/>
        <c:crosses val="autoZero"/>
        <c:auto val="1"/>
        <c:lblAlgn val="ctr"/>
        <c:lblOffset val="100"/>
        <c:noMultiLvlLbl val="0"/>
      </c:catAx>
      <c:valAx>
        <c:axId val="591461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Knowledge</a:t>
            </a:r>
            <a:r>
              <a:rPr lang="en-US" b="1" baseline="0"/>
              <a:t> on Antibiotic Resistance</a:t>
            </a:r>
          </a:p>
        </c:rich>
      </c:tx>
      <c:layout>
        <c:manualLayout>
          <c:xMode val="edge"/>
          <c:yMode val="edge"/>
          <c:x val="2.722193972600255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survey_answers!$H$7:$H$9</c:f>
              <c:strCache>
                <c:ptCount val="3"/>
                <c:pt idx="0">
                  <c:v>Have you heard of antibiotic resistance?</c:v>
                </c:pt>
                <c:pt idx="1">
                  <c:v>What best describes antibiotic resistance?</c:v>
                </c:pt>
                <c:pt idx="2">
                  <c:v>Where did you hear about antibiotic resistance?</c:v>
                </c:pt>
              </c:strCache>
            </c:strRef>
          </c:cat>
          <c:val>
            <c:numRef>
              <c:f>survey_answers!$J$7:$J$9</c:f>
              <c:numCache>
                <c:formatCode>0.00%</c:formatCode>
                <c:ptCount val="3"/>
                <c:pt idx="0">
                  <c:v>0.3</c:v>
                </c:pt>
                <c:pt idx="1">
                  <c:v>0.2</c:v>
                </c:pt>
                <c:pt idx="2">
                  <c:v>0.17142857142857143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A-4F12-87E5-F10B2127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07183"/>
        <c:axId val="145198031"/>
      </c:barChart>
      <c:catAx>
        <c:axId val="1452071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8031"/>
        <c:crosses val="autoZero"/>
        <c:auto val="1"/>
        <c:lblAlgn val="ctr"/>
        <c:lblOffset val="100"/>
        <c:noMultiLvlLbl val="0"/>
      </c:catAx>
      <c:valAx>
        <c:axId val="14519803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Knowledge</a:t>
            </a:r>
            <a:r>
              <a:rPr lang="en-US" b="1" baseline="0"/>
              <a:t> on Antimicrobials</a:t>
            </a:r>
          </a:p>
        </c:rich>
      </c:tx>
      <c:layout>
        <c:manualLayout>
          <c:xMode val="edge"/>
          <c:yMode val="edge"/>
          <c:x val="2.722193972600255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survey_answers!$H$10:$H$12</c:f>
              <c:strCache>
                <c:ptCount val="3"/>
                <c:pt idx="0">
                  <c:v>Do you know what are antimicrobials?</c:v>
                </c:pt>
                <c:pt idx="1">
                  <c:v>List three antimicrobials</c:v>
                </c:pt>
                <c:pt idx="2">
                  <c:v>Which of the following are considered antimicrobials?</c:v>
                </c:pt>
              </c:strCache>
            </c:strRef>
          </c:cat>
          <c:val>
            <c:numRef>
              <c:f>survey_answers!$J$10:$J$12</c:f>
              <c:numCache>
                <c:formatCode>0.00%</c:formatCode>
                <c:ptCount val="3"/>
                <c:pt idx="0">
                  <c:v>0.3</c:v>
                </c:pt>
                <c:pt idx="1">
                  <c:v>0.19999999999999998</c:v>
                </c:pt>
                <c:pt idx="2">
                  <c:v>0.52500000000000002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F-4300-A1E9-16BB90FEC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07183"/>
        <c:axId val="145198031"/>
      </c:barChart>
      <c:catAx>
        <c:axId val="1452071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8031"/>
        <c:crosses val="autoZero"/>
        <c:auto val="1"/>
        <c:lblAlgn val="ctr"/>
        <c:lblOffset val="100"/>
        <c:noMultiLvlLbl val="0"/>
      </c:catAx>
      <c:valAx>
        <c:axId val="14519803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Knowledge</a:t>
            </a:r>
            <a:r>
              <a:rPr lang="en-US" b="1" baseline="0"/>
              <a:t> on Antimicrobial Resistance</a:t>
            </a:r>
          </a:p>
        </c:rich>
      </c:tx>
      <c:layout>
        <c:manualLayout>
          <c:xMode val="edge"/>
          <c:yMode val="edge"/>
          <c:x val="2.722193972600255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survey_answers!$H$13:$H$21</c:f>
              <c:strCache>
                <c:ptCount val="9"/>
                <c:pt idx="0">
                  <c:v>Which of the following best describes AMR?</c:v>
                </c:pt>
                <c:pt idx="1">
                  <c:v>All antimicrobials in humans are also used in animals</c:v>
                </c:pt>
                <c:pt idx="2">
                  <c:v>There is a difference between antibiotics and antimicrobials</c:v>
                </c:pt>
                <c:pt idx="3">
                  <c:v>Have you heard of antimicrobial resistance (AMR)? </c:v>
                </c:pt>
                <c:pt idx="4">
                  <c:v>Where did you hear about AMR?</c:v>
                </c:pt>
                <c:pt idx="5">
                  <c:v>Which is true about AMR?</c:v>
                </c:pt>
                <c:pt idx="6">
                  <c:v>Which of the following is true about AMR as a health issue?</c:v>
                </c:pt>
                <c:pt idx="7">
                  <c:v>Which of the following can contribute to AMR?</c:v>
                </c:pt>
                <c:pt idx="8">
                  <c:v>Which of the following can control/prevent AMR?</c:v>
                </c:pt>
              </c:strCache>
            </c:strRef>
          </c:cat>
          <c:val>
            <c:numRef>
              <c:f>survey_answers!$J$13:$J$21</c:f>
              <c:numCache>
                <c:formatCode>0.00%</c:formatCode>
                <c:ptCount val="9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  <c:pt idx="3">
                  <c:v>0.3</c:v>
                </c:pt>
                <c:pt idx="4">
                  <c:v>4.2857142857142858E-2</c:v>
                </c:pt>
                <c:pt idx="5">
                  <c:v>0.22000000000000003</c:v>
                </c:pt>
                <c:pt idx="6">
                  <c:v>0.25</c:v>
                </c:pt>
                <c:pt idx="7">
                  <c:v>0.16666666666666666</c:v>
                </c:pt>
                <c:pt idx="8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F-4328-BA5D-75C7ED25A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07183"/>
        <c:axId val="145198031"/>
      </c:barChart>
      <c:catAx>
        <c:axId val="1452071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8031"/>
        <c:crosses val="autoZero"/>
        <c:auto val="1"/>
        <c:lblAlgn val="ctr"/>
        <c:lblOffset val="100"/>
        <c:noMultiLvlLbl val="0"/>
      </c:catAx>
      <c:valAx>
        <c:axId val="14519803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Selling Practices</a:t>
            </a:r>
          </a:p>
        </c:rich>
      </c:tx>
      <c:layout>
        <c:manualLayout>
          <c:xMode val="edge"/>
          <c:yMode val="edge"/>
          <c:x val="2.191160301091680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survey_answers!$AA$4:$AA$7</c:f>
              <c:strCache>
                <c:ptCount val="4"/>
                <c:pt idx="0">
                  <c:v>What are the three bestselling OTC drugs in your store?</c:v>
                </c:pt>
                <c:pt idx="1">
                  <c:v>What are the three bestselling prescription drugs in your store?</c:v>
                </c:pt>
                <c:pt idx="2">
                  <c:v>What do you do when a client wants to buy a prescription drug from your store?</c:v>
                </c:pt>
                <c:pt idx="3">
                  <c:v>If you dispense prescription drugs without a vet's prescription, please tell us why?</c:v>
                </c:pt>
              </c:strCache>
            </c:strRef>
          </c:cat>
          <c:val>
            <c:numRef>
              <c:f>survey_answers!$AC$4:$AC$7</c:f>
              <c:numCache>
                <c:formatCode>0%</c:formatCode>
                <c:ptCount val="4"/>
                <c:pt idx="0">
                  <c:v>0.9</c:v>
                </c:pt>
                <c:pt idx="1">
                  <c:v>0.9</c:v>
                </c:pt>
                <c:pt idx="2">
                  <c:v>0.41249999999999998</c:v>
                </c:pt>
                <c:pt idx="3">
                  <c:v>0.3666666666666667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A-4A4C-A0DB-C0E6A0C72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5932847"/>
        <c:axId val="1755933263"/>
      </c:barChart>
      <c:catAx>
        <c:axId val="17559328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33263"/>
        <c:crosses val="autoZero"/>
        <c:auto val="1"/>
        <c:lblAlgn val="ctr"/>
        <c:lblOffset val="100"/>
        <c:noMultiLvlLbl val="0"/>
      </c:catAx>
      <c:valAx>
        <c:axId val="17559332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3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Access/Source</a:t>
            </a:r>
          </a:p>
        </c:rich>
      </c:tx>
      <c:layout>
        <c:manualLayout>
          <c:xMode val="edge"/>
          <c:yMode val="edge"/>
          <c:x val="2.191160301091680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survey_answers!$AA$8</c:f>
              <c:strCache>
                <c:ptCount val="1"/>
                <c:pt idx="0">
                  <c:v>Where do you source the antibiotics you prescribe/sell?</c:v>
                </c:pt>
              </c:strCache>
            </c:strRef>
          </c:cat>
          <c:val>
            <c:numRef>
              <c:f>survey_answers!$AC$8</c:f>
              <c:numCache>
                <c:formatCode>0%</c:formatCode>
                <c:ptCount val="1"/>
                <c:pt idx="0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5-493D-8BA8-2E1A00B64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5932847"/>
        <c:axId val="1755933263"/>
      </c:barChart>
      <c:catAx>
        <c:axId val="17559328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33263"/>
        <c:crosses val="autoZero"/>
        <c:auto val="1"/>
        <c:lblAlgn val="ctr"/>
        <c:lblOffset val="100"/>
        <c:noMultiLvlLbl val="0"/>
      </c:catAx>
      <c:valAx>
        <c:axId val="175593326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3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Advising Clients on Antibiotic Use</a:t>
            </a:r>
          </a:p>
        </c:rich>
      </c:tx>
      <c:layout>
        <c:manualLayout>
          <c:xMode val="edge"/>
          <c:yMode val="edge"/>
          <c:x val="2.191160301091680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survey_answers!$AA$9:$AA$12</c:f>
              <c:strCache>
                <c:ptCount val="4"/>
                <c:pt idx="0">
                  <c:v>Do you always advise clients/customers how to use antibiotics for use in farms?</c:v>
                </c:pt>
                <c:pt idx="1">
                  <c:v>If you answer "sometimes" or "no" in 6, please tell us why?</c:v>
                </c:pt>
                <c:pt idx="2">
                  <c:v>When do you advise clients/customers to use/buy antibiotics for use in farms?</c:v>
                </c:pt>
                <c:pt idx="3">
                  <c:v>How do you advise client/customer on the use of antibiotics in farms/animals?</c:v>
                </c:pt>
              </c:strCache>
            </c:strRef>
          </c:cat>
          <c:val>
            <c:numRef>
              <c:f>survey_answers!$AC$9:$AC$12</c:f>
              <c:numCache>
                <c:formatCode>0%</c:formatCode>
                <c:ptCount val="4"/>
                <c:pt idx="0">
                  <c:v>0.6</c:v>
                </c:pt>
                <c:pt idx="1">
                  <c:v>8.3333333333333329E-2</c:v>
                </c:pt>
                <c:pt idx="2">
                  <c:v>0.625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F-4E3B-B777-48978D81E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5932847"/>
        <c:axId val="1755933263"/>
      </c:barChart>
      <c:catAx>
        <c:axId val="17559328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33263"/>
        <c:crosses val="autoZero"/>
        <c:auto val="1"/>
        <c:lblAlgn val="ctr"/>
        <c:lblOffset val="100"/>
        <c:noMultiLvlLbl val="0"/>
      </c:catAx>
      <c:valAx>
        <c:axId val="175593326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3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Recording Purchases</a:t>
            </a:r>
          </a:p>
        </c:rich>
      </c:tx>
      <c:layout>
        <c:manualLayout>
          <c:xMode val="edge"/>
          <c:yMode val="edge"/>
          <c:x val="2.191160301091680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survey_answers!$AA$13:$AA$14</c:f>
              <c:strCache>
                <c:ptCount val="2"/>
                <c:pt idx="0">
                  <c:v>Do you keep a record of number of prescriptions you issue to clients/customers?</c:v>
                </c:pt>
                <c:pt idx="1">
                  <c:v>Have you advised the use of antibiotics to treat any of the following diseases?</c:v>
                </c:pt>
              </c:strCache>
            </c:strRef>
          </c:cat>
          <c:val>
            <c:numRef>
              <c:f>survey_answers!$AC$13:$AC$14</c:f>
              <c:numCache>
                <c:formatCode>0%</c:formatCode>
                <c:ptCount val="2"/>
                <c:pt idx="0">
                  <c:v>0.5</c:v>
                </c:pt>
                <c:pt idx="1">
                  <c:v>0.67999999999999994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4-4596-B309-B98D0F148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5932847"/>
        <c:axId val="1755933263"/>
      </c:barChart>
      <c:catAx>
        <c:axId val="17559328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33263"/>
        <c:crosses val="autoZero"/>
        <c:auto val="1"/>
        <c:lblAlgn val="ctr"/>
        <c:lblOffset val="100"/>
        <c:noMultiLvlLbl val="0"/>
      </c:catAx>
      <c:valAx>
        <c:axId val="175593326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3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Disposal Instructions</a:t>
            </a:r>
          </a:p>
        </c:rich>
      </c:tx>
      <c:layout>
        <c:manualLayout>
          <c:xMode val="edge"/>
          <c:yMode val="edge"/>
          <c:x val="2.191160301091680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survey_answers!$AA$15:$AA$16</c:f>
              <c:strCache>
                <c:ptCount val="2"/>
                <c:pt idx="0">
                  <c:v>What do you usually advise to clients/farmers when they have excess antibiotics?</c:v>
                </c:pt>
                <c:pt idx="1">
                  <c:v>What do you usually advise to clients/farmers when they have expired antibiotics?</c:v>
                </c:pt>
              </c:strCache>
            </c:strRef>
          </c:cat>
          <c:val>
            <c:numRef>
              <c:f>survey_answers!$AC$15:$AC$16</c:f>
              <c:numCache>
                <c:formatCode>0%</c:formatCode>
                <c:ptCount val="2"/>
                <c:pt idx="0">
                  <c:v>0.48333333333333334</c:v>
                </c:pt>
                <c:pt idx="1">
                  <c:v>0.54999999999999993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6-4141-BFC1-CDDFD618E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5932847"/>
        <c:axId val="1755933263"/>
      </c:barChart>
      <c:catAx>
        <c:axId val="17559328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33263"/>
        <c:crosses val="autoZero"/>
        <c:auto val="1"/>
        <c:lblAlgn val="ctr"/>
        <c:lblOffset val="100"/>
        <c:noMultiLvlLbl val="0"/>
      </c:catAx>
      <c:valAx>
        <c:axId val="175593326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3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Storage Practices</a:t>
            </a:r>
          </a:p>
        </c:rich>
      </c:tx>
      <c:layout>
        <c:manualLayout>
          <c:xMode val="edge"/>
          <c:yMode val="edge"/>
          <c:x val="2.191160301091680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survey_answers!$AA$17:$AA$19</c:f>
              <c:strCache>
                <c:ptCount val="3"/>
                <c:pt idx="0">
                  <c:v>Where do you store your prescriptionn drugs and antibiotics?</c:v>
                </c:pt>
                <c:pt idx="1">
                  <c:v>How often do you check the expiration dates of the drugs including antibiotics?</c:v>
                </c:pt>
                <c:pt idx="2">
                  <c:v>What do you do when the drugs including antibiotics have reached their expiration date?</c:v>
                </c:pt>
              </c:strCache>
            </c:strRef>
          </c:cat>
          <c:val>
            <c:numRef>
              <c:f>survey_answers!$AC$17:$AC$19</c:f>
              <c:numCache>
                <c:formatCode>0%</c:formatCode>
                <c:ptCount val="3"/>
                <c:pt idx="0">
                  <c:v>0.53333333333333333</c:v>
                </c:pt>
                <c:pt idx="1">
                  <c:v>0.9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2-470D-B480-D39FC5D3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5932847"/>
        <c:axId val="1755933263"/>
      </c:barChart>
      <c:catAx>
        <c:axId val="17559328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33263"/>
        <c:crosses val="autoZero"/>
        <c:auto val="1"/>
        <c:lblAlgn val="ctr"/>
        <c:lblOffset val="100"/>
        <c:noMultiLvlLbl val="0"/>
      </c:catAx>
      <c:valAx>
        <c:axId val="175593326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3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Government Monitoring</a:t>
            </a:r>
          </a:p>
        </c:rich>
      </c:tx>
      <c:layout>
        <c:manualLayout>
          <c:xMode val="edge"/>
          <c:yMode val="edge"/>
          <c:x val="2.191160301091680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survey_answers!$AA$20</c:f>
              <c:strCache>
                <c:ptCount val="1"/>
                <c:pt idx="0">
                  <c:v>Does anyone from the government monitor the antibiotics you are selling?</c:v>
                </c:pt>
              </c:strCache>
            </c:strRef>
          </c:cat>
          <c:val>
            <c:numRef>
              <c:f>survey_answers!$AC$20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8-415F-9B27-362B4AF9D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5932847"/>
        <c:axId val="1755933263"/>
      </c:barChart>
      <c:catAx>
        <c:axId val="17559328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33263"/>
        <c:crosses val="autoZero"/>
        <c:auto val="1"/>
        <c:lblAlgn val="ctr"/>
        <c:lblOffset val="100"/>
        <c:noMultiLvlLbl val="0"/>
      </c:catAx>
      <c:valAx>
        <c:axId val="175593326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3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Observance</a:t>
            </a:r>
            <a:r>
              <a:rPr lang="en-US" b="1" baseline="0"/>
              <a:t> of Proper AMU Practices</a:t>
            </a:r>
            <a:endParaRPr lang="en-US" b="1"/>
          </a:p>
        </c:rich>
      </c:tx>
      <c:layout>
        <c:manualLayout>
          <c:xMode val="edge"/>
          <c:yMode val="edge"/>
          <c:x val="4.3390075341301765E-2"/>
          <c:y val="3.9436619718309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summary!$B$19:$B$25</c:f>
              <c:strCache>
                <c:ptCount val="7"/>
                <c:pt idx="0">
                  <c:v>Recording Purchases</c:v>
                </c:pt>
                <c:pt idx="1">
                  <c:v>Storage Practices</c:v>
                </c:pt>
                <c:pt idx="2">
                  <c:v>Selling practices</c:v>
                </c:pt>
                <c:pt idx="3">
                  <c:v>Disposal Instructions</c:v>
                </c:pt>
                <c:pt idx="4">
                  <c:v>Access/Source</c:v>
                </c:pt>
                <c:pt idx="5">
                  <c:v>Advising Clients on Antibiotic Use</c:v>
                </c:pt>
                <c:pt idx="6">
                  <c:v>Government Monitoring</c:v>
                </c:pt>
              </c:strCache>
            </c:strRef>
          </c:cat>
          <c:val>
            <c:numRef>
              <c:f>summary!$I$19:$I$25</c:f>
              <c:numCache>
                <c:formatCode>0%</c:formatCode>
                <c:ptCount val="7"/>
                <c:pt idx="0">
                  <c:v>0.65</c:v>
                </c:pt>
                <c:pt idx="1">
                  <c:v>0.61250000000000004</c:v>
                </c:pt>
                <c:pt idx="2">
                  <c:v>0.54500000000000004</c:v>
                </c:pt>
                <c:pt idx="3">
                  <c:v>0.51666666666666672</c:v>
                </c:pt>
                <c:pt idx="4">
                  <c:v>0.47499999999999998</c:v>
                </c:pt>
                <c:pt idx="5">
                  <c:v>0.41666666666666669</c:v>
                </c:pt>
                <c:pt idx="6">
                  <c:v>1.2500000000000001E-2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3-48A5-A31D-503733E6A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0190688"/>
        <c:axId val="1240191104"/>
      </c:barChart>
      <c:catAx>
        <c:axId val="124019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91104"/>
        <c:crosses val="autoZero"/>
        <c:auto val="1"/>
        <c:lblAlgn val="ctr"/>
        <c:lblOffset val="100"/>
        <c:noMultiLvlLbl val="0"/>
      </c:catAx>
      <c:valAx>
        <c:axId val="1240191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9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Reach of AMR Laws</a:t>
            </a:r>
          </a:p>
        </c:rich>
      </c:tx>
      <c:layout>
        <c:manualLayout>
          <c:xMode val="edge"/>
          <c:yMode val="edge"/>
          <c:x val="2.303489017703859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survey_answers!$AH$4:$AH$7</c:f>
              <c:strCache>
                <c:ptCount val="4"/>
                <c:pt idx="0">
                  <c:v>Can you describe your country's laws on using prescription veterinary drugs?</c:v>
                </c:pt>
                <c:pt idx="1">
                  <c:v>If yes, please list down the prescription laws you know or are familiar with</c:v>
                </c:pt>
                <c:pt idx="2">
                  <c:v>Can you describe your country's laws on dispensing/disposing veterinary drugs?</c:v>
                </c:pt>
                <c:pt idx="3">
                  <c:v>If yes, please list down the disposing laws you know or are familiar with</c:v>
                </c:pt>
              </c:strCache>
            </c:strRef>
          </c:cat>
          <c:val>
            <c:numRef>
              <c:f>survey_answers!$AJ$4:$AJ$7</c:f>
              <c:numCache>
                <c:formatCode>0%</c:formatCode>
                <c:ptCount val="4"/>
                <c:pt idx="0">
                  <c:v>0.5</c:v>
                </c:pt>
                <c:pt idx="1">
                  <c:v>0.2</c:v>
                </c:pt>
                <c:pt idx="2">
                  <c:v>0.5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4-42E3-AFFE-C8E69579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05935"/>
        <c:axId val="145189711"/>
      </c:barChart>
      <c:catAx>
        <c:axId val="1452059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89711"/>
        <c:crosses val="autoZero"/>
        <c:auto val="1"/>
        <c:lblAlgn val="ctr"/>
        <c:lblOffset val="100"/>
        <c:noMultiLvlLbl val="0"/>
      </c:catAx>
      <c:valAx>
        <c:axId val="1451897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Reach of Government AMR Programs</a:t>
            </a:r>
          </a:p>
        </c:rich>
      </c:tx>
      <c:layout>
        <c:manualLayout>
          <c:xMode val="edge"/>
          <c:yMode val="edge"/>
          <c:x val="2.303489017703859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survey_answers!$AH$8:$AH$13</c:f>
              <c:strCache>
                <c:ptCount val="6"/>
                <c:pt idx="0">
                  <c:v>Have you heard about government programs on antimicrobial use in your community?</c:v>
                </c:pt>
                <c:pt idx="1">
                  <c:v>Can you name these government programs on antimicrobial use?</c:v>
                </c:pt>
                <c:pt idx="2">
                  <c:v>Have you been to an assembly where antimicrbial use was discussed?</c:v>
                </c:pt>
                <c:pt idx="3">
                  <c:v>Based on what you head, please recall the top three messages that you got from the assembly</c:v>
                </c:pt>
                <c:pt idx="4">
                  <c:v>Have you encountered information on antimicrobial use in the media?</c:v>
                </c:pt>
                <c:pt idx="5">
                  <c:v>Please recall the top three messages that you got from the media</c:v>
                </c:pt>
              </c:strCache>
            </c:strRef>
          </c:cat>
          <c:val>
            <c:numRef>
              <c:f>survey_answers!$AJ$8:$AJ$13</c:f>
              <c:numCache>
                <c:formatCode>0%</c:formatCode>
                <c:ptCount val="6"/>
                <c:pt idx="0">
                  <c:v>0.8</c:v>
                </c:pt>
                <c:pt idx="1">
                  <c:v>0</c:v>
                </c:pt>
                <c:pt idx="2">
                  <c:v>0.7</c:v>
                </c:pt>
                <c:pt idx="3">
                  <c:v>0.53333333333333333</c:v>
                </c:pt>
                <c:pt idx="4">
                  <c:v>0.1</c:v>
                </c:pt>
                <c:pt idx="5">
                  <c:v>9.9999999999999992E-2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7-4E23-9038-D66EDAFE6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05935"/>
        <c:axId val="145189711"/>
      </c:barChart>
      <c:catAx>
        <c:axId val="1452059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89711"/>
        <c:crosses val="autoZero"/>
        <c:auto val="1"/>
        <c:lblAlgn val="ctr"/>
        <c:lblOffset val="100"/>
        <c:noMultiLvlLbl val="0"/>
      </c:catAx>
      <c:valAx>
        <c:axId val="1451897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Participation in Farming Community</a:t>
            </a:r>
          </a:p>
        </c:rich>
      </c:tx>
      <c:layout>
        <c:manualLayout>
          <c:xMode val="edge"/>
          <c:yMode val="edge"/>
          <c:x val="2.303489017703859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survey_answers!$AH$14:$AH$16</c:f>
              <c:strCache>
                <c:ptCount val="3"/>
                <c:pt idx="0">
                  <c:v>Are you a member in agri-vet suppliers/vendor's organizations in your community?</c:v>
                </c:pt>
                <c:pt idx="1">
                  <c:v>Do you join suppliers/vendors' assemblies or seminars?</c:v>
                </c:pt>
                <c:pt idx="2">
                  <c:v>Do you discuss business management practices with your peers?</c:v>
                </c:pt>
              </c:strCache>
            </c:strRef>
          </c:cat>
          <c:val>
            <c:numRef>
              <c:f>survey_answers!$AJ$14:$AJ$16</c:f>
              <c:numCache>
                <c:formatCode>0%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0-4F3A-966A-B4E5FC9D9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05935"/>
        <c:axId val="145189711"/>
      </c:barChart>
      <c:catAx>
        <c:axId val="1452059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89711"/>
        <c:crosses val="autoZero"/>
        <c:auto val="1"/>
        <c:lblAlgn val="ctr"/>
        <c:lblOffset val="100"/>
        <c:noMultiLvlLbl val="0"/>
      </c:catAx>
      <c:valAx>
        <c:axId val="1451897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Intention to Learn</a:t>
            </a:r>
            <a:r>
              <a:rPr lang="en-US" b="1" baseline="0"/>
              <a:t> about Antimicrobials</a:t>
            </a:r>
            <a:endParaRPr lang="en-US" b="1"/>
          </a:p>
        </c:rich>
      </c:tx>
      <c:layout>
        <c:manualLayout>
          <c:xMode val="edge"/>
          <c:yMode val="edge"/>
          <c:x val="2.216790664416354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survey_answers!$AO$4:$AO$6</c:f>
              <c:strCache>
                <c:ptCount val="3"/>
                <c:pt idx="0">
                  <c:v>Please rate your interest in learning more about antimicrobials such as antibiotics</c:v>
                </c:pt>
                <c:pt idx="1">
                  <c:v>What information about antimicrobials such as antibiotics do you want to know about</c:v>
                </c:pt>
                <c:pt idx="2">
                  <c:v>From whom do you want to learn about antimicrobial use such as antibiotics</c:v>
                </c:pt>
              </c:strCache>
            </c:strRef>
          </c:cat>
          <c:val>
            <c:numRef>
              <c:f>survey_answers!$AQ$4:$AQ$6</c:f>
              <c:numCache>
                <c:formatCode>0%</c:formatCode>
                <c:ptCount val="3"/>
                <c:pt idx="0">
                  <c:v>0.6</c:v>
                </c:pt>
                <c:pt idx="1">
                  <c:v>0.55000000000000004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5-4A48-89E9-4E1CB6A7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196367"/>
        <c:axId val="145199279"/>
      </c:barChart>
      <c:catAx>
        <c:axId val="145196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9279"/>
        <c:crosses val="autoZero"/>
        <c:auto val="1"/>
        <c:lblAlgn val="ctr"/>
        <c:lblOffset val="100"/>
        <c:noMultiLvlLbl val="0"/>
      </c:catAx>
      <c:valAx>
        <c:axId val="14519927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Attitudes towards AMR/AMU</a:t>
            </a:r>
          </a:p>
        </c:rich>
      </c:tx>
      <c:layout>
        <c:manualLayout>
          <c:xMode val="edge"/>
          <c:yMode val="edge"/>
          <c:x val="3.5429686991605397E-2"/>
          <c:y val="0.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(summary!$B$12:$B$15,summary!$B$35)</c:f>
              <c:strCache>
                <c:ptCount val="5"/>
                <c:pt idx="0">
                  <c:v>Attitude towards AMR</c:v>
                </c:pt>
                <c:pt idx="1">
                  <c:v>Normative Expectations</c:v>
                </c:pt>
                <c:pt idx="2">
                  <c:v>Perceived Severity</c:v>
                </c:pt>
                <c:pt idx="3">
                  <c:v>Self-efficacy in handling AMR-related issues</c:v>
                </c:pt>
                <c:pt idx="4">
                  <c:v>Intention to Learn about Antimicrobials</c:v>
                </c:pt>
              </c:strCache>
            </c:strRef>
          </c:cat>
          <c:val>
            <c:numRef>
              <c:f>(summary!$I$12:$I$15,summary!$I$35)</c:f>
              <c:numCache>
                <c:formatCode>0%</c:formatCode>
                <c:ptCount val="5"/>
                <c:pt idx="0">
                  <c:v>0.82166666666666666</c:v>
                </c:pt>
                <c:pt idx="1">
                  <c:v>0.68833333333333324</c:v>
                </c:pt>
                <c:pt idx="2">
                  <c:v>0.62</c:v>
                </c:pt>
                <c:pt idx="3">
                  <c:v>0.55999999999999994</c:v>
                </c:pt>
                <c:pt idx="4">
                  <c:v>0.58571428571428563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4-4029-9370-E9B387041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6918848"/>
        <c:axId val="1126917600"/>
      </c:barChart>
      <c:catAx>
        <c:axId val="112691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17600"/>
        <c:crosses val="autoZero"/>
        <c:auto val="1"/>
        <c:lblAlgn val="ctr"/>
        <c:lblOffset val="100"/>
        <c:noMultiLvlLbl val="0"/>
      </c:catAx>
      <c:valAx>
        <c:axId val="11269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1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AMR/AMU</a:t>
            </a:r>
            <a:r>
              <a:rPr lang="en-US" b="1" baseline="0"/>
              <a:t> Information Environment</a:t>
            </a:r>
            <a:endParaRPr lang="en-US" b="1"/>
          </a:p>
        </c:rich>
      </c:tx>
      <c:layout>
        <c:manualLayout>
          <c:xMode val="edge"/>
          <c:yMode val="edge"/>
          <c:x val="3.5395683453237403E-2"/>
          <c:y val="5.3811659192825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summary!$B$29:$B$31</c:f>
              <c:strCache>
                <c:ptCount val="3"/>
                <c:pt idx="0">
                  <c:v>Reach of AMR Government Programs</c:v>
                </c:pt>
                <c:pt idx="1">
                  <c:v>Participation in Farming Communities</c:v>
                </c:pt>
                <c:pt idx="2">
                  <c:v>Reach of AMR Laws</c:v>
                </c:pt>
              </c:strCache>
            </c:strRef>
          </c:cat>
          <c:val>
            <c:numRef>
              <c:f>summary!$I$29:$I$31</c:f>
              <c:numCache>
                <c:formatCode>0%</c:formatCode>
                <c:ptCount val="3"/>
                <c:pt idx="0">
                  <c:v>0.4375</c:v>
                </c:pt>
                <c:pt idx="1">
                  <c:v>0.3</c:v>
                </c:pt>
                <c:pt idx="2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A-4956-B863-2CBCC8351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6850624"/>
        <c:axId val="1126851040"/>
      </c:barChart>
      <c:catAx>
        <c:axId val="112685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51040"/>
        <c:crosses val="autoZero"/>
        <c:auto val="1"/>
        <c:lblAlgn val="ctr"/>
        <c:lblOffset val="100"/>
        <c:noMultiLvlLbl val="0"/>
      </c:catAx>
      <c:valAx>
        <c:axId val="112685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5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Perceived Severity </a:t>
            </a:r>
          </a:p>
        </c:rich>
      </c:tx>
      <c:layout>
        <c:manualLayout>
          <c:xMode val="edge"/>
          <c:yMode val="edge"/>
          <c:x val="1.61272977637283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Least Serious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survey_answers!$O$4</c:f>
              <c:strCache>
                <c:ptCount val="1"/>
                <c:pt idx="0">
                  <c:v>How would you rate your situation if one of your family members had an infection that cannot be treated with medicine?</c:v>
                </c:pt>
              </c:strCache>
            </c:strRef>
          </c:cat>
          <c:val>
            <c:numRef>
              <c:f>survey_answers!$P$4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1-4A60-909D-68B663CEAF05}"/>
            </c:ext>
          </c:extLst>
        </c:ser>
        <c:ser>
          <c:idx val="1"/>
          <c:order val="1"/>
          <c:tx>
            <c:v>Slightly Serious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survey_answers!$O$4</c:f>
              <c:strCache>
                <c:ptCount val="1"/>
                <c:pt idx="0">
                  <c:v>How would you rate your situation if one of your family members had an infection that cannot be treated with medicine?</c:v>
                </c:pt>
              </c:strCache>
            </c:strRef>
          </c:cat>
          <c:val>
            <c:numRef>
              <c:f>survey_answers!$Q$4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1-4A60-909D-68B663CEAF05}"/>
            </c:ext>
          </c:extLst>
        </c:ser>
        <c:ser>
          <c:idx val="2"/>
          <c:order val="2"/>
          <c:tx>
            <c:v>Moderately Serious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survey_answers!$O$4</c:f>
              <c:strCache>
                <c:ptCount val="1"/>
                <c:pt idx="0">
                  <c:v>How would you rate your situation if one of your family members had an infection that cannot be treated with medicine?</c:v>
                </c:pt>
              </c:strCache>
            </c:strRef>
          </c:cat>
          <c:val>
            <c:numRef>
              <c:f>survey_answers!$R$4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1-4A60-909D-68B663CEAF05}"/>
            </c:ext>
          </c:extLst>
        </c:ser>
        <c:ser>
          <c:idx val="3"/>
          <c:order val="3"/>
          <c:tx>
            <c:v>Serious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survey_answers!$O$4</c:f>
              <c:strCache>
                <c:ptCount val="1"/>
                <c:pt idx="0">
                  <c:v>How would you rate your situation if one of your family members had an infection that cannot be treated with medicine?</c:v>
                </c:pt>
              </c:strCache>
            </c:strRef>
          </c:cat>
          <c:val>
            <c:numRef>
              <c:f>survey_answers!$S$4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1-4A60-909D-68B663CEAF05}"/>
            </c:ext>
          </c:extLst>
        </c:ser>
        <c:ser>
          <c:idx val="4"/>
          <c:order val="4"/>
          <c:tx>
            <c:v>Very Serious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F1-4A60-909D-68B663CEAF05}"/>
              </c:ext>
            </c:extLst>
          </c:dPt>
          <c:cat>
            <c:strRef>
              <c:f>survey_answers!$O$4</c:f>
              <c:strCache>
                <c:ptCount val="1"/>
                <c:pt idx="0">
                  <c:v>How would you rate your situation if one of your family members had an infection that cannot be treated with medicine?</c:v>
                </c:pt>
              </c:strCache>
            </c:strRef>
          </c:cat>
          <c:val>
            <c:numRef>
              <c:f>survey_answers!$T$4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F1-4A60-909D-68B663CEA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373727"/>
        <c:axId val="1260374143"/>
      </c:barChart>
      <c:catAx>
        <c:axId val="12603737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374143"/>
        <c:crosses val="autoZero"/>
        <c:auto val="1"/>
        <c:lblAlgn val="ctr"/>
        <c:lblOffset val="100"/>
        <c:noMultiLvlLbl val="0"/>
      </c:catAx>
      <c:valAx>
        <c:axId val="126037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37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Self-Efficacy</a:t>
            </a:r>
          </a:p>
        </c:rich>
      </c:tx>
      <c:layout>
        <c:manualLayout>
          <c:xMode val="edge"/>
          <c:yMode val="edge"/>
          <c:x val="1.61272977637283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No opinion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survey_answers!$O$5</c:f>
              <c:strCache>
                <c:ptCount val="1"/>
                <c:pt idx="0">
                  <c:v>Are you worried or concerned about how prepared you are in handling AMR issues in the future?</c:v>
                </c:pt>
              </c:strCache>
            </c:strRef>
          </c:cat>
          <c:val>
            <c:numRef>
              <c:f>survey_answers!$P$5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6-43B1-9F31-23EE278E8E08}"/>
            </c:ext>
          </c:extLst>
        </c:ser>
        <c:ser>
          <c:idx val="1"/>
          <c:order val="1"/>
          <c:tx>
            <c:v>Not concerned at all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survey_answers!$O$5</c:f>
              <c:strCache>
                <c:ptCount val="1"/>
                <c:pt idx="0">
                  <c:v>Are you worried or concerned about how prepared you are in handling AMR issues in the future?</c:v>
                </c:pt>
              </c:strCache>
            </c:strRef>
          </c:cat>
          <c:val>
            <c:numRef>
              <c:f>survey_answers!$Q$5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6-43B1-9F31-23EE278E8E08}"/>
            </c:ext>
          </c:extLst>
        </c:ser>
        <c:ser>
          <c:idx val="2"/>
          <c:order val="2"/>
          <c:tx>
            <c:v>Slightly Concerned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survey_answers!$O$5</c:f>
              <c:strCache>
                <c:ptCount val="1"/>
                <c:pt idx="0">
                  <c:v>Are you worried or concerned about how prepared you are in handling AMR issues in the future?</c:v>
                </c:pt>
              </c:strCache>
            </c:strRef>
          </c:cat>
          <c:val>
            <c:numRef>
              <c:f>survey_answers!$R$5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76-43B1-9F31-23EE278E8E08}"/>
            </c:ext>
          </c:extLst>
        </c:ser>
        <c:ser>
          <c:idx val="3"/>
          <c:order val="3"/>
          <c:tx>
            <c:v>Concerned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survey_answers!$O$5</c:f>
              <c:strCache>
                <c:ptCount val="1"/>
                <c:pt idx="0">
                  <c:v>Are you worried or concerned about how prepared you are in handling AMR issues in the future?</c:v>
                </c:pt>
              </c:strCache>
            </c:strRef>
          </c:cat>
          <c:val>
            <c:numRef>
              <c:f>survey_answers!$S$5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76-43B1-9F31-23EE278E8E08}"/>
            </c:ext>
          </c:extLst>
        </c:ser>
        <c:ser>
          <c:idx val="4"/>
          <c:order val="4"/>
          <c:tx>
            <c:v>Seriously Concerned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76-43B1-9F31-23EE278E8E08}"/>
              </c:ext>
            </c:extLst>
          </c:dPt>
          <c:cat>
            <c:strRef>
              <c:f>survey_answers!$O$5</c:f>
              <c:strCache>
                <c:ptCount val="1"/>
                <c:pt idx="0">
                  <c:v>Are you worried or concerned about how prepared you are in handling AMR issues in the future?</c:v>
                </c:pt>
              </c:strCache>
            </c:strRef>
          </c:cat>
          <c:val>
            <c:numRef>
              <c:f>survey_answers!$T$5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76-43B1-9F31-23EE278E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373727"/>
        <c:axId val="1260374143"/>
      </c:barChart>
      <c:catAx>
        <c:axId val="12603737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374143"/>
        <c:crosses val="autoZero"/>
        <c:auto val="1"/>
        <c:lblAlgn val="ctr"/>
        <c:lblOffset val="100"/>
        <c:noMultiLvlLbl val="0"/>
      </c:catAx>
      <c:valAx>
        <c:axId val="126037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37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Attitudes</a:t>
            </a:r>
            <a:r>
              <a:rPr lang="en-US" b="1" baseline="0"/>
              <a:t> towards AMU/AMR</a:t>
            </a:r>
            <a:endParaRPr lang="en-US" b="1"/>
          </a:p>
        </c:rich>
      </c:tx>
      <c:layout>
        <c:manualLayout>
          <c:xMode val="edge"/>
          <c:yMode val="edge"/>
          <c:x val="1.61272977637283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Strongly Disagree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survey_answers!$O$6:$O$17</c:f>
              <c:strCache>
                <c:ptCount val="12"/>
                <c:pt idx="0">
                  <c:v>Antimicrobials such as antibiotics protect both humans and animals from diseases</c:v>
                </c:pt>
                <c:pt idx="1">
                  <c:v>Antibiotics are important to improve animal production</c:v>
                </c:pt>
                <c:pt idx="2">
                  <c:v>It is good to keep antibiotics at home in case there may be a need for the animals later</c:v>
                </c:pt>
                <c:pt idx="3">
                  <c:v>When animals start to show signs of being ill, they should be given antibiotics to prevent them from getting a more serious illness</c:v>
                </c:pt>
                <c:pt idx="4">
                  <c:v>Antibiotics would help animals to get better more quickly</c:v>
                </c:pt>
                <c:pt idx="5">
                  <c:v>Antibiotics should be stopped as soon as the animal gets better</c:v>
                </c:pt>
                <c:pt idx="6">
                  <c:v>Skipping one or two doses does not contribute to the development of antibiotic resistance</c:v>
                </c:pt>
                <c:pt idx="7">
                  <c:v>Antiobiotics are safe; hence, they can be commonly used</c:v>
                </c:pt>
                <c:pt idx="8">
                  <c:v>I find it hard to refuse a customer who asks for antibiotics even without prescription especially when he/she needs it</c:v>
                </c:pt>
                <c:pt idx="9">
                  <c:v>If the animals get side effects during a course of antibiotic treatment, one should stop giving them as soon as possible</c:v>
                </c:pt>
                <c:pt idx="10">
                  <c:v>There is no danger in giving antibiotics to animals if properly used</c:v>
                </c:pt>
                <c:pt idx="11">
                  <c:v>Antibiotics should be given with prescription</c:v>
                </c:pt>
              </c:strCache>
            </c:strRef>
          </c:cat>
          <c:val>
            <c:numRef>
              <c:f>survey_answers!$P$6:$P$17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1-4CAC-85E7-62F1FB59C74A}"/>
            </c:ext>
          </c:extLst>
        </c:ser>
        <c:ser>
          <c:idx val="1"/>
          <c:order val="1"/>
          <c:tx>
            <c:v>Disagree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survey_answers!$O$6:$O$17</c:f>
              <c:strCache>
                <c:ptCount val="12"/>
                <c:pt idx="0">
                  <c:v>Antimicrobials such as antibiotics protect both humans and animals from diseases</c:v>
                </c:pt>
                <c:pt idx="1">
                  <c:v>Antibiotics are important to improve animal production</c:v>
                </c:pt>
                <c:pt idx="2">
                  <c:v>It is good to keep antibiotics at home in case there may be a need for the animals later</c:v>
                </c:pt>
                <c:pt idx="3">
                  <c:v>When animals start to show signs of being ill, they should be given antibiotics to prevent them from getting a more serious illness</c:v>
                </c:pt>
                <c:pt idx="4">
                  <c:v>Antibiotics would help animals to get better more quickly</c:v>
                </c:pt>
                <c:pt idx="5">
                  <c:v>Antibiotics should be stopped as soon as the animal gets better</c:v>
                </c:pt>
                <c:pt idx="6">
                  <c:v>Skipping one or two doses does not contribute to the development of antibiotic resistance</c:v>
                </c:pt>
                <c:pt idx="7">
                  <c:v>Antiobiotics are safe; hence, they can be commonly used</c:v>
                </c:pt>
                <c:pt idx="8">
                  <c:v>I find it hard to refuse a customer who asks for antibiotics even without prescription especially when he/she needs it</c:v>
                </c:pt>
                <c:pt idx="9">
                  <c:v>If the animals get side effects during a course of antibiotic treatment, one should stop giving them as soon as possible</c:v>
                </c:pt>
                <c:pt idx="10">
                  <c:v>There is no danger in giving antibiotics to animals if properly used</c:v>
                </c:pt>
                <c:pt idx="11">
                  <c:v>Antibiotics should be given with prescription</c:v>
                </c:pt>
              </c:strCache>
            </c:strRef>
          </c:cat>
          <c:val>
            <c:numRef>
              <c:f>survey_answers!$Q$6:$Q$17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1-4CAC-85E7-62F1FB59C74A}"/>
            </c:ext>
          </c:extLst>
        </c:ser>
        <c:ser>
          <c:idx val="2"/>
          <c:order val="2"/>
          <c:tx>
            <c:v>Neutral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survey_answers!$O$6:$O$17</c:f>
              <c:strCache>
                <c:ptCount val="12"/>
                <c:pt idx="0">
                  <c:v>Antimicrobials such as antibiotics protect both humans and animals from diseases</c:v>
                </c:pt>
                <c:pt idx="1">
                  <c:v>Antibiotics are important to improve animal production</c:v>
                </c:pt>
                <c:pt idx="2">
                  <c:v>It is good to keep antibiotics at home in case there may be a need for the animals later</c:v>
                </c:pt>
                <c:pt idx="3">
                  <c:v>When animals start to show signs of being ill, they should be given antibiotics to prevent them from getting a more serious illness</c:v>
                </c:pt>
                <c:pt idx="4">
                  <c:v>Antibiotics would help animals to get better more quickly</c:v>
                </c:pt>
                <c:pt idx="5">
                  <c:v>Antibiotics should be stopped as soon as the animal gets better</c:v>
                </c:pt>
                <c:pt idx="6">
                  <c:v>Skipping one or two doses does not contribute to the development of antibiotic resistance</c:v>
                </c:pt>
                <c:pt idx="7">
                  <c:v>Antiobiotics are safe; hence, they can be commonly used</c:v>
                </c:pt>
                <c:pt idx="8">
                  <c:v>I find it hard to refuse a customer who asks for antibiotics even without prescription especially when he/she needs it</c:v>
                </c:pt>
                <c:pt idx="9">
                  <c:v>If the animals get side effects during a course of antibiotic treatment, one should stop giving them as soon as possible</c:v>
                </c:pt>
                <c:pt idx="10">
                  <c:v>There is no danger in giving antibiotics to animals if properly used</c:v>
                </c:pt>
                <c:pt idx="11">
                  <c:v>Antibiotics should be given with prescription</c:v>
                </c:pt>
              </c:strCache>
            </c:strRef>
          </c:cat>
          <c:val>
            <c:numRef>
              <c:f>survey_answers!$R$6:$R$17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91-4CAC-85E7-62F1FB59C74A}"/>
            </c:ext>
          </c:extLst>
        </c:ser>
        <c:ser>
          <c:idx val="3"/>
          <c:order val="3"/>
          <c:tx>
            <c:v>Agree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survey_answers!$O$6:$O$17</c:f>
              <c:strCache>
                <c:ptCount val="12"/>
                <c:pt idx="0">
                  <c:v>Antimicrobials such as antibiotics protect both humans and animals from diseases</c:v>
                </c:pt>
                <c:pt idx="1">
                  <c:v>Antibiotics are important to improve animal production</c:v>
                </c:pt>
                <c:pt idx="2">
                  <c:v>It is good to keep antibiotics at home in case there may be a need for the animals later</c:v>
                </c:pt>
                <c:pt idx="3">
                  <c:v>When animals start to show signs of being ill, they should be given antibiotics to prevent them from getting a more serious illness</c:v>
                </c:pt>
                <c:pt idx="4">
                  <c:v>Antibiotics would help animals to get better more quickly</c:v>
                </c:pt>
                <c:pt idx="5">
                  <c:v>Antibiotics should be stopped as soon as the animal gets better</c:v>
                </c:pt>
                <c:pt idx="6">
                  <c:v>Skipping one or two doses does not contribute to the development of antibiotic resistance</c:v>
                </c:pt>
                <c:pt idx="7">
                  <c:v>Antiobiotics are safe; hence, they can be commonly used</c:v>
                </c:pt>
                <c:pt idx="8">
                  <c:v>I find it hard to refuse a customer who asks for antibiotics even without prescription especially when he/she needs it</c:v>
                </c:pt>
                <c:pt idx="9">
                  <c:v>If the animals get side effects during a course of antibiotic treatment, one should stop giving them as soon as possible</c:v>
                </c:pt>
                <c:pt idx="10">
                  <c:v>There is no danger in giving antibiotics to animals if properly used</c:v>
                </c:pt>
                <c:pt idx="11">
                  <c:v>Antibiotics should be given with prescription</c:v>
                </c:pt>
              </c:strCache>
            </c:strRef>
          </c:cat>
          <c:val>
            <c:numRef>
              <c:f>survey_answers!$S$6:$S$17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7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91-4CAC-85E7-62F1FB59C74A}"/>
            </c:ext>
          </c:extLst>
        </c:ser>
        <c:ser>
          <c:idx val="4"/>
          <c:order val="4"/>
          <c:tx>
            <c:v>Strongly Agree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91-4CAC-85E7-62F1FB59C74A}"/>
              </c:ext>
            </c:extLst>
          </c:dPt>
          <c:cat>
            <c:strRef>
              <c:f>survey_answers!$O$6:$O$17</c:f>
              <c:strCache>
                <c:ptCount val="12"/>
                <c:pt idx="0">
                  <c:v>Antimicrobials such as antibiotics protect both humans and animals from diseases</c:v>
                </c:pt>
                <c:pt idx="1">
                  <c:v>Antibiotics are important to improve animal production</c:v>
                </c:pt>
                <c:pt idx="2">
                  <c:v>It is good to keep antibiotics at home in case there may be a need for the animals later</c:v>
                </c:pt>
                <c:pt idx="3">
                  <c:v>When animals start to show signs of being ill, they should be given antibiotics to prevent them from getting a more serious illness</c:v>
                </c:pt>
                <c:pt idx="4">
                  <c:v>Antibiotics would help animals to get better more quickly</c:v>
                </c:pt>
                <c:pt idx="5">
                  <c:v>Antibiotics should be stopped as soon as the animal gets better</c:v>
                </c:pt>
                <c:pt idx="6">
                  <c:v>Skipping one or two doses does not contribute to the development of antibiotic resistance</c:v>
                </c:pt>
                <c:pt idx="7">
                  <c:v>Antiobiotics are safe; hence, they can be commonly used</c:v>
                </c:pt>
                <c:pt idx="8">
                  <c:v>I find it hard to refuse a customer who asks for antibiotics even without prescription especially when he/she needs it</c:v>
                </c:pt>
                <c:pt idx="9">
                  <c:v>If the animals get side effects during a course of antibiotic treatment, one should stop giving them as soon as possible</c:v>
                </c:pt>
                <c:pt idx="10">
                  <c:v>There is no danger in giving antibiotics to animals if properly used</c:v>
                </c:pt>
                <c:pt idx="11">
                  <c:v>Antibiotics should be given with prescription</c:v>
                </c:pt>
              </c:strCache>
            </c:strRef>
          </c:cat>
          <c:val>
            <c:numRef>
              <c:f>survey_answers!$T$6:$T$17</c:f>
              <c:numCache>
                <c:formatCode>General</c:formatCode>
                <c:ptCount val="12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91-4CAC-85E7-62F1FB59C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373727"/>
        <c:axId val="1260374143"/>
      </c:barChart>
      <c:catAx>
        <c:axId val="12603737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374143"/>
        <c:crosses val="autoZero"/>
        <c:auto val="1"/>
        <c:lblAlgn val="ctr"/>
        <c:lblOffset val="100"/>
        <c:noMultiLvlLbl val="0"/>
      </c:catAx>
      <c:valAx>
        <c:axId val="126037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37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Normative</a:t>
            </a:r>
            <a:r>
              <a:rPr lang="en-US" b="1" baseline="0"/>
              <a:t> Expectations</a:t>
            </a:r>
            <a:endParaRPr lang="en-US" b="1"/>
          </a:p>
        </c:rich>
      </c:tx>
      <c:layout>
        <c:manualLayout>
          <c:xMode val="edge"/>
          <c:yMode val="edge"/>
          <c:x val="1.61272977637283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No Influence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survey_answers!$O$18:$O$28</c:f>
              <c:strCache>
                <c:ptCount val="11"/>
                <c:pt idx="0">
                  <c:v>Opinions of my family members</c:v>
                </c:pt>
                <c:pt idx="1">
                  <c:v>Laboratory data</c:v>
                </c:pt>
                <c:pt idx="2">
                  <c:v>Opinions of the private industry</c:v>
                </c:pt>
                <c:pt idx="3">
                  <c:v>Client/farmer expectations</c:v>
                </c:pt>
                <c:pt idx="4">
                  <c:v>Opintions of veterinary professional groups</c:v>
                </c:pt>
                <c:pt idx="5">
                  <c:v>Data in scientific journals</c:v>
                </c:pt>
                <c:pt idx="6">
                  <c:v>Data from online search engines such as Google, Yahoo, Bing</c:v>
                </c:pt>
                <c:pt idx="7">
                  <c:v>Potential earnings or financial gain</c:v>
                </c:pt>
                <c:pt idx="8">
                  <c:v>Opinions of other veterinarians</c:v>
                </c:pt>
                <c:pt idx="9">
                  <c:v>Adherence to laws and legislation</c:v>
                </c:pt>
                <c:pt idx="10">
                  <c:v>Other factors</c:v>
                </c:pt>
              </c:strCache>
            </c:strRef>
          </c:cat>
          <c:val>
            <c:numRef>
              <c:f>survey_answers!$P$18:$P$28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5-40D7-AC83-11CFED879B16}"/>
            </c:ext>
          </c:extLst>
        </c:ser>
        <c:ser>
          <c:idx val="1"/>
          <c:order val="1"/>
          <c:tx>
            <c:v>Limited Influence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survey_answers!$O$18:$O$28</c:f>
              <c:strCache>
                <c:ptCount val="11"/>
                <c:pt idx="0">
                  <c:v>Opinions of my family members</c:v>
                </c:pt>
                <c:pt idx="1">
                  <c:v>Laboratory data</c:v>
                </c:pt>
                <c:pt idx="2">
                  <c:v>Opinions of the private industry</c:v>
                </c:pt>
                <c:pt idx="3">
                  <c:v>Client/farmer expectations</c:v>
                </c:pt>
                <c:pt idx="4">
                  <c:v>Opintions of veterinary professional groups</c:v>
                </c:pt>
                <c:pt idx="5">
                  <c:v>Data in scientific journals</c:v>
                </c:pt>
                <c:pt idx="6">
                  <c:v>Data from online search engines such as Google, Yahoo, Bing</c:v>
                </c:pt>
                <c:pt idx="7">
                  <c:v>Potential earnings or financial gain</c:v>
                </c:pt>
                <c:pt idx="8">
                  <c:v>Opinions of other veterinarians</c:v>
                </c:pt>
                <c:pt idx="9">
                  <c:v>Adherence to laws and legislation</c:v>
                </c:pt>
                <c:pt idx="10">
                  <c:v>Other factors</c:v>
                </c:pt>
              </c:strCache>
            </c:strRef>
          </c:cat>
          <c:val>
            <c:numRef>
              <c:f>survey_answers!$Q$18:$Q$28</c:f>
              <c:numCache>
                <c:formatCode>General</c:formatCode>
                <c:ptCount val="1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5-40D7-AC83-11CFED879B16}"/>
            </c:ext>
          </c:extLst>
        </c:ser>
        <c:ser>
          <c:idx val="2"/>
          <c:order val="2"/>
          <c:tx>
            <c:v>Moderate Influence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survey_answers!$O$18:$O$28</c:f>
              <c:strCache>
                <c:ptCount val="11"/>
                <c:pt idx="0">
                  <c:v>Opinions of my family members</c:v>
                </c:pt>
                <c:pt idx="1">
                  <c:v>Laboratory data</c:v>
                </c:pt>
                <c:pt idx="2">
                  <c:v>Opinions of the private industry</c:v>
                </c:pt>
                <c:pt idx="3">
                  <c:v>Client/farmer expectations</c:v>
                </c:pt>
                <c:pt idx="4">
                  <c:v>Opintions of veterinary professional groups</c:v>
                </c:pt>
                <c:pt idx="5">
                  <c:v>Data in scientific journals</c:v>
                </c:pt>
                <c:pt idx="6">
                  <c:v>Data from online search engines such as Google, Yahoo, Bing</c:v>
                </c:pt>
                <c:pt idx="7">
                  <c:v>Potential earnings or financial gain</c:v>
                </c:pt>
                <c:pt idx="8">
                  <c:v>Opinions of other veterinarians</c:v>
                </c:pt>
                <c:pt idx="9">
                  <c:v>Adherence to laws and legislation</c:v>
                </c:pt>
                <c:pt idx="10">
                  <c:v>Other factors</c:v>
                </c:pt>
              </c:strCache>
            </c:strRef>
          </c:cat>
          <c:val>
            <c:numRef>
              <c:f>survey_answers!$R$18:$R$28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5-40D7-AC83-11CFED879B16}"/>
            </c:ext>
          </c:extLst>
        </c:ser>
        <c:ser>
          <c:idx val="3"/>
          <c:order val="3"/>
          <c:tx>
            <c:v>Substantial Influence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survey_answers!$O$18:$O$28</c:f>
              <c:strCache>
                <c:ptCount val="11"/>
                <c:pt idx="0">
                  <c:v>Opinions of my family members</c:v>
                </c:pt>
                <c:pt idx="1">
                  <c:v>Laboratory data</c:v>
                </c:pt>
                <c:pt idx="2">
                  <c:v>Opinions of the private industry</c:v>
                </c:pt>
                <c:pt idx="3">
                  <c:v>Client/farmer expectations</c:v>
                </c:pt>
                <c:pt idx="4">
                  <c:v>Opintions of veterinary professional groups</c:v>
                </c:pt>
                <c:pt idx="5">
                  <c:v>Data in scientific journals</c:v>
                </c:pt>
                <c:pt idx="6">
                  <c:v>Data from online search engines such as Google, Yahoo, Bing</c:v>
                </c:pt>
                <c:pt idx="7">
                  <c:v>Potential earnings or financial gain</c:v>
                </c:pt>
                <c:pt idx="8">
                  <c:v>Opinions of other veterinarians</c:v>
                </c:pt>
                <c:pt idx="9">
                  <c:v>Adherence to laws and legislation</c:v>
                </c:pt>
                <c:pt idx="10">
                  <c:v>Other factors</c:v>
                </c:pt>
              </c:strCache>
            </c:strRef>
          </c:cat>
          <c:val>
            <c:numRef>
              <c:f>survey_answers!$S$18:$S$28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85-40D7-AC83-11CFED879B16}"/>
            </c:ext>
          </c:extLst>
        </c:ser>
        <c:ser>
          <c:idx val="4"/>
          <c:order val="4"/>
          <c:tx>
            <c:v>Very Strong Influence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survey_answers!$O$18:$O$28</c:f>
              <c:strCache>
                <c:ptCount val="11"/>
                <c:pt idx="0">
                  <c:v>Opinions of my family members</c:v>
                </c:pt>
                <c:pt idx="1">
                  <c:v>Laboratory data</c:v>
                </c:pt>
                <c:pt idx="2">
                  <c:v>Opinions of the private industry</c:v>
                </c:pt>
                <c:pt idx="3">
                  <c:v>Client/farmer expectations</c:v>
                </c:pt>
                <c:pt idx="4">
                  <c:v>Opintions of veterinary professional groups</c:v>
                </c:pt>
                <c:pt idx="5">
                  <c:v>Data in scientific journals</c:v>
                </c:pt>
                <c:pt idx="6">
                  <c:v>Data from online search engines such as Google, Yahoo, Bing</c:v>
                </c:pt>
                <c:pt idx="7">
                  <c:v>Potential earnings or financial gain</c:v>
                </c:pt>
                <c:pt idx="8">
                  <c:v>Opinions of other veterinarians</c:v>
                </c:pt>
                <c:pt idx="9">
                  <c:v>Adherence to laws and legislation</c:v>
                </c:pt>
                <c:pt idx="10">
                  <c:v>Other factors</c:v>
                </c:pt>
              </c:strCache>
            </c:strRef>
          </c:cat>
          <c:val>
            <c:numRef>
              <c:f>survey_answers!$T$18:$T$28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85-40D7-AC83-11CFED879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373727"/>
        <c:axId val="1260374143"/>
      </c:barChart>
      <c:catAx>
        <c:axId val="12603737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374143"/>
        <c:crosses val="autoZero"/>
        <c:auto val="1"/>
        <c:lblAlgn val="ctr"/>
        <c:lblOffset val="100"/>
        <c:noMultiLvlLbl val="0"/>
      </c:catAx>
      <c:valAx>
        <c:axId val="126037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37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Knowledge</a:t>
            </a:r>
            <a:r>
              <a:rPr lang="en-US" b="1" baseline="0"/>
              <a:t> on Antibiotics</a:t>
            </a:r>
          </a:p>
        </c:rich>
      </c:tx>
      <c:layout>
        <c:manualLayout>
          <c:xMode val="edge"/>
          <c:yMode val="edge"/>
          <c:x val="2.722193972600255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survey_answers!$H$4:$H$6</c:f>
              <c:strCache>
                <c:ptCount val="3"/>
                <c:pt idx="0">
                  <c:v>Can you describe what antibiotics are?</c:v>
                </c:pt>
                <c:pt idx="1">
                  <c:v>What are antibiotics intended for?</c:v>
                </c:pt>
                <c:pt idx="2">
                  <c:v>List antibiotics that you know</c:v>
                </c:pt>
              </c:strCache>
            </c:strRef>
          </c:cat>
          <c:val>
            <c:numRef>
              <c:f>survey_answers!$J$4:$J$6</c:f>
              <c:numCache>
                <c:formatCode>0.00%</c:formatCode>
                <c:ptCount val="3"/>
                <c:pt idx="0">
                  <c:v>0.5</c:v>
                </c:pt>
                <c:pt idx="1">
                  <c:v>0.4</c:v>
                </c:pt>
                <c:pt idx="2">
                  <c:v>0.56666666666666665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4-4150-8217-9D7924F93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07183"/>
        <c:axId val="145198031"/>
      </c:barChart>
      <c:catAx>
        <c:axId val="1452071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8031"/>
        <c:crosses val="autoZero"/>
        <c:auto val="1"/>
        <c:lblAlgn val="ctr"/>
        <c:lblOffset val="100"/>
        <c:noMultiLvlLbl val="0"/>
      </c:catAx>
      <c:valAx>
        <c:axId val="14519803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12369</xdr:rowOff>
    </xdr:from>
    <xdr:to>
      <xdr:col>16</xdr:col>
      <xdr:colOff>12701</xdr:colOff>
      <xdr:row>3</xdr:row>
      <xdr:rowOff>39688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B8A484CE-547F-485F-9369-A74FFB210CFA}"/>
            </a:ext>
          </a:extLst>
        </xdr:cNvPr>
        <xdr:cNvSpPr txBox="1">
          <a:spLocks noChangeArrowheads="1"/>
        </xdr:cNvSpPr>
      </xdr:nvSpPr>
      <xdr:spPr bwMode="auto">
        <a:xfrm>
          <a:off x="1" y="12369"/>
          <a:ext cx="11010900" cy="579769"/>
        </a:xfrm>
        <a:prstGeom prst="rect">
          <a:avLst/>
        </a:prstGeom>
        <a:solidFill>
          <a:srgbClr val="618DC3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vendors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2.3</a:t>
          </a: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2</xdr:col>
      <xdr:colOff>49645</xdr:colOff>
      <xdr:row>20</xdr:row>
      <xdr:rowOff>48203</xdr:rowOff>
    </xdr:from>
    <xdr:to>
      <xdr:col>4</xdr:col>
      <xdr:colOff>27709</xdr:colOff>
      <xdr:row>22</xdr:row>
      <xdr:rowOff>167853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909BAA9-190D-423B-A15F-DC2A1E14A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8095" y="3737553"/>
          <a:ext cx="1197264" cy="4879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166832</xdr:rowOff>
    </xdr:from>
    <xdr:to>
      <xdr:col>4</xdr:col>
      <xdr:colOff>19050</xdr:colOff>
      <xdr:row>21</xdr:row>
      <xdr:rowOff>39832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5411BC5-C5C2-4EEA-A38E-08C96A8B731C}"/>
            </a:ext>
          </a:extLst>
        </xdr:cNvPr>
        <xdr:cNvSpPr/>
      </xdr:nvSpPr>
      <xdr:spPr>
        <a:xfrm>
          <a:off x="0" y="3119582"/>
          <a:ext cx="2806700" cy="793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This tool is designed to present quick insights on </a:t>
          </a:r>
          <a:r>
            <a:rPr lang="en-US" sz="900" b="1"/>
            <a:t>knowledge, attitude, practices (KAP) and efficacy, intention,</a:t>
          </a:r>
          <a:r>
            <a:rPr lang="en-US" sz="900" b="1" baseline="0"/>
            <a:t> and policy gaps </a:t>
          </a:r>
          <a:r>
            <a:rPr lang="en-US" sz="900" b="0" baseline="0"/>
            <a:t>on antimicrobial resistance and antimicrobial use to aid the design of appropriate communication interventions. </a:t>
          </a:r>
          <a:endParaRPr lang="en-US" sz="900"/>
        </a:p>
      </xdr:txBody>
    </xdr:sp>
    <xdr:clientData/>
  </xdr:twoCellAnchor>
  <xdr:twoCellAnchor>
    <xdr:from>
      <xdr:col>4</xdr:col>
      <xdr:colOff>158750</xdr:colOff>
      <xdr:row>3</xdr:row>
      <xdr:rowOff>63500</xdr:rowOff>
    </xdr:from>
    <xdr:to>
      <xdr:col>8</xdr:col>
      <xdr:colOff>469900</xdr:colOff>
      <xdr:row>12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3C0664-EEDD-446C-8CDB-C38FC549C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488950</xdr:colOff>
      <xdr:row>10</xdr:row>
      <xdr:rowOff>152400</xdr:rowOff>
    </xdr:from>
    <xdr:to>
      <xdr:col>15</xdr:col>
      <xdr:colOff>603250</xdr:colOff>
      <xdr:row>23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DE281B3-8CE6-4C25-B629-277A43690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152400</xdr:colOff>
      <xdr:row>12</xdr:row>
      <xdr:rowOff>133350</xdr:rowOff>
    </xdr:from>
    <xdr:to>
      <xdr:col>8</xdr:col>
      <xdr:colOff>482600</xdr:colOff>
      <xdr:row>23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F2083D1-AF76-4E69-9D7F-12C447580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488950</xdr:colOff>
      <xdr:row>3</xdr:row>
      <xdr:rowOff>63500</xdr:rowOff>
    </xdr:from>
    <xdr:to>
      <xdr:col>15</xdr:col>
      <xdr:colOff>603250</xdr:colOff>
      <xdr:row>11</xdr:row>
      <xdr:rowOff>6350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E19BC16-6721-4A0F-BD9F-95F1F03D3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275166</xdr:colOff>
      <xdr:row>28</xdr:row>
      <xdr:rowOff>14817</xdr:rowOff>
    </xdr:from>
    <xdr:to>
      <xdr:col>24</xdr:col>
      <xdr:colOff>21165</xdr:colOff>
      <xdr:row>37</xdr:row>
      <xdr:rowOff>174315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A617C-F30C-4D11-91A3-DF26D384B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273921</xdr:colOff>
      <xdr:row>37</xdr:row>
      <xdr:rowOff>161862</xdr:rowOff>
    </xdr:from>
    <xdr:to>
      <xdr:col>24</xdr:col>
      <xdr:colOff>19920</xdr:colOff>
      <xdr:row>47</xdr:row>
      <xdr:rowOff>174313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1840EB-C7FA-4272-97B1-1771C40F4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261470</xdr:colOff>
      <xdr:row>47</xdr:row>
      <xdr:rowOff>174314</xdr:rowOff>
    </xdr:from>
    <xdr:to>
      <xdr:col>24</xdr:col>
      <xdr:colOff>7469</xdr:colOff>
      <xdr:row>93</xdr:row>
      <xdr:rowOff>124509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856AC7-6D25-4ACE-B5D5-331C56EDE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236568</xdr:colOff>
      <xdr:row>93</xdr:row>
      <xdr:rowOff>149410</xdr:rowOff>
    </xdr:from>
    <xdr:to>
      <xdr:col>23</xdr:col>
      <xdr:colOff>1115606</xdr:colOff>
      <xdr:row>142</xdr:row>
      <xdr:rowOff>124509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9AFCF0-DC52-4E46-9F68-3F92966CD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160616</xdr:colOff>
      <xdr:row>21</xdr:row>
      <xdr:rowOff>29135</xdr:rowOff>
    </xdr:from>
    <xdr:to>
      <xdr:col>12</xdr:col>
      <xdr:colOff>12450</xdr:colOff>
      <xdr:row>35</xdr:row>
      <xdr:rowOff>107825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FD96D8-1BF1-4C18-AFAF-85A70C4E1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12</xdr:col>
      <xdr:colOff>26148</xdr:colOff>
      <xdr:row>49</xdr:row>
      <xdr:rowOff>140946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FD8A77-2659-49A8-BB41-5E843B46D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12</xdr:col>
      <xdr:colOff>26148</xdr:colOff>
      <xdr:row>63</xdr:row>
      <xdr:rowOff>128494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38D2D6-8119-4973-82F3-5B085C5C4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62</xdr:row>
      <xdr:rowOff>186763</xdr:rowOff>
    </xdr:from>
    <xdr:to>
      <xdr:col>12</xdr:col>
      <xdr:colOff>26148</xdr:colOff>
      <xdr:row>89</xdr:row>
      <xdr:rowOff>112059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3C1F35-9DCC-4E15-A5FC-C0C4E2426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123263</xdr:colOff>
      <xdr:row>20</xdr:row>
      <xdr:rowOff>16685</xdr:rowOff>
    </xdr:from>
    <xdr:to>
      <xdr:col>31</xdr:col>
      <xdr:colOff>37352</xdr:colOff>
      <xdr:row>34</xdr:row>
      <xdr:rowOff>82924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60B59D-0632-4ADF-AC79-E806ED493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34</xdr:row>
      <xdr:rowOff>0</xdr:rowOff>
    </xdr:from>
    <xdr:to>
      <xdr:col>31</xdr:col>
      <xdr:colOff>38599</xdr:colOff>
      <xdr:row>41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41E0BE1-E4CD-4F0F-9BA3-8B0CE3BF0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99608</xdr:colOff>
      <xdr:row>41</xdr:row>
      <xdr:rowOff>12450</xdr:rowOff>
    </xdr:from>
    <xdr:to>
      <xdr:col>31</xdr:col>
      <xdr:colOff>13697</xdr:colOff>
      <xdr:row>61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8F526B1-0D53-44F8-9E67-C82D2EAB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112059</xdr:colOff>
      <xdr:row>60</xdr:row>
      <xdr:rowOff>149412</xdr:rowOff>
    </xdr:from>
    <xdr:to>
      <xdr:col>31</xdr:col>
      <xdr:colOff>26148</xdr:colOff>
      <xdr:row>73</xdr:row>
      <xdr:rowOff>161863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54D238B-2312-4DA9-B54E-44150C3C7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112060</xdr:colOff>
      <xdr:row>73</xdr:row>
      <xdr:rowOff>149412</xdr:rowOff>
    </xdr:from>
    <xdr:to>
      <xdr:col>31</xdr:col>
      <xdr:colOff>26149</xdr:colOff>
      <xdr:row>86</xdr:row>
      <xdr:rowOff>161862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384944F-62CC-4CF9-999E-730FBC5EC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112059</xdr:colOff>
      <xdr:row>86</xdr:row>
      <xdr:rowOff>149412</xdr:rowOff>
    </xdr:from>
    <xdr:to>
      <xdr:col>31</xdr:col>
      <xdr:colOff>26148</xdr:colOff>
      <xdr:row>99</xdr:row>
      <xdr:rowOff>161863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02FBADE-5B64-4BBD-B0BF-798BEE17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99</xdr:row>
      <xdr:rowOff>174314</xdr:rowOff>
    </xdr:from>
    <xdr:to>
      <xdr:col>31</xdr:col>
      <xdr:colOff>38599</xdr:colOff>
      <xdr:row>106</xdr:row>
      <xdr:rowOff>149411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6E01059-3C73-4D52-BE81-5E9DB58B2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247773</xdr:colOff>
      <xdr:row>16</xdr:row>
      <xdr:rowOff>29135</xdr:rowOff>
    </xdr:from>
    <xdr:to>
      <xdr:col>38</xdr:col>
      <xdr:colOff>12450</xdr:colOff>
      <xdr:row>30</xdr:row>
      <xdr:rowOff>120276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F7147F8-2119-4257-8F7A-476F4BEB2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0</xdr:colOff>
      <xdr:row>30</xdr:row>
      <xdr:rowOff>124509</xdr:rowOff>
    </xdr:from>
    <xdr:to>
      <xdr:col>38</xdr:col>
      <xdr:colOff>26147</xdr:colOff>
      <xdr:row>52</xdr:row>
      <xdr:rowOff>12451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CAF7B5D-3D69-4932-9921-A6528C66D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31</xdr:col>
      <xdr:colOff>249019</xdr:colOff>
      <xdr:row>52</xdr:row>
      <xdr:rowOff>49803</xdr:rowOff>
    </xdr:from>
    <xdr:to>
      <xdr:col>38</xdr:col>
      <xdr:colOff>13696</xdr:colOff>
      <xdr:row>66</xdr:row>
      <xdr:rowOff>178298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14C9A15-D45E-441F-88F0-B8C788CFD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148166</xdr:colOff>
      <xdr:row>6</xdr:row>
      <xdr:rowOff>4233</xdr:rowOff>
    </xdr:from>
    <xdr:to>
      <xdr:col>44</xdr:col>
      <xdr:colOff>1083234</xdr:colOff>
      <xdr:row>20</xdr:row>
      <xdr:rowOff>132727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6472544-0460-4804-A9D1-E38FC4360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G3:L21" totalsRowShown="0" tableBorderDxfId="75">
  <autoFilter ref="G3:L21" xr:uid="{00000000-0009-0000-0100-000003000000}"/>
  <sortState xmlns:xlrd2="http://schemas.microsoft.com/office/spreadsheetml/2017/richdata2" ref="G4:L21">
    <sortCondition ref="G3:G21"/>
  </sortState>
  <tableColumns count="6">
    <tableColumn id="1" xr3:uid="{00000000-0010-0000-0000-000001000000}" name="no." dataDxfId="74"/>
    <tableColumn id="2" xr3:uid="{00000000-0010-0000-0000-000002000000}" name="question"/>
    <tableColumn id="3" xr3:uid="{00000000-0010-0000-0000-000003000000}" name="sample score " dataDxfId="73"/>
    <tableColumn id="4" xr3:uid="{00000000-0010-0000-0000-000004000000}" name="% of correct answers" dataDxfId="72"/>
    <tableColumn id="6" xr3:uid="{00000000-0010-0000-0000-000006000000}" name="Index" dataDxfId="71">
      <calculatedColumnFormula>IF(L4="very low",1,IF(L4="low",2,IF(L4="moderate",3,IF(L4="high",4,5))))</calculatedColumnFormula>
    </tableColumn>
    <tableColumn id="5" xr3:uid="{00000000-0010-0000-0000-000005000000}" name="Quartile Index">
      <calculatedColumnFormula>IF(J4&lt;20%,"very low",IF(J4&lt;40%,"low",IF(J4&lt;60%,"moderate",IF(J4&lt;80%,"high","very high"))))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6" displayName="Table6" ref="A4:M8" totalsRowShown="0">
  <autoFilter ref="A4:M8" xr:uid="{00000000-0009-0000-0100-000006000000}"/>
  <sortState xmlns:xlrd2="http://schemas.microsoft.com/office/spreadsheetml/2017/richdata2" ref="A5:M8">
    <sortCondition descending="1" ref="I4:I8"/>
  </sortState>
  <tableColumns count="13">
    <tableColumn id="15" xr3:uid="{00000000-0010-0000-0900-00000F000000}" name="Array" dataDxfId="19"/>
    <tableColumn id="1" xr3:uid="{00000000-0010-0000-0900-000001000000}" name="Variables"/>
    <tableColumn id="2" xr3:uid="{00000000-0010-0000-0900-000002000000}" name="Min." dataDxfId="18"/>
    <tableColumn id="3" xr3:uid="{00000000-0010-0000-0900-000003000000}" name="Max" dataDxfId="17"/>
    <tableColumn id="4" xr3:uid="{00000000-0010-0000-0900-000004000000}" name="Mean" dataDxfId="16">
      <calculatedColumnFormula>AVERAGE(processed_data!F:F)</calculatedColumnFormula>
    </tableColumn>
    <tableColumn id="10" xr3:uid="{80680A6E-7B95-4B8D-B5EE-986350767F66}" name="Median" dataDxfId="15"/>
    <tableColumn id="11" xr3:uid="{07C2D696-8C4A-4BDC-9E25-8B5621F0CD44}" name="Mode" dataDxfId="14"/>
    <tableColumn id="5" xr3:uid="{00000000-0010-0000-0900-000005000000}" name="Total score" dataDxfId="13"/>
    <tableColumn id="6" xr3:uid="{00000000-0010-0000-0900-000006000000}" name="(%) of correct" dataDxfId="12" dataCellStyle="Percent"/>
    <tableColumn id="7" xr3:uid="{00000000-0010-0000-0900-000007000000}" name="Quartile Index">
      <calculatedColumnFormula>IF(I5&lt;=20%,"very low",IF(I5&lt;=40%,"low",IF(I5&lt;=60%,"moderate", IF(I5&lt;=80%,"high","very high"))))</calculatedColumnFormula>
    </tableColumn>
    <tableColumn id="12" xr3:uid="{C4C6F665-F5F8-4864-BB75-5712E9AF55E0}" name="Index">
      <calculatedColumnFormula>IF(J5="very high", 5, IF(J5="high", 4, IF(J5="moderate", 3, IF(J5="low", 2, 1))))</calculatedColumnFormula>
    </tableColumn>
    <tableColumn id="13" xr3:uid="{AF5779E3-20F0-4550-84AB-C2D1F24F556E}" name="range">
      <calculatedColumnFormula>D5-C5</calculatedColumnFormula>
    </tableColumn>
    <tableColumn id="14" xr3:uid="{D302B2F2-84FE-480E-8D54-2C888A7018B2}" name="std. devi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N3:X28" totalsRowShown="0">
  <autoFilter ref="N3:X28" xr:uid="{00000000-0009-0000-0100-000005000000}"/>
  <sortState xmlns:xlrd2="http://schemas.microsoft.com/office/spreadsheetml/2017/richdata2" ref="N4:X28">
    <sortCondition ref="N3:N28"/>
  </sortState>
  <tableColumns count="11">
    <tableColumn id="1" xr3:uid="{00000000-0010-0000-0100-000001000000}" name="no." dataDxfId="70"/>
    <tableColumn id="2" xr3:uid="{00000000-0010-0000-0100-000002000000}" name="question"/>
    <tableColumn id="3" xr3:uid="{00000000-0010-0000-0100-000003000000}" name="1"/>
    <tableColumn id="4" xr3:uid="{00000000-0010-0000-0100-000004000000}" name="2"/>
    <tableColumn id="5" xr3:uid="{00000000-0010-0000-0100-000005000000}" name="3"/>
    <tableColumn id="6" xr3:uid="{00000000-0010-0000-0100-000006000000}" name="4"/>
    <tableColumn id="7" xr3:uid="{00000000-0010-0000-0100-000007000000}" name="5"/>
    <tableColumn id="8" xr3:uid="{00000000-0010-0000-0100-000008000000}" name="sample score" dataDxfId="69"/>
    <tableColumn id="9" xr3:uid="{00000000-0010-0000-0100-000009000000}" name="% of Agreement" dataDxfId="68">
      <calculatedColumnFormula>U4/(COUNT(coded_data!A:A) * 5)</calculatedColumnFormula>
    </tableColumn>
    <tableColumn id="11" xr3:uid="{00000000-0010-0000-0100-00000B000000}" name="Index" dataDxfId="67">
      <calculatedColumnFormula>IF(X4="very low",1,IF(X4="low",2,IF(X4="moderate",3,IF(X4="high",4,5))))</calculatedColumnFormula>
    </tableColumn>
    <tableColumn id="10" xr3:uid="{00000000-0010-0000-0100-00000A000000}" name="Quartile Index">
      <calculatedColumnFormula>IF(V4&lt;20%,"very low",IF(V4&lt;40%,"low",IF(V4&lt;60%,"moderate",IF(V4&lt;80%,"high","very high"))))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Z3:AE20" totalsRowShown="0">
  <autoFilter ref="Z3:AE20" xr:uid="{00000000-0009-0000-0100-000001000000}"/>
  <sortState xmlns:xlrd2="http://schemas.microsoft.com/office/spreadsheetml/2017/richdata2" ref="Z4:AE20">
    <sortCondition ref="Z3:Z20"/>
  </sortState>
  <tableColumns count="6">
    <tableColumn id="1" xr3:uid="{00000000-0010-0000-0200-000001000000}" name="no." dataDxfId="66"/>
    <tableColumn id="2" xr3:uid="{00000000-0010-0000-0200-000002000000}" name="question"/>
    <tableColumn id="3" xr3:uid="{00000000-0010-0000-0200-000003000000}" name="sample score" dataDxfId="65"/>
    <tableColumn id="4" xr3:uid="{00000000-0010-0000-0200-000004000000}" name="% of correct " dataDxfId="64" dataCellStyle="Percent"/>
    <tableColumn id="6" xr3:uid="{00000000-0010-0000-0200-000006000000}" name="Index" dataDxfId="63" dataCellStyle="Percent">
      <calculatedColumnFormula>IF(AE4="very low",1,IF(AE4="low",2,IF(AE4="moderate",3,IF(AE4="high",4,5))))</calculatedColumnFormula>
    </tableColumn>
    <tableColumn id="5" xr3:uid="{00000000-0010-0000-0200-000005000000}" name="Quartile Index" dataDxfId="62">
      <calculatedColumnFormula>IF(AC4&lt;20%,"very low",IF(AC4&lt;40%,"low",IF(AC4&lt;60%,"moderate",IF(AC4&lt;80%,"high","very high"))))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G3:AL16" totalsRowShown="0">
  <autoFilter ref="AG3:AL16" xr:uid="{00000000-0009-0000-0100-000002000000}"/>
  <sortState xmlns:xlrd2="http://schemas.microsoft.com/office/spreadsheetml/2017/richdata2" ref="AG4:AL16">
    <sortCondition ref="AG3:AG16"/>
  </sortState>
  <tableColumns count="6">
    <tableColumn id="1" xr3:uid="{00000000-0010-0000-0300-000001000000}" name="no." dataDxfId="61"/>
    <tableColumn id="2" xr3:uid="{00000000-0010-0000-0300-000002000000}" name="question"/>
    <tableColumn id="3" xr3:uid="{00000000-0010-0000-0300-000003000000}" name="sample score"/>
    <tableColumn id="4" xr3:uid="{00000000-0010-0000-0300-000004000000}" name="% of correct answers" dataDxfId="60" dataCellStyle="Percent">
      <calculatedColumnFormula>AI4/COUNT(coded_data!A:A)</calculatedColumnFormula>
    </tableColumn>
    <tableColumn id="5" xr3:uid="{00000000-0010-0000-0300-000005000000}" name="Index" dataDxfId="59">
      <calculatedColumnFormula>IF(AL4="very low",1,IF(AL4="low",2,IF(AL4="moderate",3,IF(AL4="high",4,5))))</calculatedColumnFormula>
    </tableColumn>
    <tableColumn id="6" xr3:uid="{00000000-0010-0000-0300-000006000000}" name="Quartile Index" dataDxfId="58">
      <calculatedColumnFormula>IF(AJ4&lt;20%,"very low",IF(AJ4&lt;40%,"low",IF(AJ4&lt;60%,"moderate",IF(AJ4&lt;80%,"high","very high"))))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N3:AS6" totalsRowShown="0">
  <autoFilter ref="AN3:AS6" xr:uid="{00000000-0009-0000-0100-000004000000}"/>
  <sortState xmlns:xlrd2="http://schemas.microsoft.com/office/spreadsheetml/2017/richdata2" ref="AN4:AS6">
    <sortCondition ref="AN3:AN6"/>
  </sortState>
  <tableColumns count="6">
    <tableColumn id="1" xr3:uid="{00000000-0010-0000-0400-000001000000}" name="no." dataDxfId="57"/>
    <tableColumn id="2" xr3:uid="{00000000-0010-0000-0400-000002000000}" name="question"/>
    <tableColumn id="3" xr3:uid="{00000000-0010-0000-0400-000003000000}" name="sample score"/>
    <tableColumn id="4" xr3:uid="{00000000-0010-0000-0400-000004000000}" name="% of interest" dataDxfId="56" dataCellStyle="Percent"/>
    <tableColumn id="5" xr3:uid="{00000000-0010-0000-0400-000005000000}" name="Index" dataDxfId="55">
      <calculatedColumnFormula>IF(AS4="very low",1,IF(AS4="low",2,IF(AS4="moderate",3,IF(AS4="high",4,5))))</calculatedColumnFormula>
    </tableColumn>
    <tableColumn id="6" xr3:uid="{00000000-0010-0000-0400-000006000000}" name="Quartile Index" dataDxfId="54">
      <calculatedColumnFormula>IF(AQ4&lt;20%,"very low",IF(AQ4&lt;40%,"low",IF(AQ4&lt;60%,"moderate",IF(AQ4&lt;80%,"high","very high"))))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1:M15" totalsRowShown="0">
  <autoFilter ref="A11:M15" xr:uid="{00000000-0009-0000-0100-000007000000}"/>
  <sortState xmlns:xlrd2="http://schemas.microsoft.com/office/spreadsheetml/2017/richdata2" ref="A12:M15">
    <sortCondition descending="1" ref="I11:I15"/>
  </sortState>
  <tableColumns count="13">
    <tableColumn id="8" xr3:uid="{00000000-0010-0000-0500-000008000000}" name="Array" dataDxfId="53"/>
    <tableColumn id="1" xr3:uid="{00000000-0010-0000-0500-000001000000}" name="Variables"/>
    <tableColumn id="2" xr3:uid="{00000000-0010-0000-0500-000002000000}" name="Min." dataDxfId="52"/>
    <tableColumn id="3" xr3:uid="{00000000-0010-0000-0500-000003000000}" name="Max" dataDxfId="51"/>
    <tableColumn id="4" xr3:uid="{00000000-0010-0000-0500-000004000000}" name="Mean" dataDxfId="50"/>
    <tableColumn id="9" xr3:uid="{1B51561E-BFC5-4871-AABD-A8232A52547A}" name="Median" dataDxfId="49"/>
    <tableColumn id="10" xr3:uid="{AEA4A6A9-813F-4C27-BCD6-986F8B789C2A}" name="Mode" dataDxfId="48"/>
    <tableColumn id="5" xr3:uid="{00000000-0010-0000-0500-000005000000}" name="Total score" dataDxfId="47"/>
    <tableColumn id="6" xr3:uid="{00000000-0010-0000-0500-000006000000}" name="(%) of Agreement" dataDxfId="46" dataCellStyle="Percent"/>
    <tableColumn id="7" xr3:uid="{00000000-0010-0000-0500-000007000000}" name="Quartile Index">
      <calculatedColumnFormula>IF(I12&lt;=20%,"very low",IF(I12&lt;=40%,"low",IF(I12&lt;=60%,"moderate", IF(I12&lt;=80%,"high","very high"))))</calculatedColumnFormula>
    </tableColumn>
    <tableColumn id="11" xr3:uid="{1DABA668-7212-4B6E-B140-73F4C16D6C2F}" name="Index">
      <calculatedColumnFormula>IF(J12="very high", 5, IF(J12="high", 4, IF(J12="moderate", 3, IF(J12="low", 2, 1))))</calculatedColumnFormula>
    </tableColumn>
    <tableColumn id="12" xr3:uid="{8A6C721C-47CF-4CD8-B3C4-94C5820BAF3E}" name="range">
      <calculatedColumnFormula>D12-C12</calculatedColumnFormula>
    </tableColumn>
    <tableColumn id="13" xr3:uid="{ABFBFE77-A6E1-4C95-BE51-84E166E8256E}" name="std. deviation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18:M25" totalsRowShown="0">
  <autoFilter ref="A18:M25" xr:uid="{00000000-0009-0000-0100-000008000000}"/>
  <sortState xmlns:xlrd2="http://schemas.microsoft.com/office/spreadsheetml/2017/richdata2" ref="A19:M25">
    <sortCondition descending="1" ref="I18:I25"/>
  </sortState>
  <tableColumns count="13">
    <tableColumn id="8" xr3:uid="{00000000-0010-0000-0600-000008000000}" name="Array" dataDxfId="45"/>
    <tableColumn id="1" xr3:uid="{00000000-0010-0000-0600-000001000000}" name="Variables"/>
    <tableColumn id="2" xr3:uid="{00000000-0010-0000-0600-000002000000}" name="Min." dataDxfId="44"/>
    <tableColumn id="3" xr3:uid="{00000000-0010-0000-0600-000003000000}" name="Max" dataDxfId="43"/>
    <tableColumn id="4" xr3:uid="{00000000-0010-0000-0600-000004000000}" name="Mean" dataDxfId="42"/>
    <tableColumn id="9" xr3:uid="{79CB9442-024E-458A-9549-515C36441BBF}" name="Median" dataDxfId="41"/>
    <tableColumn id="10" xr3:uid="{62394534-8A7B-46CD-B9D0-D19DC543FD75}" name="Mode" dataDxfId="40"/>
    <tableColumn id="5" xr3:uid="{00000000-0010-0000-0600-000005000000}" name="Total score" dataDxfId="39"/>
    <tableColumn id="6" xr3:uid="{00000000-0010-0000-0600-000006000000}" name="(%) of correct" dataDxfId="38" dataCellStyle="Percent"/>
    <tableColumn id="7" xr3:uid="{00000000-0010-0000-0600-000007000000}" name="Quartile Index">
      <calculatedColumnFormula>IF(I19&lt;=20%,"very low",IF(I19&lt;=40%,"low",IF(I19&lt;=60%,"moderate", IF(I19&lt;=80%,"high","very high"))))</calculatedColumnFormula>
    </tableColumn>
    <tableColumn id="11" xr3:uid="{2C4E3AB9-5E3D-4332-B14B-5FBF8A1ED899}" name="Index">
      <calculatedColumnFormula>IF(J19="very high", 5, IF(J19="high", 4, IF(J19="moderate", 3, IF(J19="low", 2, 1))))</calculatedColumnFormula>
    </tableColumn>
    <tableColumn id="12" xr3:uid="{90368574-0D03-49C2-A074-FBEA770D7BBA}" name="range">
      <calculatedColumnFormula>D19-C19</calculatedColumnFormula>
    </tableColumn>
    <tableColumn id="13" xr3:uid="{891F7852-5BDA-4379-9499-B59A197D35B2}" name="std. deviation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A28:M31" totalsRowShown="0">
  <autoFilter ref="A28:M31" xr:uid="{00000000-0009-0000-0100-000009000000}"/>
  <sortState xmlns:xlrd2="http://schemas.microsoft.com/office/spreadsheetml/2017/richdata2" ref="A29:M31">
    <sortCondition descending="1" ref="I28:I31"/>
  </sortState>
  <tableColumns count="13">
    <tableColumn id="8" xr3:uid="{00000000-0010-0000-0700-000008000000}" name="Array" dataDxfId="37"/>
    <tableColumn id="1" xr3:uid="{00000000-0010-0000-0700-000001000000}" name="Variables" dataDxfId="36"/>
    <tableColumn id="2" xr3:uid="{00000000-0010-0000-0700-000002000000}" name="Min." dataDxfId="35"/>
    <tableColumn id="3" xr3:uid="{00000000-0010-0000-0700-000003000000}" name="Max" dataDxfId="34"/>
    <tableColumn id="4" xr3:uid="{00000000-0010-0000-0700-000004000000}" name="Mean" dataDxfId="33"/>
    <tableColumn id="9" xr3:uid="{8A107FE2-A46D-4A26-9A63-E29856770F22}" name="Median" dataDxfId="32"/>
    <tableColumn id="10" xr3:uid="{D912FF90-5BCA-4056-B458-655547D96A6C}" name="Mode" dataDxfId="31"/>
    <tableColumn id="5" xr3:uid="{00000000-0010-0000-0700-000005000000}" name="Total score" dataDxfId="30"/>
    <tableColumn id="6" xr3:uid="{00000000-0010-0000-0700-000006000000}" name="(%) of correct" dataDxfId="29" dataCellStyle="Percent">
      <calculatedColumnFormula>H29/COUNT(processed_data!A:A)/ 8</calculatedColumnFormula>
    </tableColumn>
    <tableColumn id="7" xr3:uid="{00000000-0010-0000-0700-000007000000}" name="Quartile Index">
      <calculatedColumnFormula>IF(I29&lt;=20%,"very low",IF(I29&lt;=40%,"low",IF(I29&lt;=60%,"moderate", IF(I29&lt;=80%,"high","very high"))))</calculatedColumnFormula>
    </tableColumn>
    <tableColumn id="11" xr3:uid="{CF59B4F3-5643-4BCB-B096-AFCA4A2AD2D9}" name="Index">
      <calculatedColumnFormula>IF(J29="very high", 5, IF(J29="high", 4, IF(J29="moderate", 3, IF(J29="low", 2, 1))))</calculatedColumnFormula>
    </tableColumn>
    <tableColumn id="12" xr3:uid="{0AFE4245-9C45-4722-9A8A-65F472F2F284}" name="range">
      <calculatedColumnFormula>D29-C29</calculatedColumnFormula>
    </tableColumn>
    <tableColumn id="13" xr3:uid="{CAA63ECB-A771-4019-8A29-21AEC59728FE}" name="std. deviation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0" displayName="Table10" ref="A34:M35" totalsRowShown="0">
  <autoFilter ref="A34:M35" xr:uid="{00000000-0009-0000-0100-00000A000000}"/>
  <tableColumns count="13">
    <tableColumn id="8" xr3:uid="{00000000-0010-0000-0800-000008000000}" name="Array" dataDxfId="28"/>
    <tableColumn id="1" xr3:uid="{00000000-0010-0000-0800-000001000000}" name="Variables" dataDxfId="27"/>
    <tableColumn id="2" xr3:uid="{00000000-0010-0000-0800-000002000000}" name="Min." dataDxfId="26">
      <calculatedColumnFormula>MIN(processed_data!BV:BV)</calculatedColumnFormula>
    </tableColumn>
    <tableColumn id="3" xr3:uid="{00000000-0010-0000-0800-000003000000}" name="Max" dataDxfId="25">
      <calculatedColumnFormula>MAX(processed_data!BV:BV)</calculatedColumnFormula>
    </tableColumn>
    <tableColumn id="4" xr3:uid="{00000000-0010-0000-0800-000004000000}" name="Mean" dataDxfId="24">
      <calculatedColumnFormula>AVERAGE(processed_data!BV:BV)</calculatedColumnFormula>
    </tableColumn>
    <tableColumn id="9" xr3:uid="{B1EF64A7-5967-430C-8BE2-306885DF3C50}" name="Median" dataDxfId="23">
      <calculatedColumnFormula>MEDIAN(processed_data!BV:BV)</calculatedColumnFormula>
    </tableColumn>
    <tableColumn id="10" xr3:uid="{08DB4703-7F26-43C2-9A14-06B119F5312B}" name="Mode" dataDxfId="22">
      <calculatedColumnFormula>MODE(processed_data!BV:BV)</calculatedColumnFormula>
    </tableColumn>
    <tableColumn id="5" xr3:uid="{00000000-0010-0000-0800-000005000000}" name="Total score" dataDxfId="21">
      <calculatedColumnFormula>SUM(processed_data!BV:BV)</calculatedColumnFormula>
    </tableColumn>
    <tableColumn id="6" xr3:uid="{00000000-0010-0000-0800-000006000000}" name="(%) of Interest" dataDxfId="20" dataCellStyle="Percent">
      <calculatedColumnFormula>H35/COUNT(processed_data!A:A)/ 7</calculatedColumnFormula>
    </tableColumn>
    <tableColumn id="7" xr3:uid="{00000000-0010-0000-0800-000007000000}" name="Quartile Index"/>
    <tableColumn id="11" xr3:uid="{D34FCAE7-CB10-4A37-A2CD-FF4115D904F9}" name="Index">
      <calculatedColumnFormula>IF(J35="very high", 5, IF(J35="high", 4, IF(J35="moderate", 3, IF(J35="low", 2, 1))))</calculatedColumnFormula>
    </tableColumn>
    <tableColumn id="12" xr3:uid="{CAABC0D0-41B3-4744-91C9-FAD14C11FF05}" name="range">
      <calculatedColumnFormula>D35-C35</calculatedColumnFormula>
    </tableColumn>
    <tableColumn id="13" xr3:uid="{AD391A8C-EBF7-45B4-ADB6-01B20549634A}" name="std. deviation">
      <calculatedColumnFormula>_xlfn.STDEV.P(processed_data!BV:BV)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jnavillacastin.github.io/AMU-AMR-KAP-Tool-Tutorial/" TargetMode="External"/><Relationship Id="rId7" Type="http://schemas.openxmlformats.org/officeDocument/2006/relationships/hyperlink" Target="https://jnavillacastin.github.io/AMU-AMR-KAP-Tool-Tutorial/" TargetMode="External"/><Relationship Id="rId2" Type="http://schemas.openxmlformats.org/officeDocument/2006/relationships/hyperlink" Target="https://github.com/JNAVillacastin/AMU-AMR-KAP-Excel-Tool-/tree/master/survey%20sheets" TargetMode="External"/><Relationship Id="rId1" Type="http://schemas.openxmlformats.org/officeDocument/2006/relationships/hyperlink" Target="https://youtube.com/playlist?list=PLEiFamXMWPlZ_mTKf62Jfn_VdVryLcN3t" TargetMode="External"/><Relationship Id="rId6" Type="http://schemas.openxmlformats.org/officeDocument/2006/relationships/hyperlink" Target="https://jnavillacastin.github.io/AMU-AMR-KAP-Excel-Tool-/" TargetMode="External"/><Relationship Id="rId5" Type="http://schemas.openxmlformats.org/officeDocument/2006/relationships/hyperlink" Target="https://youtube.com/playlist?list=PLEiFamXMWPlZ_mTKf62Jfn_VdVryLcN3t" TargetMode="External"/><Relationship Id="rId4" Type="http://schemas.openxmlformats.org/officeDocument/2006/relationships/hyperlink" Target="https://github.com/JNAVillacastin/AMU-AMR-KAP-Excel-Tool-/tree/master/survey%20sheets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tabSelected="1" zoomScaleNormal="100" zoomScaleSheetLayoutView="84" workbookViewId="0">
      <selection activeCell="B15" sqref="B15"/>
    </sheetView>
  </sheetViews>
  <sheetFormatPr defaultRowHeight="14.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>
      <c r="A1" s="61"/>
      <c r="B1" s="15"/>
      <c r="C1" s="15"/>
      <c r="D1" s="15"/>
      <c r="E1" s="15"/>
      <c r="F1" s="15"/>
      <c r="G1" s="15"/>
      <c r="H1" s="15"/>
      <c r="I1" s="15"/>
      <c r="J1" s="15"/>
      <c r="K1" s="15"/>
      <c r="L1" s="163"/>
      <c r="M1" s="163"/>
      <c r="N1" s="163"/>
      <c r="O1" s="163"/>
      <c r="P1" s="164"/>
      <c r="Q1" s="165"/>
      <c r="R1" s="13"/>
    </row>
    <row r="2" spans="1:18">
      <c r="A2" s="62"/>
      <c r="B2" s="60"/>
      <c r="C2" s="60"/>
      <c r="D2" s="60"/>
      <c r="E2" s="60"/>
      <c r="F2" s="60"/>
      <c r="G2" s="60"/>
      <c r="H2" s="60"/>
      <c r="I2" s="60"/>
      <c r="J2" s="60"/>
      <c r="K2" s="60"/>
      <c r="L2" s="166"/>
      <c r="M2" s="166"/>
      <c r="N2" s="166"/>
      <c r="O2" s="166"/>
      <c r="P2" s="167"/>
      <c r="Q2" s="166"/>
      <c r="R2" s="13"/>
    </row>
    <row r="3" spans="1:18">
      <c r="A3" s="62"/>
      <c r="B3" s="60"/>
      <c r="C3" s="60"/>
      <c r="D3" s="60"/>
      <c r="E3" s="60"/>
      <c r="F3" s="60"/>
      <c r="G3" s="60"/>
      <c r="H3" s="60"/>
      <c r="I3" s="60"/>
      <c r="J3" s="60"/>
      <c r="K3" s="60"/>
      <c r="L3" s="165"/>
      <c r="M3" s="168"/>
      <c r="N3" s="168"/>
      <c r="O3" s="168"/>
      <c r="P3" s="169"/>
      <c r="Q3" s="168"/>
      <c r="R3" s="13"/>
    </row>
    <row r="4" spans="1:18">
      <c r="A4" s="213" t="s">
        <v>702</v>
      </c>
      <c r="B4" s="214"/>
      <c r="C4" s="214"/>
      <c r="D4" s="214"/>
      <c r="E4" s="60"/>
      <c r="F4" s="60"/>
      <c r="G4" s="60"/>
      <c r="H4" s="60"/>
      <c r="I4" s="60"/>
      <c r="J4" s="60"/>
      <c r="K4" s="60"/>
      <c r="L4" s="165"/>
      <c r="M4" s="60"/>
      <c r="N4" s="60"/>
      <c r="O4" s="60"/>
      <c r="P4" s="170"/>
      <c r="Q4" s="171"/>
      <c r="R4" s="13"/>
    </row>
    <row r="5" spans="1:18">
      <c r="A5" s="172" t="s">
        <v>320</v>
      </c>
      <c r="B5" s="173" t="s">
        <v>703</v>
      </c>
      <c r="C5" s="174"/>
      <c r="D5" s="174"/>
      <c r="E5" s="60"/>
      <c r="F5" s="60"/>
      <c r="G5" s="60"/>
      <c r="H5" s="60"/>
      <c r="I5" s="60"/>
      <c r="J5" s="60"/>
      <c r="K5" s="60"/>
      <c r="L5" s="165"/>
      <c r="M5" s="60"/>
      <c r="N5" s="60"/>
      <c r="O5" s="60"/>
      <c r="P5" s="169"/>
      <c r="Q5" s="168"/>
      <c r="R5" s="13"/>
    </row>
    <row r="6" spans="1:18">
      <c r="A6" s="172" t="s">
        <v>319</v>
      </c>
      <c r="B6" s="173" t="s">
        <v>703</v>
      </c>
      <c r="C6" s="174"/>
      <c r="D6" s="174"/>
      <c r="E6" s="60"/>
      <c r="F6" s="60"/>
      <c r="G6" s="60"/>
      <c r="H6" s="60"/>
      <c r="I6" s="60"/>
      <c r="J6" s="60"/>
      <c r="K6" s="60"/>
      <c r="L6" s="165"/>
      <c r="M6" s="60"/>
      <c r="N6" s="60"/>
      <c r="O6" s="60"/>
      <c r="P6" s="175"/>
      <c r="Q6" s="176"/>
      <c r="R6" s="13"/>
    </row>
    <row r="7" spans="1:18">
      <c r="A7" s="172" t="s">
        <v>318</v>
      </c>
      <c r="B7" s="177" t="str">
        <f>CONCATENATE("(n = ", COUNT(raw_data!A:A), ")")</f>
        <v>(n = 10)</v>
      </c>
      <c r="C7" s="165"/>
      <c r="D7" s="178"/>
      <c r="E7" s="60"/>
      <c r="F7" s="60"/>
      <c r="G7" s="60"/>
      <c r="H7" s="60"/>
      <c r="I7" s="60"/>
      <c r="J7" s="60"/>
      <c r="K7" s="60"/>
      <c r="L7" s="165"/>
      <c r="M7" s="60"/>
      <c r="N7" s="60"/>
      <c r="O7" s="60"/>
      <c r="P7" s="179"/>
      <c r="Q7" s="160"/>
      <c r="R7" s="13"/>
    </row>
    <row r="8" spans="1:18">
      <c r="A8" s="172" t="s">
        <v>317</v>
      </c>
      <c r="B8" s="173" t="s">
        <v>703</v>
      </c>
      <c r="C8" s="174"/>
      <c r="D8" s="174"/>
      <c r="E8" s="60"/>
      <c r="F8" s="60"/>
      <c r="G8" s="60"/>
      <c r="H8" s="60"/>
      <c r="I8" s="60"/>
      <c r="J8" s="60"/>
      <c r="K8" s="60"/>
      <c r="L8" s="166"/>
      <c r="M8" s="60"/>
      <c r="N8" s="60"/>
      <c r="O8" s="60"/>
      <c r="P8" s="180"/>
      <c r="Q8" s="181"/>
      <c r="R8" s="13"/>
    </row>
    <row r="9" spans="1:18">
      <c r="A9" s="172" t="s">
        <v>316</v>
      </c>
      <c r="B9" s="173" t="s">
        <v>703</v>
      </c>
      <c r="C9" s="174"/>
      <c r="D9" s="174"/>
      <c r="E9" s="60"/>
      <c r="F9" s="60"/>
      <c r="G9" s="60"/>
      <c r="H9" s="60"/>
      <c r="I9" s="60"/>
      <c r="J9" s="60"/>
      <c r="K9" s="60"/>
      <c r="L9" s="166"/>
      <c r="M9" s="60"/>
      <c r="N9" s="60"/>
      <c r="O9" s="60"/>
      <c r="P9" s="182"/>
      <c r="Q9" s="183"/>
      <c r="R9" s="13"/>
    </row>
    <row r="10" spans="1:18">
      <c r="A10" s="62"/>
      <c r="B10" s="60"/>
      <c r="C10" s="60"/>
      <c r="D10" s="60"/>
      <c r="E10" s="184"/>
      <c r="F10" s="184"/>
      <c r="G10" s="60"/>
      <c r="H10" s="60"/>
      <c r="I10" s="60"/>
      <c r="J10" s="60"/>
      <c r="K10" s="60"/>
      <c r="L10" s="166"/>
      <c r="M10" s="60"/>
      <c r="N10" s="60"/>
      <c r="O10" s="60"/>
      <c r="P10" s="185"/>
      <c r="Q10" s="186"/>
      <c r="R10" s="13"/>
    </row>
    <row r="11" spans="1:18">
      <c r="A11" s="213" t="s">
        <v>704</v>
      </c>
      <c r="B11" s="214"/>
      <c r="C11" s="214"/>
      <c r="D11" s="214"/>
      <c r="E11" s="162"/>
      <c r="F11" s="162"/>
      <c r="G11" s="60"/>
      <c r="H11" s="60"/>
      <c r="I11" s="60"/>
      <c r="J11" s="60"/>
      <c r="K11" s="60"/>
      <c r="L11" s="166"/>
      <c r="M11" s="60"/>
      <c r="N11" s="60"/>
      <c r="O11" s="60"/>
      <c r="P11" s="187"/>
      <c r="Q11" s="165"/>
      <c r="R11" s="13"/>
    </row>
    <row r="12" spans="1:18">
      <c r="A12" s="172" t="s">
        <v>705</v>
      </c>
      <c r="B12" s="159" t="s">
        <v>706</v>
      </c>
      <c r="C12" s="60"/>
      <c r="D12" s="60"/>
      <c r="E12" s="188"/>
      <c r="F12" s="188"/>
      <c r="G12" s="60"/>
      <c r="H12" s="60"/>
      <c r="I12" s="60"/>
      <c r="J12" s="60"/>
      <c r="K12" s="60"/>
      <c r="L12" s="166"/>
      <c r="M12" s="60"/>
      <c r="N12" s="60"/>
      <c r="O12" s="189"/>
      <c r="P12" s="190"/>
      <c r="Q12" s="189"/>
      <c r="R12" s="13"/>
    </row>
    <row r="13" spans="1:18">
      <c r="A13" s="191" t="s">
        <v>700</v>
      </c>
      <c r="B13" s="161" t="s">
        <v>700</v>
      </c>
      <c r="C13" s="60"/>
      <c r="D13" s="60"/>
      <c r="E13" s="181"/>
      <c r="F13" s="181"/>
      <c r="G13" s="60"/>
      <c r="H13" s="60"/>
      <c r="I13" s="60"/>
      <c r="J13" s="60"/>
      <c r="K13" s="60"/>
      <c r="L13" s="166"/>
      <c r="M13" s="166"/>
      <c r="N13" s="166"/>
      <c r="O13" s="166"/>
      <c r="P13" s="167"/>
      <c r="Q13" s="166"/>
      <c r="R13" s="13"/>
    </row>
    <row r="14" spans="1:18">
      <c r="A14" s="172" t="s">
        <v>707</v>
      </c>
      <c r="B14" s="181" t="s">
        <v>701</v>
      </c>
      <c r="C14" s="60"/>
      <c r="D14" s="60"/>
      <c r="E14" s="181"/>
      <c r="F14" s="181"/>
      <c r="G14" s="60"/>
      <c r="H14" s="60"/>
      <c r="I14" s="60"/>
      <c r="J14" s="60"/>
      <c r="K14" s="60"/>
      <c r="L14" s="166"/>
      <c r="M14" s="166"/>
      <c r="N14" s="166"/>
      <c r="O14" s="166"/>
      <c r="P14" s="167"/>
      <c r="Q14" s="166"/>
      <c r="R14" s="13"/>
    </row>
    <row r="15" spans="1:18">
      <c r="A15" s="172" t="s">
        <v>321</v>
      </c>
      <c r="B15" s="181" t="s">
        <v>708</v>
      </c>
      <c r="C15" s="60"/>
      <c r="D15" s="60"/>
      <c r="E15" s="60"/>
      <c r="F15" s="60"/>
      <c r="G15" s="60"/>
      <c r="H15" s="60"/>
      <c r="I15" s="60"/>
      <c r="J15" s="60"/>
      <c r="K15" s="60"/>
      <c r="L15" s="166"/>
      <c r="M15" s="166"/>
      <c r="N15" s="166"/>
      <c r="O15" s="166"/>
      <c r="P15" s="167"/>
      <c r="Q15" s="166"/>
      <c r="R15" s="13"/>
    </row>
    <row r="16" spans="1:18" ht="15" thickBot="1">
      <c r="A16" s="192"/>
      <c r="B16" s="60"/>
      <c r="C16" s="165"/>
      <c r="D16" s="186"/>
      <c r="E16" s="60"/>
      <c r="F16" s="60"/>
      <c r="G16" s="181"/>
      <c r="H16" s="181"/>
      <c r="I16" s="181"/>
      <c r="J16" s="193"/>
      <c r="K16" s="193"/>
      <c r="L16" s="166"/>
      <c r="M16" s="166"/>
      <c r="N16" s="166"/>
      <c r="O16" s="166"/>
      <c r="P16" s="167"/>
      <c r="Q16" s="166"/>
      <c r="R16" s="13"/>
    </row>
    <row r="17" spans="1:18">
      <c r="A17" s="213" t="s">
        <v>709</v>
      </c>
      <c r="B17" s="214"/>
      <c r="C17" s="214"/>
      <c r="D17" s="214"/>
      <c r="E17" s="60"/>
      <c r="F17" s="60"/>
      <c r="G17" s="166"/>
      <c r="H17" s="165"/>
      <c r="I17" s="166"/>
      <c r="J17" s="166"/>
      <c r="K17" s="166"/>
      <c r="L17" s="166"/>
      <c r="M17" s="166"/>
      <c r="N17" s="166"/>
      <c r="O17" s="166"/>
      <c r="P17" s="167"/>
      <c r="Q17" s="166"/>
      <c r="R17" s="13"/>
    </row>
    <row r="18" spans="1:18">
      <c r="A18" s="172"/>
      <c r="B18" s="60"/>
      <c r="C18" s="60"/>
      <c r="D18" s="60"/>
      <c r="E18" s="60"/>
      <c r="F18" s="60"/>
      <c r="G18" s="166"/>
      <c r="H18" s="12"/>
      <c r="I18" s="166"/>
      <c r="J18" s="166"/>
      <c r="K18" s="166"/>
      <c r="L18" s="60"/>
      <c r="M18" s="60"/>
      <c r="N18" s="60"/>
      <c r="O18" s="60"/>
      <c r="P18" s="46"/>
      <c r="Q18" s="60"/>
    </row>
    <row r="19" spans="1:18">
      <c r="A19" s="192"/>
      <c r="B19" s="60"/>
      <c r="C19" s="60"/>
      <c r="D19" s="60"/>
      <c r="E19" s="60"/>
      <c r="F19" s="60"/>
      <c r="G19" s="166"/>
      <c r="H19" s="166"/>
      <c r="I19" s="166"/>
      <c r="J19" s="166"/>
      <c r="K19" s="166"/>
      <c r="L19" s="60"/>
      <c r="M19" s="60"/>
      <c r="N19" s="60"/>
      <c r="O19" s="60"/>
      <c r="P19" s="46"/>
      <c r="Q19" s="60"/>
    </row>
    <row r="20" spans="1:18">
      <c r="A20" s="192"/>
      <c r="B20" s="60"/>
      <c r="C20" s="60"/>
      <c r="D20" s="60"/>
      <c r="E20" s="60"/>
      <c r="F20" s="60"/>
      <c r="G20" s="166"/>
      <c r="H20" s="165"/>
      <c r="I20" s="166"/>
      <c r="J20" s="166"/>
      <c r="K20" s="166"/>
      <c r="L20" s="60"/>
      <c r="M20" s="60"/>
      <c r="N20" s="60"/>
      <c r="O20" s="60"/>
      <c r="P20" s="46"/>
      <c r="Q20" s="60"/>
    </row>
    <row r="21" spans="1:18">
      <c r="A21" s="62"/>
      <c r="B21" s="60"/>
      <c r="C21" s="60"/>
      <c r="D21" s="60"/>
      <c r="E21" s="60"/>
      <c r="F21" s="60"/>
      <c r="G21" s="166"/>
      <c r="H21" s="12"/>
      <c r="I21" s="166"/>
      <c r="J21" s="166"/>
      <c r="K21" s="166"/>
      <c r="L21" s="60"/>
      <c r="M21" s="60"/>
      <c r="N21" s="60"/>
      <c r="O21" s="60"/>
      <c r="P21" s="46"/>
      <c r="Q21" s="60"/>
    </row>
    <row r="22" spans="1:18">
      <c r="A22" s="62"/>
      <c r="B22" s="60"/>
      <c r="C22" s="60"/>
      <c r="D22" s="60"/>
      <c r="E22" s="60"/>
      <c r="F22" s="60"/>
      <c r="G22" s="14"/>
      <c r="H22" s="215"/>
      <c r="I22" s="216"/>
      <c r="J22" s="216"/>
      <c r="K22" s="216"/>
      <c r="L22" s="60"/>
      <c r="M22" s="60"/>
      <c r="N22" s="60"/>
      <c r="O22" s="60"/>
      <c r="P22" s="46"/>
      <c r="Q22" s="60"/>
    </row>
    <row r="23" spans="1:18" ht="15" thickBot="1">
      <c r="A23" s="194"/>
      <c r="B23" s="195"/>
      <c r="C23" s="48"/>
      <c r="D23" s="48"/>
      <c r="E23" s="48"/>
      <c r="F23" s="48"/>
      <c r="G23" s="196"/>
      <c r="H23" s="196"/>
      <c r="I23" s="197"/>
      <c r="J23" s="197"/>
      <c r="K23" s="197"/>
      <c r="L23" s="48"/>
      <c r="M23" s="48"/>
      <c r="N23" s="48"/>
      <c r="O23" s="48"/>
      <c r="P23" s="49"/>
      <c r="Q23" s="60"/>
    </row>
    <row r="24" spans="1:18">
      <c r="A24" s="60"/>
      <c r="B24" s="60"/>
      <c r="C24" s="60"/>
      <c r="D24" s="60"/>
      <c r="E24" s="60"/>
      <c r="F24" s="60"/>
      <c r="G24" s="198"/>
      <c r="H24" s="199"/>
      <c r="I24" s="198"/>
      <c r="J24" s="198"/>
      <c r="K24" s="198"/>
      <c r="L24" s="60"/>
      <c r="M24" s="60"/>
      <c r="N24" s="60"/>
      <c r="O24" s="60"/>
      <c r="P24" s="60"/>
      <c r="Q24" s="60"/>
    </row>
  </sheetData>
  <mergeCells count="4">
    <mergeCell ref="A4:D4"/>
    <mergeCell ref="A11:D11"/>
    <mergeCell ref="A17:D17"/>
    <mergeCell ref="H22:K22"/>
  </mergeCells>
  <hyperlinks>
    <hyperlink ref="N10:Q10" location="summary!A1" display="summary!A1" xr:uid="{99A52ED5-CC92-45AD-88B1-88A0F01FC451}"/>
    <hyperlink ref="B14" r:id="rId1" xr:uid="{ED6C6D9E-0397-4456-9538-78733D8EF320}"/>
    <hyperlink ref="B12" r:id="rId2" display="Questionnaires (Survey sheet + codebook)" xr:uid="{CC608E4C-EBCD-45B3-B3B1-6D345EFCE2A3}"/>
    <hyperlink ref="E12:F12" r:id="rId3" display="Handbook" xr:uid="{B22CCE11-2B8F-4A61-8D50-4692B42A9C52}"/>
    <hyperlink ref="E11:F11" r:id="rId4" display="(Survey sheet + codebook)" xr:uid="{56AD6E77-44C0-4907-8A1D-8023D27C25AF}"/>
    <hyperlink ref="E13:F13" r:id="rId5" display="Tutorial Playlist" xr:uid="{E80A5981-6A2E-479E-BB4A-AB6D5FC0B623}"/>
    <hyperlink ref="B15" r:id="rId6" display="link" xr:uid="{DFC18653-6765-4D6C-9E4A-58CB42D26BF0}"/>
    <hyperlink ref="B13" r:id="rId7" xr:uid="{F6CE1145-D62F-4A2A-B269-52336BA51068}"/>
  </hyperlinks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Y14"/>
  <sheetViews>
    <sheetView zoomScale="95" zoomScaleNormal="95" workbookViewId="0">
      <pane xSplit="1" topLeftCell="B1" activePane="topRight" state="frozen"/>
      <selection pane="topRight" sqref="A1:A2"/>
    </sheetView>
  </sheetViews>
  <sheetFormatPr defaultRowHeight="14.5"/>
  <cols>
    <col min="1" max="1" width="11" style="156" customWidth="1"/>
    <col min="10" max="10" width="9.1796875" style="1"/>
    <col min="24" max="24" width="8.7265625" style="60"/>
    <col min="31" max="32" width="9.1796875" style="2"/>
    <col min="40" max="40" width="8.7265625" style="60"/>
    <col min="44" max="44" width="9.1796875" style="1"/>
    <col min="70" max="70" width="9.1796875" style="1"/>
    <col min="133" max="133" width="9.1796875" style="1"/>
    <col min="153" max="153" width="9.1796875" style="1"/>
    <col min="155" max="155" width="16.54296875" customWidth="1"/>
    <col min="156" max="156" width="15.7265625" customWidth="1"/>
    <col min="157" max="157" width="9.1796875" style="63"/>
    <col min="158" max="159" width="8.7265625" style="63"/>
    <col min="162" max="162" width="9.1796875" style="5"/>
    <col min="181" max="181" width="9.1796875" style="1"/>
  </cols>
  <sheetData>
    <row r="1" spans="1:181" ht="15" thickBot="1">
      <c r="A1" s="230" t="s">
        <v>322</v>
      </c>
      <c r="B1" s="231" t="s">
        <v>275</v>
      </c>
      <c r="C1" s="232"/>
      <c r="D1" s="232"/>
      <c r="E1" s="232"/>
      <c r="F1" s="232"/>
      <c r="G1" s="232"/>
      <c r="H1" s="232"/>
      <c r="I1" s="232"/>
      <c r="J1" s="233"/>
      <c r="K1" s="237" t="s">
        <v>305</v>
      </c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8"/>
      <c r="AS1" s="239" t="s">
        <v>306</v>
      </c>
      <c r="AT1" s="240"/>
      <c r="AU1" s="240"/>
      <c r="AV1" s="240"/>
      <c r="AW1" s="240"/>
      <c r="AX1" s="240"/>
      <c r="AY1" s="240"/>
      <c r="AZ1" s="240"/>
      <c r="BA1" s="240"/>
      <c r="BB1" s="240"/>
      <c r="BC1" s="240"/>
      <c r="BD1" s="240"/>
      <c r="BE1" s="240"/>
      <c r="BF1" s="240"/>
      <c r="BG1" s="240"/>
      <c r="BH1" s="240"/>
      <c r="BI1" s="240"/>
      <c r="BJ1" s="240"/>
      <c r="BK1" s="240"/>
      <c r="BL1" s="240"/>
      <c r="BM1" s="240"/>
      <c r="BN1" s="240"/>
      <c r="BO1" s="240"/>
      <c r="BP1" s="240"/>
      <c r="BQ1" s="240"/>
      <c r="BR1" s="241"/>
      <c r="BS1" s="242" t="s">
        <v>307</v>
      </c>
      <c r="BT1" s="243"/>
      <c r="BU1" s="243"/>
      <c r="BV1" s="243"/>
      <c r="BW1" s="243"/>
      <c r="BX1" s="243"/>
      <c r="BY1" s="243"/>
      <c r="BZ1" s="243"/>
      <c r="CA1" s="243"/>
      <c r="CB1" s="243"/>
      <c r="CC1" s="243"/>
      <c r="CD1" s="243"/>
      <c r="CE1" s="243"/>
      <c r="CF1" s="243"/>
      <c r="CG1" s="243"/>
      <c r="CH1" s="243"/>
      <c r="CI1" s="243"/>
      <c r="CJ1" s="243"/>
      <c r="CK1" s="243"/>
      <c r="CL1" s="243"/>
      <c r="CM1" s="243"/>
      <c r="CN1" s="243"/>
      <c r="CO1" s="243"/>
      <c r="CP1" s="243"/>
      <c r="CQ1" s="243"/>
      <c r="CR1" s="243"/>
      <c r="CS1" s="243"/>
      <c r="CT1" s="243"/>
      <c r="CU1" s="243"/>
      <c r="CV1" s="243"/>
      <c r="CW1" s="243"/>
      <c r="CX1" s="243"/>
      <c r="CY1" s="243"/>
      <c r="CZ1" s="243"/>
      <c r="DA1" s="243"/>
      <c r="DB1" s="243"/>
      <c r="DC1" s="243"/>
      <c r="DD1" s="243"/>
      <c r="DE1" s="243"/>
      <c r="DF1" s="243"/>
      <c r="DG1" s="243"/>
      <c r="DH1" s="243"/>
      <c r="DI1" s="243"/>
      <c r="DJ1" s="243"/>
      <c r="DK1" s="243"/>
      <c r="DL1" s="243"/>
      <c r="DM1" s="243"/>
      <c r="DN1" s="243"/>
      <c r="DO1" s="243"/>
      <c r="DP1" s="243"/>
      <c r="DQ1" s="243"/>
      <c r="DR1" s="243"/>
      <c r="DS1" s="243"/>
      <c r="DT1" s="243"/>
      <c r="DU1" s="243"/>
      <c r="DV1" s="243"/>
      <c r="DW1" s="243"/>
      <c r="DX1" s="243"/>
      <c r="DY1" s="243"/>
      <c r="DZ1" s="243"/>
      <c r="EA1" s="243"/>
      <c r="EB1" s="243"/>
      <c r="EC1" s="244"/>
      <c r="ED1" s="220" t="s">
        <v>308</v>
      </c>
      <c r="EE1" s="221"/>
      <c r="EF1" s="221"/>
      <c r="EG1" s="221"/>
      <c r="EH1" s="221"/>
      <c r="EI1" s="221"/>
      <c r="EJ1" s="221"/>
      <c r="EK1" s="221"/>
      <c r="EL1" s="221"/>
      <c r="EM1" s="221"/>
      <c r="EN1" s="221"/>
      <c r="EO1" s="221"/>
      <c r="EP1" s="221"/>
      <c r="EQ1" s="221"/>
      <c r="ER1" s="221"/>
      <c r="ES1" s="221"/>
      <c r="ET1" s="221"/>
      <c r="EU1" s="221"/>
      <c r="EV1" s="221"/>
      <c r="EW1" s="221"/>
      <c r="EX1" s="224" t="s">
        <v>300</v>
      </c>
      <c r="EY1" s="225"/>
      <c r="EZ1" s="225"/>
      <c r="FA1" s="225"/>
      <c r="FB1" s="225"/>
      <c r="FC1" s="226"/>
      <c r="FD1" s="222" t="s">
        <v>309</v>
      </c>
      <c r="FE1" s="222"/>
      <c r="FF1" s="222"/>
      <c r="FG1" s="222"/>
      <c r="FH1" s="222"/>
      <c r="FI1" s="222"/>
      <c r="FJ1" s="222"/>
      <c r="FK1" s="222"/>
      <c r="FL1" s="222"/>
      <c r="FM1" s="222"/>
      <c r="FN1" s="222"/>
      <c r="FO1" s="222"/>
      <c r="FP1" s="222"/>
      <c r="FQ1" s="222"/>
      <c r="FR1" s="222"/>
      <c r="FS1" s="222"/>
      <c r="FT1" s="222"/>
      <c r="FU1" s="222"/>
      <c r="FV1" s="222"/>
      <c r="FW1" s="222"/>
      <c r="FX1" s="222"/>
      <c r="FY1" s="223"/>
    </row>
    <row r="2" spans="1:181" ht="15" thickBot="1">
      <c r="A2" s="230"/>
      <c r="B2" s="234"/>
      <c r="C2" s="235"/>
      <c r="D2" s="235"/>
      <c r="E2" s="235"/>
      <c r="F2" s="235"/>
      <c r="G2" s="235"/>
      <c r="H2" s="235"/>
      <c r="I2" s="235"/>
      <c r="J2" s="236"/>
      <c r="K2" s="218" t="s">
        <v>276</v>
      </c>
      <c r="L2" s="218"/>
      <c r="M2" s="218"/>
      <c r="N2" s="218"/>
      <c r="O2" s="219"/>
      <c r="P2" s="217" t="s">
        <v>277</v>
      </c>
      <c r="Q2" s="218"/>
      <c r="R2" s="218"/>
      <c r="S2" s="218"/>
      <c r="T2" s="218"/>
      <c r="U2" s="218"/>
      <c r="V2" s="218"/>
      <c r="W2" s="218"/>
      <c r="X2" s="219"/>
      <c r="Y2" s="217" t="s">
        <v>278</v>
      </c>
      <c r="Z2" s="218"/>
      <c r="AA2" s="218"/>
      <c r="AB2" s="218"/>
      <c r="AC2" s="219"/>
      <c r="AD2" s="217" t="s">
        <v>279</v>
      </c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  <c r="AR2" s="219"/>
      <c r="AS2" s="9" t="s">
        <v>286</v>
      </c>
      <c r="AT2" s="9" t="s">
        <v>287</v>
      </c>
      <c r="AU2" s="217" t="s">
        <v>288</v>
      </c>
      <c r="AV2" s="218"/>
      <c r="AW2" s="218"/>
      <c r="AX2" s="218"/>
      <c r="AY2" s="218"/>
      <c r="AZ2" s="218"/>
      <c r="BA2" s="218"/>
      <c r="BB2" s="218"/>
      <c r="BC2" s="218"/>
      <c r="BD2" s="218"/>
      <c r="BE2" s="218"/>
      <c r="BF2" s="219"/>
      <c r="BG2" s="217" t="s">
        <v>289</v>
      </c>
      <c r="BH2" s="218"/>
      <c r="BI2" s="218"/>
      <c r="BJ2" s="218"/>
      <c r="BK2" s="218"/>
      <c r="BL2" s="218"/>
      <c r="BM2" s="218"/>
      <c r="BN2" s="218"/>
      <c r="BO2" s="218"/>
      <c r="BP2" s="218"/>
      <c r="BQ2" s="218"/>
      <c r="BR2" s="219"/>
      <c r="BS2" s="217" t="s">
        <v>290</v>
      </c>
      <c r="BT2" s="218"/>
      <c r="BU2" s="218"/>
      <c r="BV2" s="218"/>
      <c r="BW2" s="218"/>
      <c r="BX2" s="218"/>
      <c r="BY2" s="218"/>
      <c r="BZ2" s="218"/>
      <c r="CA2" s="218"/>
      <c r="CB2" s="218"/>
      <c r="CC2" s="218"/>
      <c r="CD2" s="218"/>
      <c r="CE2" s="218"/>
      <c r="CF2" s="218"/>
      <c r="CG2" s="218"/>
      <c r="CH2" s="218"/>
      <c r="CI2" s="218"/>
      <c r="CJ2" s="218"/>
      <c r="CK2" s="218"/>
      <c r="CL2" s="219"/>
      <c r="CM2" s="217" t="s">
        <v>291</v>
      </c>
      <c r="CN2" s="218"/>
      <c r="CO2" s="218"/>
      <c r="CP2" s="219"/>
      <c r="CQ2" s="217" t="s">
        <v>292</v>
      </c>
      <c r="CR2" s="218"/>
      <c r="CS2" s="218"/>
      <c r="CT2" s="218"/>
      <c r="CU2" s="218"/>
      <c r="CV2" s="218"/>
      <c r="CW2" s="218"/>
      <c r="CX2" s="218"/>
      <c r="CY2" s="218"/>
      <c r="CZ2" s="218"/>
      <c r="DA2" s="218"/>
      <c r="DB2" s="219"/>
      <c r="DC2" s="217" t="s">
        <v>293</v>
      </c>
      <c r="DD2" s="218"/>
      <c r="DE2" s="218"/>
      <c r="DF2" s="218"/>
      <c r="DG2" s="218"/>
      <c r="DH2" s="219"/>
      <c r="DI2" s="217" t="s">
        <v>294</v>
      </c>
      <c r="DJ2" s="218"/>
      <c r="DK2" s="218"/>
      <c r="DL2" s="218"/>
      <c r="DM2" s="218"/>
      <c r="DN2" s="218"/>
      <c r="DO2" s="218"/>
      <c r="DP2" s="218"/>
      <c r="DQ2" s="218"/>
      <c r="DR2" s="218"/>
      <c r="DS2" s="218"/>
      <c r="DT2" s="219"/>
      <c r="DU2" s="217" t="s">
        <v>295</v>
      </c>
      <c r="DV2" s="218"/>
      <c r="DW2" s="218"/>
      <c r="DX2" s="218"/>
      <c r="DY2" s="218"/>
      <c r="DZ2" s="218"/>
      <c r="EA2" s="218"/>
      <c r="EB2" s="219"/>
      <c r="EC2" s="9" t="s">
        <v>296</v>
      </c>
      <c r="ED2" s="217" t="s">
        <v>298</v>
      </c>
      <c r="EE2" s="218"/>
      <c r="EF2" s="218"/>
      <c r="EG2" s="218"/>
      <c r="EH2" s="218"/>
      <c r="EI2" s="219"/>
      <c r="EJ2" s="217" t="s">
        <v>297</v>
      </c>
      <c r="EK2" s="218"/>
      <c r="EL2" s="218"/>
      <c r="EM2" s="218"/>
      <c r="EN2" s="218"/>
      <c r="EO2" s="218"/>
      <c r="EP2" s="218"/>
      <c r="EQ2" s="218"/>
      <c r="ER2" s="218"/>
      <c r="ES2" s="218"/>
      <c r="ET2" s="219"/>
      <c r="EU2" s="217" t="s">
        <v>299</v>
      </c>
      <c r="EV2" s="218"/>
      <c r="EW2" s="218"/>
      <c r="EX2" s="227"/>
      <c r="EY2" s="228"/>
      <c r="EZ2" s="228"/>
      <c r="FA2" s="228"/>
      <c r="FB2" s="228"/>
      <c r="FC2" s="229"/>
      <c r="FD2" s="218" t="s">
        <v>301</v>
      </c>
      <c r="FE2" s="218"/>
      <c r="FF2" s="218"/>
      <c r="FG2" s="218"/>
      <c r="FH2" s="218"/>
      <c r="FI2" s="219"/>
      <c r="FJ2" s="217" t="s">
        <v>578</v>
      </c>
      <c r="FK2" s="218"/>
      <c r="FL2" s="218"/>
      <c r="FM2" s="218"/>
      <c r="FN2" s="218"/>
      <c r="FO2" s="219"/>
      <c r="FP2" s="9" t="s">
        <v>303</v>
      </c>
      <c r="FQ2" s="217" t="s">
        <v>304</v>
      </c>
      <c r="FR2" s="218"/>
      <c r="FS2" s="218"/>
      <c r="FT2" s="218"/>
      <c r="FU2" s="218"/>
      <c r="FV2" s="218"/>
      <c r="FW2" s="218"/>
      <c r="FX2" s="218"/>
      <c r="FY2" s="219"/>
    </row>
    <row r="3" spans="1:181">
      <c r="A3" s="156" t="s">
        <v>699</v>
      </c>
      <c r="B3" s="7" t="s">
        <v>684</v>
      </c>
      <c r="C3" s="7" t="s">
        <v>685</v>
      </c>
      <c r="D3" s="7" t="s">
        <v>686</v>
      </c>
      <c r="E3" s="7" t="s">
        <v>687</v>
      </c>
      <c r="F3" s="7" t="s">
        <v>688</v>
      </c>
      <c r="G3" s="7" t="s">
        <v>689</v>
      </c>
      <c r="H3" s="7" t="s">
        <v>690</v>
      </c>
      <c r="I3" s="7" t="s">
        <v>691</v>
      </c>
      <c r="J3" s="7" t="s">
        <v>692</v>
      </c>
      <c r="K3" t="s">
        <v>70</v>
      </c>
      <c r="L3" t="s">
        <v>71</v>
      </c>
      <c r="M3" t="s">
        <v>72</v>
      </c>
      <c r="N3" t="s">
        <v>99</v>
      </c>
      <c r="O3" t="s">
        <v>100</v>
      </c>
      <c r="P3" t="s">
        <v>101</v>
      </c>
      <c r="Q3" t="s">
        <v>102</v>
      </c>
      <c r="R3" t="s">
        <v>614</v>
      </c>
      <c r="S3" t="s">
        <v>615</v>
      </c>
      <c r="T3" t="s">
        <v>616</v>
      </c>
      <c r="U3" t="s">
        <v>617</v>
      </c>
      <c r="V3" t="s">
        <v>618</v>
      </c>
      <c r="W3" t="s">
        <v>619</v>
      </c>
      <c r="X3" s="60" t="s">
        <v>620</v>
      </c>
      <c r="Y3" t="s">
        <v>109</v>
      </c>
      <c r="Z3" t="s">
        <v>110</v>
      </c>
      <c r="AA3" t="s">
        <v>111</v>
      </c>
      <c r="AB3" t="s">
        <v>112</v>
      </c>
      <c r="AC3" t="s">
        <v>113</v>
      </c>
      <c r="AD3" t="s">
        <v>114</v>
      </c>
      <c r="AE3" s="2" t="s">
        <v>115</v>
      </c>
      <c r="AF3" s="2" t="s">
        <v>116</v>
      </c>
      <c r="AG3" t="s">
        <v>117</v>
      </c>
      <c r="AH3" s="7" t="s">
        <v>623</v>
      </c>
      <c r="AI3" s="7" t="s">
        <v>624</v>
      </c>
      <c r="AJ3" s="7" t="s">
        <v>625</v>
      </c>
      <c r="AK3" s="7" t="s">
        <v>626</v>
      </c>
      <c r="AL3" s="7" t="s">
        <v>627</v>
      </c>
      <c r="AM3" s="7" t="s">
        <v>628</v>
      </c>
      <c r="AN3" s="7" t="s">
        <v>622</v>
      </c>
      <c r="AO3" t="s">
        <v>118</v>
      </c>
      <c r="AP3" t="s">
        <v>119</v>
      </c>
      <c r="AQ3" t="s">
        <v>120</v>
      </c>
      <c r="AR3" s="1" t="s">
        <v>121</v>
      </c>
      <c r="AS3" t="s">
        <v>73</v>
      </c>
      <c r="AT3" t="s">
        <v>74</v>
      </c>
      <c r="AU3" t="s">
        <v>75</v>
      </c>
      <c r="AV3" t="s">
        <v>76</v>
      </c>
      <c r="AW3" t="s">
        <v>77</v>
      </c>
      <c r="AX3" t="s">
        <v>78</v>
      </c>
      <c r="AY3" t="s">
        <v>79</v>
      </c>
      <c r="AZ3" t="s">
        <v>80</v>
      </c>
      <c r="BA3" t="s">
        <v>81</v>
      </c>
      <c r="BB3" t="s">
        <v>82</v>
      </c>
      <c r="BC3" t="s">
        <v>83</v>
      </c>
      <c r="BD3" t="s">
        <v>84</v>
      </c>
      <c r="BE3" t="s">
        <v>85</v>
      </c>
      <c r="BF3" t="s">
        <v>86</v>
      </c>
      <c r="BG3" t="s">
        <v>87</v>
      </c>
      <c r="BH3" t="s">
        <v>88</v>
      </c>
      <c r="BI3" t="s">
        <v>89</v>
      </c>
      <c r="BJ3" t="s">
        <v>90</v>
      </c>
      <c r="BK3" t="s">
        <v>91</v>
      </c>
      <c r="BL3" t="s">
        <v>92</v>
      </c>
      <c r="BM3" t="s">
        <v>93</v>
      </c>
      <c r="BN3" t="s">
        <v>94</v>
      </c>
      <c r="BO3" t="s">
        <v>95</v>
      </c>
      <c r="BP3" t="s">
        <v>96</v>
      </c>
      <c r="BQ3" t="s">
        <v>97</v>
      </c>
      <c r="BR3" s="1" t="s">
        <v>98</v>
      </c>
      <c r="BS3" s="3" t="s">
        <v>122</v>
      </c>
      <c r="BT3" s="3" t="s">
        <v>123</v>
      </c>
      <c r="BU3" s="3" t="s">
        <v>124</v>
      </c>
      <c r="BV3" s="3" t="s">
        <v>125</v>
      </c>
      <c r="BW3" s="3" t="s">
        <v>126</v>
      </c>
      <c r="BX3" s="3" t="s">
        <v>127</v>
      </c>
      <c r="BY3" s="3" t="s">
        <v>629</v>
      </c>
      <c r="BZ3" s="3" t="s">
        <v>630</v>
      </c>
      <c r="CA3" s="3" t="s">
        <v>631</v>
      </c>
      <c r="CB3" s="3" t="s">
        <v>632</v>
      </c>
      <c r="CC3" s="3" t="s">
        <v>633</v>
      </c>
      <c r="CD3" s="3" t="s">
        <v>634</v>
      </c>
      <c r="CE3" s="3" t="s">
        <v>635</v>
      </c>
      <c r="CF3" s="3" t="s">
        <v>636</v>
      </c>
      <c r="CG3" s="66" t="s">
        <v>637</v>
      </c>
      <c r="CH3" s="66" t="s">
        <v>638</v>
      </c>
      <c r="CI3" s="66" t="s">
        <v>639</v>
      </c>
      <c r="CJ3" s="66" t="s">
        <v>640</v>
      </c>
      <c r="CK3" s="66" t="s">
        <v>641</v>
      </c>
      <c r="CL3" s="66" t="s">
        <v>642</v>
      </c>
      <c r="CM3" s="3" t="s">
        <v>643</v>
      </c>
      <c r="CN3" s="3" t="s">
        <v>644</v>
      </c>
      <c r="CO3" s="3" t="s">
        <v>645</v>
      </c>
      <c r="CP3" s="3" t="s">
        <v>646</v>
      </c>
      <c r="CQ3" s="3" t="s">
        <v>144</v>
      </c>
      <c r="CR3" s="66" t="s">
        <v>647</v>
      </c>
      <c r="CS3" s="66" t="s">
        <v>648</v>
      </c>
      <c r="CT3" s="66" t="s">
        <v>649</v>
      </c>
      <c r="CU3" s="66" t="s">
        <v>650</v>
      </c>
      <c r="CV3" s="66" t="s">
        <v>651</v>
      </c>
      <c r="CW3" s="66" t="s">
        <v>652</v>
      </c>
      <c r="CX3" s="66" t="s">
        <v>653</v>
      </c>
      <c r="CY3" s="66" t="s">
        <v>654</v>
      </c>
      <c r="CZ3" s="66" t="s">
        <v>655</v>
      </c>
      <c r="DA3" s="66" t="s">
        <v>656</v>
      </c>
      <c r="DB3" s="3" t="s">
        <v>147</v>
      </c>
      <c r="DC3" s="3" t="s">
        <v>151</v>
      </c>
      <c r="DD3" s="66" t="s">
        <v>657</v>
      </c>
      <c r="DE3" s="66" t="s">
        <v>658</v>
      </c>
      <c r="DF3" s="66" t="s">
        <v>659</v>
      </c>
      <c r="DG3" s="66" t="s">
        <v>660</v>
      </c>
      <c r="DH3" s="66" t="s">
        <v>661</v>
      </c>
      <c r="DI3" s="66" t="s">
        <v>662</v>
      </c>
      <c r="DJ3" s="66" t="s">
        <v>663</v>
      </c>
      <c r="DK3" s="66" t="s">
        <v>664</v>
      </c>
      <c r="DL3" s="66" t="s">
        <v>665</v>
      </c>
      <c r="DM3" s="66" t="s">
        <v>666</v>
      </c>
      <c r="DN3" s="66" t="s">
        <v>667</v>
      </c>
      <c r="DO3" s="3" t="s">
        <v>668</v>
      </c>
      <c r="DP3" s="3" t="s">
        <v>669</v>
      </c>
      <c r="DQ3" s="3" t="s">
        <v>670</v>
      </c>
      <c r="DR3" s="3" t="s">
        <v>671</v>
      </c>
      <c r="DS3" s="3" t="s">
        <v>672</v>
      </c>
      <c r="DT3" s="3" t="s">
        <v>673</v>
      </c>
      <c r="DU3" s="66" t="s">
        <v>674</v>
      </c>
      <c r="DV3" s="66" t="s">
        <v>675</v>
      </c>
      <c r="DW3" s="66" t="s">
        <v>676</v>
      </c>
      <c r="DX3" s="66" t="s">
        <v>677</v>
      </c>
      <c r="DY3" s="66" t="s">
        <v>678</v>
      </c>
      <c r="DZ3" s="66" t="s">
        <v>679</v>
      </c>
      <c r="EA3" s="3" t="s">
        <v>156</v>
      </c>
      <c r="EB3" s="3" t="s">
        <v>157</v>
      </c>
      <c r="EC3" s="4" t="s">
        <v>158</v>
      </c>
      <c r="ED3" s="3" t="s">
        <v>167</v>
      </c>
      <c r="EE3" s="3" t="s">
        <v>168</v>
      </c>
      <c r="EF3" s="3" t="s">
        <v>169</v>
      </c>
      <c r="EG3" s="3" t="s">
        <v>170</v>
      </c>
      <c r="EH3" s="3" t="s">
        <v>171</v>
      </c>
      <c r="EI3" s="3" t="s">
        <v>172</v>
      </c>
      <c r="EJ3" s="3" t="s">
        <v>173</v>
      </c>
      <c r="EK3" s="3" t="s">
        <v>174</v>
      </c>
      <c r="EL3" s="3" t="s">
        <v>175</v>
      </c>
      <c r="EM3" s="3" t="s">
        <v>176</v>
      </c>
      <c r="EN3" s="3" t="s">
        <v>177</v>
      </c>
      <c r="EO3" s="3" t="s">
        <v>178</v>
      </c>
      <c r="EP3" s="3" t="s">
        <v>179</v>
      </c>
      <c r="EQ3" s="3" t="s">
        <v>180</v>
      </c>
      <c r="ER3" s="3" t="s">
        <v>181</v>
      </c>
      <c r="ES3" s="3" t="s">
        <v>182</v>
      </c>
      <c r="ET3" s="3" t="s">
        <v>183</v>
      </c>
      <c r="EU3" s="3" t="s">
        <v>184</v>
      </c>
      <c r="EV3" s="3" t="s">
        <v>185</v>
      </c>
      <c r="EW3" s="4" t="s">
        <v>186</v>
      </c>
      <c r="EX3" s="3" t="s">
        <v>187</v>
      </c>
      <c r="EY3" s="3" t="s">
        <v>188</v>
      </c>
      <c r="EZ3" s="3" t="s">
        <v>189</v>
      </c>
      <c r="FA3" s="66" t="s">
        <v>680</v>
      </c>
      <c r="FB3" s="4" t="s">
        <v>681</v>
      </c>
      <c r="FC3" s="155" t="s">
        <v>682</v>
      </c>
      <c r="FD3" s="3" t="s">
        <v>190</v>
      </c>
      <c r="FE3" s="3" t="s">
        <v>191</v>
      </c>
      <c r="FF3" s="3" t="s">
        <v>192</v>
      </c>
      <c r="FG3" s="3" t="s">
        <v>193</v>
      </c>
      <c r="FH3" s="3" t="s">
        <v>194</v>
      </c>
      <c r="FI3" s="3" t="s">
        <v>195</v>
      </c>
      <c r="FJ3" s="3" t="s">
        <v>196</v>
      </c>
      <c r="FK3" s="3" t="s">
        <v>197</v>
      </c>
      <c r="FL3" s="3" t="s">
        <v>198</v>
      </c>
      <c r="FM3" s="3" t="s">
        <v>199</v>
      </c>
      <c r="FN3" s="3" t="s">
        <v>200</v>
      </c>
      <c r="FO3" s="3" t="s">
        <v>201</v>
      </c>
      <c r="FP3" s="3" t="s">
        <v>202</v>
      </c>
      <c r="FQ3" s="3" t="s">
        <v>204</v>
      </c>
      <c r="FR3" s="3" t="s">
        <v>203</v>
      </c>
      <c r="FS3" s="3" t="s">
        <v>205</v>
      </c>
      <c r="FT3" s="3" t="s">
        <v>206</v>
      </c>
      <c r="FU3" s="3" t="s">
        <v>207</v>
      </c>
      <c r="FV3" s="3" t="s">
        <v>208</v>
      </c>
      <c r="FW3" s="3" t="s">
        <v>214</v>
      </c>
      <c r="FX3" s="3" t="s">
        <v>215</v>
      </c>
      <c r="FY3" s="3" t="s">
        <v>216</v>
      </c>
    </row>
    <row r="4" spans="1:181">
      <c r="A4" s="156">
        <v>1</v>
      </c>
      <c r="B4" t="s">
        <v>1</v>
      </c>
      <c r="C4" s="60" t="s">
        <v>698</v>
      </c>
      <c r="D4">
        <v>42</v>
      </c>
      <c r="E4" t="s">
        <v>693</v>
      </c>
      <c r="F4" t="s">
        <v>9</v>
      </c>
      <c r="G4" t="s">
        <v>12</v>
      </c>
      <c r="H4" t="s">
        <v>15</v>
      </c>
      <c r="I4" t="s">
        <v>21</v>
      </c>
      <c r="J4" s="1" t="s">
        <v>22</v>
      </c>
      <c r="K4" t="s">
        <v>22</v>
      </c>
      <c r="L4" t="s">
        <v>611</v>
      </c>
      <c r="M4" t="s">
        <v>38</v>
      </c>
      <c r="N4" t="s">
        <v>42</v>
      </c>
      <c r="O4" t="s">
        <v>41</v>
      </c>
      <c r="P4" t="s">
        <v>22</v>
      </c>
      <c r="Q4" t="s">
        <v>27</v>
      </c>
      <c r="R4" t="s">
        <v>22</v>
      </c>
      <c r="S4" t="s">
        <v>22</v>
      </c>
      <c r="T4" t="s">
        <v>22</v>
      </c>
      <c r="U4" t="s">
        <v>23</v>
      </c>
      <c r="V4" t="s">
        <v>22</v>
      </c>
      <c r="W4" t="s">
        <v>23</v>
      </c>
      <c r="X4" s="60" t="s">
        <v>621</v>
      </c>
      <c r="Y4" t="s">
        <v>22</v>
      </c>
      <c r="Z4" t="s">
        <v>44</v>
      </c>
      <c r="AA4" t="s">
        <v>45</v>
      </c>
      <c r="AB4" t="s">
        <v>46</v>
      </c>
      <c r="AC4" t="s">
        <v>48</v>
      </c>
      <c r="AD4" t="s">
        <v>34</v>
      </c>
      <c r="AE4" s="2" t="s">
        <v>32</v>
      </c>
      <c r="AF4" s="2" t="s">
        <v>33</v>
      </c>
      <c r="AG4" t="s">
        <v>22</v>
      </c>
      <c r="AH4" t="s">
        <v>23</v>
      </c>
      <c r="AI4" t="s">
        <v>23</v>
      </c>
      <c r="AJ4" t="s">
        <v>23</v>
      </c>
      <c r="AK4" t="s">
        <v>22</v>
      </c>
      <c r="AL4" t="s">
        <v>23</v>
      </c>
      <c r="AM4" t="s">
        <v>23</v>
      </c>
      <c r="AN4" s="60" t="s">
        <v>621</v>
      </c>
      <c r="AO4" t="s">
        <v>47</v>
      </c>
      <c r="AP4" t="s">
        <v>48</v>
      </c>
      <c r="AQ4" t="s">
        <v>51</v>
      </c>
      <c r="AR4" s="1" t="s">
        <v>48</v>
      </c>
      <c r="AS4" t="s">
        <v>52</v>
      </c>
      <c r="AT4" t="s">
        <v>57</v>
      </c>
      <c r="AU4" t="s">
        <v>61</v>
      </c>
      <c r="AV4" t="s">
        <v>61</v>
      </c>
      <c r="AW4" t="s">
        <v>62</v>
      </c>
      <c r="AX4" t="s">
        <v>63</v>
      </c>
      <c r="AY4" t="s">
        <v>61</v>
      </c>
      <c r="AZ4" t="s">
        <v>61</v>
      </c>
      <c r="BA4" t="s">
        <v>61</v>
      </c>
      <c r="BB4" t="s">
        <v>64</v>
      </c>
      <c r="BC4" t="s">
        <v>63</v>
      </c>
      <c r="BD4" t="s">
        <v>61</v>
      </c>
      <c r="BE4" t="s">
        <v>61</v>
      </c>
      <c r="BF4" t="s">
        <v>61</v>
      </c>
      <c r="BG4" t="s">
        <v>66</v>
      </c>
      <c r="BH4" t="s">
        <v>68</v>
      </c>
      <c r="BI4" t="s">
        <v>69</v>
      </c>
      <c r="BJ4" t="s">
        <v>67</v>
      </c>
      <c r="BK4" t="s">
        <v>68</v>
      </c>
      <c r="BL4" t="s">
        <v>68</v>
      </c>
      <c r="BM4" t="s">
        <v>68</v>
      </c>
      <c r="BN4" t="s">
        <v>69</v>
      </c>
      <c r="BO4" t="s">
        <v>68</v>
      </c>
      <c r="BP4" t="s">
        <v>68</v>
      </c>
      <c r="BQ4" t="s">
        <v>23</v>
      </c>
      <c r="BR4" s="1" t="s">
        <v>30</v>
      </c>
      <c r="BS4" s="3" t="s">
        <v>137</v>
      </c>
      <c r="BT4" s="3" t="s">
        <v>140</v>
      </c>
      <c r="BU4" s="3" t="s">
        <v>138</v>
      </c>
      <c r="BV4" s="3" t="s">
        <v>136</v>
      </c>
      <c r="BW4" s="3" t="s">
        <v>132</v>
      </c>
      <c r="BX4" s="3" t="s">
        <v>130</v>
      </c>
      <c r="BY4" s="3" t="s">
        <v>22</v>
      </c>
      <c r="BZ4" s="3" t="s">
        <v>22</v>
      </c>
      <c r="CA4" s="3" t="s">
        <v>22</v>
      </c>
      <c r="CB4" s="3" t="s">
        <v>23</v>
      </c>
      <c r="CC4" s="3" t="s">
        <v>22</v>
      </c>
      <c r="CD4" s="3" t="s">
        <v>22</v>
      </c>
      <c r="CE4" s="3" t="s">
        <v>22</v>
      </c>
      <c r="CF4" s="3" t="s">
        <v>142</v>
      </c>
      <c r="CG4" s="3" t="s">
        <v>30</v>
      </c>
      <c r="CH4" s="3" t="s">
        <v>30</v>
      </c>
      <c r="CI4" s="3" t="s">
        <v>30</v>
      </c>
      <c r="CJ4" s="3" t="s">
        <v>30</v>
      </c>
      <c r="CK4" s="3" t="s">
        <v>30</v>
      </c>
      <c r="CL4" s="3" t="s">
        <v>30</v>
      </c>
      <c r="CM4" s="3" t="s">
        <v>22</v>
      </c>
      <c r="CN4" s="3" t="s">
        <v>22</v>
      </c>
      <c r="CO4" s="3" t="s">
        <v>22</v>
      </c>
      <c r="CP4" s="3" t="s">
        <v>23</v>
      </c>
      <c r="CQ4" s="3" t="s">
        <v>22</v>
      </c>
      <c r="CR4" s="3" t="s">
        <v>30</v>
      </c>
      <c r="CS4" s="3" t="s">
        <v>30</v>
      </c>
      <c r="CT4" s="3" t="s">
        <v>30</v>
      </c>
      <c r="CU4" s="3" t="s">
        <v>30</v>
      </c>
      <c r="CV4" s="3" t="s">
        <v>30</v>
      </c>
      <c r="CW4" s="3" t="s">
        <v>30</v>
      </c>
      <c r="CX4" s="3" t="s">
        <v>22</v>
      </c>
      <c r="CY4" s="3" t="s">
        <v>22</v>
      </c>
      <c r="CZ4" s="3" t="s">
        <v>23</v>
      </c>
      <c r="DA4" s="3" t="s">
        <v>22</v>
      </c>
      <c r="DB4" s="3" t="s">
        <v>148</v>
      </c>
      <c r="DC4" s="3" t="s">
        <v>22</v>
      </c>
      <c r="DD4" s="3" t="s">
        <v>22</v>
      </c>
      <c r="DE4" s="3" t="s">
        <v>22</v>
      </c>
      <c r="DF4" s="3" t="s">
        <v>22</v>
      </c>
      <c r="DG4" s="3" t="s">
        <v>22</v>
      </c>
      <c r="DH4" s="3" t="s">
        <v>23</v>
      </c>
      <c r="DI4" s="3" t="s">
        <v>22</v>
      </c>
      <c r="DJ4" s="3" t="s">
        <v>22</v>
      </c>
      <c r="DK4" s="3" t="s">
        <v>23</v>
      </c>
      <c r="DL4" s="3" t="s">
        <v>23</v>
      </c>
      <c r="DM4" s="3" t="s">
        <v>23</v>
      </c>
      <c r="DN4" s="3" t="s">
        <v>30</v>
      </c>
      <c r="DO4" s="3" t="s">
        <v>22</v>
      </c>
      <c r="DP4" s="3" t="s">
        <v>22</v>
      </c>
      <c r="DQ4" s="3" t="s">
        <v>23</v>
      </c>
      <c r="DR4" s="3" t="s">
        <v>23</v>
      </c>
      <c r="DS4" s="3" t="s">
        <v>23</v>
      </c>
      <c r="DT4" s="3" t="s">
        <v>155</v>
      </c>
      <c r="DU4" s="3" t="s">
        <v>22</v>
      </c>
      <c r="DV4" s="3" t="s">
        <v>23</v>
      </c>
      <c r="DW4" s="3" t="s">
        <v>23</v>
      </c>
      <c r="DX4" s="3" t="s">
        <v>23</v>
      </c>
      <c r="DY4" s="3" t="s">
        <v>22</v>
      </c>
      <c r="DZ4" s="3" t="s">
        <v>23</v>
      </c>
      <c r="EA4" s="3" t="s">
        <v>161</v>
      </c>
      <c r="EB4" s="3" t="s">
        <v>165</v>
      </c>
      <c r="EC4" s="1" t="s">
        <v>23</v>
      </c>
      <c r="ED4" s="3" t="s">
        <v>22</v>
      </c>
      <c r="EE4" s="3" t="s">
        <v>257</v>
      </c>
      <c r="EF4" s="3" t="s">
        <v>258</v>
      </c>
      <c r="EG4" s="3" t="s">
        <v>22</v>
      </c>
      <c r="EH4" s="3" t="s">
        <v>260</v>
      </c>
      <c r="EI4" s="3" t="s">
        <v>261</v>
      </c>
      <c r="EJ4" s="3" t="s">
        <v>22</v>
      </c>
      <c r="EK4" s="66" t="s">
        <v>24</v>
      </c>
      <c r="EL4" s="66" t="s">
        <v>24</v>
      </c>
      <c r="EM4" s="3" t="s">
        <v>22</v>
      </c>
      <c r="EN4" s="3" t="s">
        <v>263</v>
      </c>
      <c r="EO4" s="3" t="s">
        <v>264</v>
      </c>
      <c r="EP4" s="3" t="s">
        <v>266</v>
      </c>
      <c r="EQ4" s="3" t="s">
        <v>22</v>
      </c>
      <c r="ER4" s="3" t="s">
        <v>268</v>
      </c>
      <c r="ES4" s="3" t="s">
        <v>269</v>
      </c>
      <c r="ET4" s="3" t="s">
        <v>270</v>
      </c>
      <c r="EU4" s="3" t="s">
        <v>22</v>
      </c>
      <c r="EV4" s="3" t="s">
        <v>271</v>
      </c>
      <c r="EW4" s="1" t="s">
        <v>22</v>
      </c>
      <c r="EX4" t="s">
        <v>229</v>
      </c>
      <c r="EY4" t="s">
        <v>231</v>
      </c>
      <c r="EZ4" s="60" t="s">
        <v>24</v>
      </c>
      <c r="FA4" s="66" t="s">
        <v>22</v>
      </c>
      <c r="FB4" s="66" t="s">
        <v>23</v>
      </c>
      <c r="FC4" s="66" t="s">
        <v>23</v>
      </c>
      <c r="FD4" t="s">
        <v>222</v>
      </c>
      <c r="FE4" t="s">
        <v>219</v>
      </c>
      <c r="FF4" s="5" t="s">
        <v>220</v>
      </c>
      <c r="FG4" s="6" t="s">
        <v>224</v>
      </c>
      <c r="FH4" s="3" t="s">
        <v>225</v>
      </c>
      <c r="FI4" s="3" t="s">
        <v>225</v>
      </c>
      <c r="FJ4" t="s">
        <v>228</v>
      </c>
      <c r="FK4" t="s">
        <v>220</v>
      </c>
      <c r="FL4" s="5" t="s">
        <v>219</v>
      </c>
      <c r="FM4" s="3" t="s">
        <v>225</v>
      </c>
      <c r="FN4" s="3" t="s">
        <v>226</v>
      </c>
      <c r="FO4" s="3" t="s">
        <v>226</v>
      </c>
      <c r="FP4" t="s">
        <v>209</v>
      </c>
      <c r="FQ4" t="s">
        <v>22</v>
      </c>
      <c r="FR4" t="s">
        <v>23</v>
      </c>
      <c r="FS4" t="s">
        <v>22</v>
      </c>
      <c r="FT4" t="s">
        <v>22</v>
      </c>
      <c r="FU4" t="s">
        <v>22</v>
      </c>
      <c r="FV4" t="s">
        <v>213</v>
      </c>
      <c r="FW4" s="60" t="s">
        <v>217</v>
      </c>
      <c r="FX4" t="s">
        <v>218</v>
      </c>
      <c r="FY4" s="1" t="s">
        <v>220</v>
      </c>
    </row>
    <row r="5" spans="1:181">
      <c r="A5" s="156">
        <v>2</v>
      </c>
      <c r="B5" t="s">
        <v>3</v>
      </c>
      <c r="C5" t="s">
        <v>5</v>
      </c>
      <c r="D5">
        <v>46</v>
      </c>
      <c r="E5" t="s">
        <v>694</v>
      </c>
      <c r="F5" t="s">
        <v>10</v>
      </c>
      <c r="G5" t="s">
        <v>13</v>
      </c>
      <c r="H5" t="s">
        <v>16</v>
      </c>
      <c r="I5" t="s">
        <v>20</v>
      </c>
      <c r="J5" s="1" t="s">
        <v>22</v>
      </c>
      <c r="K5" t="s">
        <v>22</v>
      </c>
      <c r="L5" t="s">
        <v>612</v>
      </c>
      <c r="M5" t="s">
        <v>38</v>
      </c>
      <c r="N5" s="60" t="s">
        <v>267</v>
      </c>
      <c r="O5" s="60" t="s">
        <v>267</v>
      </c>
      <c r="P5" t="s">
        <v>23</v>
      </c>
      <c r="Q5" t="s">
        <v>24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s="60" t="s">
        <v>23</v>
      </c>
      <c r="Y5" t="s">
        <v>23</v>
      </c>
      <c r="Z5" s="60" t="s">
        <v>267</v>
      </c>
      <c r="AA5" s="60" t="s">
        <v>267</v>
      </c>
      <c r="AB5" s="60" t="s">
        <v>267</v>
      </c>
      <c r="AC5" t="s">
        <v>50</v>
      </c>
      <c r="AD5" t="s">
        <v>35</v>
      </c>
      <c r="AE5" s="2" t="s">
        <v>33</v>
      </c>
      <c r="AF5" s="2" t="s">
        <v>32</v>
      </c>
      <c r="AG5" t="s">
        <v>30</v>
      </c>
      <c r="AH5" t="s">
        <v>30</v>
      </c>
      <c r="AI5" t="s">
        <v>30</v>
      </c>
      <c r="AJ5" t="s">
        <v>30</v>
      </c>
      <c r="AK5" t="s">
        <v>30</v>
      </c>
      <c r="AL5" t="s">
        <v>30</v>
      </c>
      <c r="AM5" t="s">
        <v>30</v>
      </c>
      <c r="AN5" s="60" t="s">
        <v>30</v>
      </c>
      <c r="AO5" t="s">
        <v>24</v>
      </c>
      <c r="AP5" t="s">
        <v>24</v>
      </c>
      <c r="AQ5" t="s">
        <v>24</v>
      </c>
      <c r="AR5" s="1" t="s">
        <v>24</v>
      </c>
      <c r="AS5" t="s">
        <v>53</v>
      </c>
      <c r="AT5" t="s">
        <v>57</v>
      </c>
      <c r="AU5" t="s">
        <v>61</v>
      </c>
      <c r="AV5" t="s">
        <v>61</v>
      </c>
      <c r="AW5" t="s">
        <v>62</v>
      </c>
      <c r="AX5" t="s">
        <v>62</v>
      </c>
      <c r="AY5" t="s">
        <v>61</v>
      </c>
      <c r="AZ5" t="s">
        <v>64</v>
      </c>
      <c r="BA5" t="s">
        <v>63</v>
      </c>
      <c r="BB5" t="s">
        <v>62</v>
      </c>
      <c r="BC5" t="s">
        <v>62</v>
      </c>
      <c r="BD5" t="s">
        <v>61</v>
      </c>
      <c r="BE5" t="s">
        <v>61</v>
      </c>
      <c r="BF5" t="s">
        <v>62</v>
      </c>
      <c r="BG5" t="s">
        <v>66</v>
      </c>
      <c r="BH5" t="s">
        <v>67</v>
      </c>
      <c r="BI5" t="s">
        <v>69</v>
      </c>
      <c r="BJ5" t="s">
        <v>68</v>
      </c>
      <c r="BK5" t="s">
        <v>67</v>
      </c>
      <c r="BL5" t="s">
        <v>66</v>
      </c>
      <c r="BM5" t="s">
        <v>68</v>
      </c>
      <c r="BN5" t="s">
        <v>68</v>
      </c>
      <c r="BO5" t="s">
        <v>68</v>
      </c>
      <c r="BP5" t="s">
        <v>69</v>
      </c>
      <c r="BQ5" t="s">
        <v>23</v>
      </c>
      <c r="BR5" s="1" t="s">
        <v>30</v>
      </c>
      <c r="BS5" s="3" t="s">
        <v>138</v>
      </c>
      <c r="BT5" s="3" t="s">
        <v>137</v>
      </c>
      <c r="BU5" s="66" t="s">
        <v>267</v>
      </c>
      <c r="BV5" s="3" t="s">
        <v>136</v>
      </c>
      <c r="BW5" s="3" t="s">
        <v>132</v>
      </c>
      <c r="BX5" s="3" t="s">
        <v>130</v>
      </c>
      <c r="BY5" s="3" t="s">
        <v>22</v>
      </c>
      <c r="BZ5" s="3" t="s">
        <v>23</v>
      </c>
      <c r="CA5" s="3" t="s">
        <v>22</v>
      </c>
      <c r="CB5" s="3" t="s">
        <v>23</v>
      </c>
      <c r="CC5" s="3" t="s">
        <v>22</v>
      </c>
      <c r="CD5" s="3" t="s">
        <v>23</v>
      </c>
      <c r="CE5" s="3" t="s">
        <v>23</v>
      </c>
      <c r="CF5" s="3" t="s">
        <v>23</v>
      </c>
      <c r="CG5" s="3" t="s">
        <v>30</v>
      </c>
      <c r="CH5" s="3" t="s">
        <v>30</v>
      </c>
      <c r="CI5" s="3" t="s">
        <v>30</v>
      </c>
      <c r="CJ5" s="3" t="s">
        <v>30</v>
      </c>
      <c r="CK5" s="3" t="s">
        <v>30</v>
      </c>
      <c r="CL5" s="3" t="s">
        <v>30</v>
      </c>
      <c r="CM5" s="3" t="s">
        <v>22</v>
      </c>
      <c r="CN5" s="3" t="s">
        <v>22</v>
      </c>
      <c r="CO5" s="3" t="s">
        <v>23</v>
      </c>
      <c r="CP5" s="3" t="s">
        <v>23</v>
      </c>
      <c r="CQ5" s="3" t="s">
        <v>22</v>
      </c>
      <c r="CR5" s="3" t="s">
        <v>30</v>
      </c>
      <c r="CS5" s="3" t="s">
        <v>30</v>
      </c>
      <c r="CT5" s="3" t="s">
        <v>30</v>
      </c>
      <c r="CU5" s="3" t="s">
        <v>30</v>
      </c>
      <c r="CV5" s="3" t="s">
        <v>30</v>
      </c>
      <c r="CW5" s="3" t="s">
        <v>30</v>
      </c>
      <c r="CX5" s="3" t="s">
        <v>22</v>
      </c>
      <c r="CY5" s="3" t="s">
        <v>23</v>
      </c>
      <c r="CZ5" s="3" t="s">
        <v>23</v>
      </c>
      <c r="DA5" s="3" t="s">
        <v>22</v>
      </c>
      <c r="DB5" s="3" t="s">
        <v>149</v>
      </c>
      <c r="DC5" s="3" t="s">
        <v>22</v>
      </c>
      <c r="DD5" s="3" t="s">
        <v>22</v>
      </c>
      <c r="DE5" s="3" t="s">
        <v>22</v>
      </c>
      <c r="DF5" s="3" t="s">
        <v>22</v>
      </c>
      <c r="DG5" s="3" t="s">
        <v>23</v>
      </c>
      <c r="DH5" s="3" t="s">
        <v>23</v>
      </c>
      <c r="DI5" s="3" t="s">
        <v>22</v>
      </c>
      <c r="DJ5" s="3" t="s">
        <v>22</v>
      </c>
      <c r="DK5" s="3" t="s">
        <v>23</v>
      </c>
      <c r="DL5" s="3" t="s">
        <v>23</v>
      </c>
      <c r="DM5" s="3" t="s">
        <v>22</v>
      </c>
      <c r="DN5" s="3" t="s">
        <v>30</v>
      </c>
      <c r="DO5" s="3" t="s">
        <v>22</v>
      </c>
      <c r="DP5" s="3" t="s">
        <v>22</v>
      </c>
      <c r="DQ5" s="3" t="s">
        <v>23</v>
      </c>
      <c r="DR5" s="3" t="s">
        <v>23</v>
      </c>
      <c r="DS5" s="3" t="s">
        <v>22</v>
      </c>
      <c r="DT5" s="3" t="s">
        <v>155</v>
      </c>
      <c r="DU5" s="3" t="s">
        <v>22</v>
      </c>
      <c r="DV5" s="3" t="s">
        <v>23</v>
      </c>
      <c r="DW5" s="3" t="s">
        <v>23</v>
      </c>
      <c r="DX5" s="3" t="s">
        <v>23</v>
      </c>
      <c r="DY5" s="3" t="s">
        <v>23</v>
      </c>
      <c r="DZ5" s="3" t="s">
        <v>23</v>
      </c>
      <c r="EA5" s="3" t="s">
        <v>160</v>
      </c>
      <c r="EB5" s="3" t="s">
        <v>165</v>
      </c>
      <c r="EC5" s="1" t="s">
        <v>23</v>
      </c>
      <c r="ED5" s="3" t="s">
        <v>24</v>
      </c>
      <c r="EE5" s="66" t="s">
        <v>24</v>
      </c>
      <c r="EF5" s="66" t="s">
        <v>24</v>
      </c>
      <c r="EG5" s="3" t="s">
        <v>23</v>
      </c>
      <c r="EH5" s="66" t="s">
        <v>30</v>
      </c>
      <c r="EI5" s="66" t="s">
        <v>30</v>
      </c>
      <c r="EJ5" s="3" t="s">
        <v>22</v>
      </c>
      <c r="EK5" s="66" t="s">
        <v>24</v>
      </c>
      <c r="EL5" s="66" t="s">
        <v>24</v>
      </c>
      <c r="EM5" s="3" t="s">
        <v>22</v>
      </c>
      <c r="EN5" s="3" t="s">
        <v>263</v>
      </c>
      <c r="EO5" s="3" t="s">
        <v>264</v>
      </c>
      <c r="EP5" s="3" t="s">
        <v>264</v>
      </c>
      <c r="EQ5" s="3" t="s">
        <v>23</v>
      </c>
      <c r="ER5" s="66" t="s">
        <v>24</v>
      </c>
      <c r="ES5" s="66" t="s">
        <v>24</v>
      </c>
      <c r="ET5" s="66" t="s">
        <v>24</v>
      </c>
      <c r="EU5" s="3" t="s">
        <v>23</v>
      </c>
      <c r="EV5" s="3" t="s">
        <v>272</v>
      </c>
      <c r="EW5" s="1" t="s">
        <v>22</v>
      </c>
      <c r="EX5" t="s">
        <v>229</v>
      </c>
      <c r="EY5" t="s">
        <v>232</v>
      </c>
      <c r="EZ5" t="s">
        <v>236</v>
      </c>
      <c r="FA5" s="63" t="s">
        <v>22</v>
      </c>
      <c r="FB5" s="66" t="s">
        <v>22</v>
      </c>
      <c r="FC5" s="66" t="s">
        <v>23</v>
      </c>
      <c r="FD5" t="s">
        <v>219</v>
      </c>
      <c r="FE5" t="s">
        <v>220</v>
      </c>
      <c r="FF5" s="5" t="s">
        <v>221</v>
      </c>
      <c r="FG5" s="3" t="s">
        <v>224</v>
      </c>
      <c r="FH5" s="3" t="s">
        <v>225</v>
      </c>
      <c r="FI5" s="3" t="s">
        <v>225</v>
      </c>
      <c r="FJ5" t="s">
        <v>219</v>
      </c>
      <c r="FK5" t="s">
        <v>220</v>
      </c>
      <c r="FL5" s="5" t="s">
        <v>221</v>
      </c>
      <c r="FM5" s="3" t="s">
        <v>225</v>
      </c>
      <c r="FN5" s="3" t="s">
        <v>226</v>
      </c>
      <c r="FO5" s="3" t="s">
        <v>224</v>
      </c>
      <c r="FP5" t="s">
        <v>560</v>
      </c>
      <c r="FQ5" t="s">
        <v>22</v>
      </c>
      <c r="FR5" t="s">
        <v>22</v>
      </c>
      <c r="FS5" t="s">
        <v>23</v>
      </c>
      <c r="FT5" t="s">
        <v>22</v>
      </c>
      <c r="FU5" t="s">
        <v>23</v>
      </c>
      <c r="FV5" t="s">
        <v>30</v>
      </c>
      <c r="FW5" t="s">
        <v>219</v>
      </c>
      <c r="FX5" t="s">
        <v>220</v>
      </c>
      <c r="FY5" s="1" t="s">
        <v>30</v>
      </c>
    </row>
    <row r="6" spans="1:181">
      <c r="A6" s="156">
        <v>3</v>
      </c>
      <c r="B6" t="s">
        <v>247</v>
      </c>
      <c r="C6" t="s">
        <v>698</v>
      </c>
      <c r="D6">
        <v>40</v>
      </c>
      <c r="E6" t="s">
        <v>695</v>
      </c>
      <c r="F6" t="s">
        <v>11</v>
      </c>
      <c r="G6" t="s">
        <v>14</v>
      </c>
      <c r="H6" t="s">
        <v>16</v>
      </c>
      <c r="I6" t="s">
        <v>20</v>
      </c>
      <c r="J6" s="1" t="s">
        <v>22</v>
      </c>
      <c r="K6" t="s">
        <v>23</v>
      </c>
      <c r="L6" t="s">
        <v>25</v>
      </c>
      <c r="M6" t="s">
        <v>39</v>
      </c>
      <c r="N6" t="s">
        <v>38</v>
      </c>
      <c r="O6" t="s">
        <v>43</v>
      </c>
      <c r="P6" t="s">
        <v>22</v>
      </c>
      <c r="Q6" t="s">
        <v>27</v>
      </c>
      <c r="R6" t="s">
        <v>22</v>
      </c>
      <c r="S6" t="s">
        <v>22</v>
      </c>
      <c r="T6" t="s">
        <v>22</v>
      </c>
      <c r="U6" t="s">
        <v>22</v>
      </c>
      <c r="V6" t="s">
        <v>23</v>
      </c>
      <c r="W6" t="s">
        <v>23</v>
      </c>
      <c r="X6" s="60" t="s">
        <v>621</v>
      </c>
      <c r="Y6" t="s">
        <v>22</v>
      </c>
      <c r="Z6" t="s">
        <v>44</v>
      </c>
      <c r="AA6" s="60" t="s">
        <v>267</v>
      </c>
      <c r="AB6" s="60" t="s">
        <v>267</v>
      </c>
      <c r="AC6" t="s">
        <v>48</v>
      </c>
      <c r="AD6" t="s">
        <v>34</v>
      </c>
      <c r="AE6" s="2" t="s">
        <v>32</v>
      </c>
      <c r="AF6" s="2" t="s">
        <v>33</v>
      </c>
      <c r="AG6" t="s">
        <v>22</v>
      </c>
      <c r="AH6" t="s">
        <v>30</v>
      </c>
      <c r="AI6" t="s">
        <v>30</v>
      </c>
      <c r="AJ6" t="s">
        <v>30</v>
      </c>
      <c r="AK6" t="s">
        <v>30</v>
      </c>
      <c r="AL6" t="s">
        <v>30</v>
      </c>
      <c r="AM6" t="s">
        <v>30</v>
      </c>
      <c r="AN6" s="60" t="s">
        <v>30</v>
      </c>
      <c r="AO6" t="s">
        <v>48</v>
      </c>
      <c r="AP6" t="s">
        <v>48</v>
      </c>
      <c r="AQ6" t="s">
        <v>49</v>
      </c>
      <c r="AR6" s="1" t="s">
        <v>51</v>
      </c>
      <c r="AS6" t="s">
        <v>53</v>
      </c>
      <c r="AT6" t="s">
        <v>58</v>
      </c>
      <c r="AU6" t="s">
        <v>62</v>
      </c>
      <c r="AV6" t="s">
        <v>61</v>
      </c>
      <c r="AW6" t="s">
        <v>62</v>
      </c>
      <c r="AX6" t="s">
        <v>62</v>
      </c>
      <c r="AY6" t="s">
        <v>61</v>
      </c>
      <c r="AZ6" t="s">
        <v>61</v>
      </c>
      <c r="BA6" t="s">
        <v>61</v>
      </c>
      <c r="BB6" t="s">
        <v>64</v>
      </c>
      <c r="BC6" t="s">
        <v>62</v>
      </c>
      <c r="BD6" t="s">
        <v>61</v>
      </c>
      <c r="BE6" t="s">
        <v>61</v>
      </c>
      <c r="BF6" t="s">
        <v>62</v>
      </c>
      <c r="BG6" t="s">
        <v>23</v>
      </c>
      <c r="BH6" t="s">
        <v>68</v>
      </c>
      <c r="BI6" t="s">
        <v>69</v>
      </c>
      <c r="BJ6" t="s">
        <v>67</v>
      </c>
      <c r="BK6" t="s">
        <v>68</v>
      </c>
      <c r="BL6" t="s">
        <v>69</v>
      </c>
      <c r="BM6" t="s">
        <v>69</v>
      </c>
      <c r="BN6" t="s">
        <v>69</v>
      </c>
      <c r="BO6" t="s">
        <v>68</v>
      </c>
      <c r="BP6" t="s">
        <v>68</v>
      </c>
      <c r="BQ6" t="s">
        <v>68</v>
      </c>
      <c r="BR6" s="1" t="s">
        <v>68</v>
      </c>
      <c r="BS6" s="3" t="s">
        <v>139</v>
      </c>
      <c r="BT6" s="3" t="s">
        <v>137</v>
      </c>
      <c r="BU6" s="3" t="s">
        <v>138</v>
      </c>
      <c r="BV6" s="3" t="s">
        <v>136</v>
      </c>
      <c r="BW6" s="3" t="s">
        <v>132</v>
      </c>
      <c r="BX6" s="3" t="s">
        <v>130</v>
      </c>
      <c r="BY6" s="3" t="s">
        <v>22</v>
      </c>
      <c r="BZ6" s="3" t="s">
        <v>22</v>
      </c>
      <c r="CA6" s="3" t="s">
        <v>22</v>
      </c>
      <c r="CB6" s="3" t="s">
        <v>23</v>
      </c>
      <c r="CC6" s="3" t="s">
        <v>22</v>
      </c>
      <c r="CD6" s="3" t="s">
        <v>22</v>
      </c>
      <c r="CE6" s="3" t="s">
        <v>22</v>
      </c>
      <c r="CF6" s="3" t="s">
        <v>142</v>
      </c>
      <c r="CG6" s="3" t="s">
        <v>30</v>
      </c>
      <c r="CH6" s="3" t="s">
        <v>30</v>
      </c>
      <c r="CI6" s="3" t="s">
        <v>30</v>
      </c>
      <c r="CJ6" s="3" t="s">
        <v>30</v>
      </c>
      <c r="CK6" s="3" t="s">
        <v>30</v>
      </c>
      <c r="CL6" s="3" t="s">
        <v>30</v>
      </c>
      <c r="CM6" s="3" t="s">
        <v>22</v>
      </c>
      <c r="CN6" s="3" t="s">
        <v>23</v>
      </c>
      <c r="CO6" s="3" t="s">
        <v>22</v>
      </c>
      <c r="CP6" s="3" t="s">
        <v>23</v>
      </c>
      <c r="CQ6" s="3" t="s">
        <v>22</v>
      </c>
      <c r="CR6" s="3" t="s">
        <v>30</v>
      </c>
      <c r="CS6" s="3" t="s">
        <v>30</v>
      </c>
      <c r="CT6" s="3" t="s">
        <v>30</v>
      </c>
      <c r="CU6" s="3" t="s">
        <v>30</v>
      </c>
      <c r="CV6" s="3" t="s">
        <v>30</v>
      </c>
      <c r="CW6" s="3" t="s">
        <v>30</v>
      </c>
      <c r="CX6" s="3" t="s">
        <v>22</v>
      </c>
      <c r="CY6" s="3" t="s">
        <v>23</v>
      </c>
      <c r="CZ6" s="3" t="s">
        <v>22</v>
      </c>
      <c r="DA6" s="3" t="s">
        <v>22</v>
      </c>
      <c r="DB6" s="3" t="s">
        <v>148</v>
      </c>
      <c r="DC6" s="3" t="s">
        <v>22</v>
      </c>
      <c r="DD6" s="3" t="s">
        <v>22</v>
      </c>
      <c r="DE6" s="3" t="s">
        <v>22</v>
      </c>
      <c r="DF6" s="3" t="s">
        <v>22</v>
      </c>
      <c r="DG6" s="3" t="s">
        <v>22</v>
      </c>
      <c r="DH6" s="3" t="s">
        <v>152</v>
      </c>
      <c r="DI6" s="3" t="s">
        <v>22</v>
      </c>
      <c r="DJ6" s="3" t="s">
        <v>22</v>
      </c>
      <c r="DK6" s="3" t="s">
        <v>22</v>
      </c>
      <c r="DL6" s="3" t="s">
        <v>23</v>
      </c>
      <c r="DM6" s="3" t="s">
        <v>23</v>
      </c>
      <c r="DN6" s="3" t="s">
        <v>30</v>
      </c>
      <c r="DO6" s="3" t="s">
        <v>22</v>
      </c>
      <c r="DP6" s="3" t="s">
        <v>22</v>
      </c>
      <c r="DQ6" s="3" t="s">
        <v>22</v>
      </c>
      <c r="DR6" s="3" t="s">
        <v>23</v>
      </c>
      <c r="DS6" s="3" t="s">
        <v>23</v>
      </c>
      <c r="DT6" s="3" t="s">
        <v>155</v>
      </c>
      <c r="DU6" s="3" t="s">
        <v>22</v>
      </c>
      <c r="DV6" s="3" t="s">
        <v>23</v>
      </c>
      <c r="DW6" s="3" t="s">
        <v>23</v>
      </c>
      <c r="DX6" s="3" t="s">
        <v>23</v>
      </c>
      <c r="DY6" s="3" t="s">
        <v>22</v>
      </c>
      <c r="DZ6" s="3" t="s">
        <v>23</v>
      </c>
      <c r="EA6" s="3" t="s">
        <v>161</v>
      </c>
      <c r="EB6" s="3" t="s">
        <v>165</v>
      </c>
      <c r="EC6" s="1" t="s">
        <v>23</v>
      </c>
      <c r="ED6" s="3" t="s">
        <v>22</v>
      </c>
      <c r="EE6" s="3" t="s">
        <v>257</v>
      </c>
      <c r="EF6" s="3" t="s">
        <v>259</v>
      </c>
      <c r="EG6" s="3" t="s">
        <v>22</v>
      </c>
      <c r="EH6" s="3" t="s">
        <v>260</v>
      </c>
      <c r="EI6" s="3" t="s">
        <v>261</v>
      </c>
      <c r="EJ6" s="3" t="s">
        <v>22</v>
      </c>
      <c r="EK6" s="66" t="s">
        <v>24</v>
      </c>
      <c r="EL6" s="66" t="s">
        <v>24</v>
      </c>
      <c r="EM6" s="3" t="s">
        <v>22</v>
      </c>
      <c r="EN6" s="3" t="s">
        <v>266</v>
      </c>
      <c r="EO6" s="3" t="s">
        <v>264</v>
      </c>
      <c r="EP6" s="66" t="s">
        <v>24</v>
      </c>
      <c r="EQ6" s="3" t="s">
        <v>267</v>
      </c>
      <c r="ER6" s="66" t="s">
        <v>24</v>
      </c>
      <c r="ES6" s="66" t="s">
        <v>24</v>
      </c>
      <c r="ET6" s="66" t="s">
        <v>24</v>
      </c>
      <c r="EU6" s="3" t="s">
        <v>22</v>
      </c>
      <c r="EV6" s="3" t="s">
        <v>271</v>
      </c>
      <c r="EW6" s="1" t="s">
        <v>22</v>
      </c>
      <c r="EX6" t="s">
        <v>229</v>
      </c>
      <c r="EY6" t="s">
        <v>232</v>
      </c>
      <c r="EZ6" t="s">
        <v>237</v>
      </c>
      <c r="FA6" s="66" t="s">
        <v>22</v>
      </c>
      <c r="FB6" s="66" t="s">
        <v>23</v>
      </c>
      <c r="FC6" s="66" t="s">
        <v>233</v>
      </c>
      <c r="FD6" t="s">
        <v>220</v>
      </c>
      <c r="FE6" t="s">
        <v>219</v>
      </c>
      <c r="FF6" s="5" t="s">
        <v>30</v>
      </c>
      <c r="FG6" s="3" t="s">
        <v>225</v>
      </c>
      <c r="FH6" s="3" t="s">
        <v>224</v>
      </c>
      <c r="FI6" s="3" t="s">
        <v>30</v>
      </c>
      <c r="FJ6" t="s">
        <v>220</v>
      </c>
      <c r="FK6" t="s">
        <v>219</v>
      </c>
      <c r="FL6" s="5" t="s">
        <v>30</v>
      </c>
      <c r="FM6" s="3" t="s">
        <v>225</v>
      </c>
      <c r="FN6" s="3" t="s">
        <v>224</v>
      </c>
      <c r="FO6" s="3" t="s">
        <v>30</v>
      </c>
      <c r="FP6" t="s">
        <v>209</v>
      </c>
      <c r="FQ6" t="s">
        <v>22</v>
      </c>
      <c r="FR6" t="s">
        <v>23</v>
      </c>
      <c r="FS6" t="s">
        <v>22</v>
      </c>
      <c r="FT6" t="s">
        <v>23</v>
      </c>
      <c r="FU6" t="s">
        <v>22</v>
      </c>
      <c r="FV6" t="s">
        <v>213</v>
      </c>
      <c r="FW6" t="s">
        <v>220</v>
      </c>
      <c r="FX6" t="s">
        <v>30</v>
      </c>
      <c r="FY6" s="1" t="s">
        <v>30</v>
      </c>
    </row>
    <row r="7" spans="1:181">
      <c r="A7" s="156">
        <v>4</v>
      </c>
      <c r="B7" t="s">
        <v>0</v>
      </c>
      <c r="C7" t="s">
        <v>5</v>
      </c>
      <c r="D7">
        <v>24</v>
      </c>
      <c r="E7" t="s">
        <v>696</v>
      </c>
      <c r="F7" t="s">
        <v>11</v>
      </c>
      <c r="G7" t="s">
        <v>13</v>
      </c>
      <c r="H7" t="s">
        <v>18</v>
      </c>
      <c r="I7" t="s">
        <v>20</v>
      </c>
      <c r="J7" s="1" t="s">
        <v>23</v>
      </c>
      <c r="K7" t="s">
        <v>23</v>
      </c>
      <c r="L7" t="s">
        <v>24</v>
      </c>
      <c r="M7" t="s">
        <v>38</v>
      </c>
      <c r="N7" s="60" t="s">
        <v>267</v>
      </c>
      <c r="O7" s="60" t="s">
        <v>267</v>
      </c>
      <c r="P7" t="s">
        <v>23</v>
      </c>
      <c r="Q7" t="s">
        <v>24</v>
      </c>
      <c r="R7" t="s">
        <v>30</v>
      </c>
      <c r="S7" t="s">
        <v>23</v>
      </c>
      <c r="T7" t="s">
        <v>23</v>
      </c>
      <c r="U7" t="s">
        <v>23</v>
      </c>
      <c r="V7" t="s">
        <v>23</v>
      </c>
      <c r="W7" t="s">
        <v>23</v>
      </c>
      <c r="X7" s="60" t="s">
        <v>621</v>
      </c>
      <c r="Y7" t="s">
        <v>23</v>
      </c>
      <c r="Z7" s="60" t="s">
        <v>267</v>
      </c>
      <c r="AA7" s="60" t="s">
        <v>267</v>
      </c>
      <c r="AB7" s="60" t="s">
        <v>267</v>
      </c>
      <c r="AC7" t="s">
        <v>49</v>
      </c>
      <c r="AD7" t="s">
        <v>36</v>
      </c>
      <c r="AE7" s="2" t="s">
        <v>33</v>
      </c>
      <c r="AF7" s="2" t="s">
        <v>32</v>
      </c>
      <c r="AG7" t="s">
        <v>23</v>
      </c>
      <c r="AH7" t="s">
        <v>30</v>
      </c>
      <c r="AI7" t="s">
        <v>30</v>
      </c>
      <c r="AJ7" t="s">
        <v>30</v>
      </c>
      <c r="AK7" t="s">
        <v>30</v>
      </c>
      <c r="AL7" t="s">
        <v>30</v>
      </c>
      <c r="AM7" t="s">
        <v>30</v>
      </c>
      <c r="AN7" s="60" t="s">
        <v>30</v>
      </c>
      <c r="AO7" t="s">
        <v>24</v>
      </c>
      <c r="AP7" t="s">
        <v>24</v>
      </c>
      <c r="AQ7" t="s">
        <v>24</v>
      </c>
      <c r="AR7" s="1" t="s">
        <v>24</v>
      </c>
      <c r="AS7" t="s">
        <v>53</v>
      </c>
      <c r="AT7" t="s">
        <v>58</v>
      </c>
      <c r="AU7" t="s">
        <v>62</v>
      </c>
      <c r="AV7" t="s">
        <v>61</v>
      </c>
      <c r="AW7" t="s">
        <v>62</v>
      </c>
      <c r="AX7" t="s">
        <v>62</v>
      </c>
      <c r="AY7" t="s">
        <v>62</v>
      </c>
      <c r="AZ7" t="s">
        <v>64</v>
      </c>
      <c r="BA7" t="s">
        <v>63</v>
      </c>
      <c r="BB7" t="s">
        <v>62</v>
      </c>
      <c r="BC7" t="s">
        <v>62</v>
      </c>
      <c r="BD7" t="s">
        <v>61</v>
      </c>
      <c r="BE7" t="s">
        <v>61</v>
      </c>
      <c r="BF7" t="s">
        <v>63</v>
      </c>
      <c r="BG7" t="s">
        <v>66</v>
      </c>
      <c r="BH7" t="s">
        <v>67</v>
      </c>
      <c r="BI7" t="s">
        <v>69</v>
      </c>
      <c r="BJ7" t="s">
        <v>69</v>
      </c>
      <c r="BK7" t="s">
        <v>67</v>
      </c>
      <c r="BL7" t="s">
        <v>66</v>
      </c>
      <c r="BM7" t="s">
        <v>69</v>
      </c>
      <c r="BN7" t="s">
        <v>68</v>
      </c>
      <c r="BO7" t="s">
        <v>68</v>
      </c>
      <c r="BP7" t="s">
        <v>69</v>
      </c>
      <c r="BQ7" t="s">
        <v>23</v>
      </c>
      <c r="BR7" s="1" t="s">
        <v>30</v>
      </c>
      <c r="BS7" s="3" t="s">
        <v>140</v>
      </c>
      <c r="BT7" s="3" t="s">
        <v>137</v>
      </c>
      <c r="BU7" s="3" t="s">
        <v>138</v>
      </c>
      <c r="BV7" s="3" t="s">
        <v>134</v>
      </c>
      <c r="BW7" s="3" t="s">
        <v>130</v>
      </c>
      <c r="BX7" s="3" t="s">
        <v>128</v>
      </c>
      <c r="BY7" s="3" t="s">
        <v>23</v>
      </c>
      <c r="BZ7" s="3" t="s">
        <v>23</v>
      </c>
      <c r="CA7" s="3" t="s">
        <v>23</v>
      </c>
      <c r="CB7" s="3" t="s">
        <v>22</v>
      </c>
      <c r="CC7" s="3" t="s">
        <v>22</v>
      </c>
      <c r="CD7" s="3" t="s">
        <v>23</v>
      </c>
      <c r="CE7" s="3" t="s">
        <v>23</v>
      </c>
      <c r="CF7" s="3" t="s">
        <v>23</v>
      </c>
      <c r="CG7" s="3" t="s">
        <v>23</v>
      </c>
      <c r="CH7" s="3" t="s">
        <v>22</v>
      </c>
      <c r="CI7" s="3" t="s">
        <v>22</v>
      </c>
      <c r="CJ7" s="3" t="s">
        <v>22</v>
      </c>
      <c r="CK7" s="3" t="s">
        <v>22</v>
      </c>
      <c r="CL7" s="3" t="s">
        <v>23</v>
      </c>
      <c r="CM7" s="3" t="s">
        <v>22</v>
      </c>
      <c r="CN7" s="3" t="s">
        <v>22</v>
      </c>
      <c r="CO7" s="3" t="s">
        <v>23</v>
      </c>
      <c r="CP7" s="3" t="s">
        <v>23</v>
      </c>
      <c r="CQ7" s="3" t="s">
        <v>22</v>
      </c>
      <c r="CR7" s="3" t="s">
        <v>30</v>
      </c>
      <c r="CS7" s="3" t="s">
        <v>30</v>
      </c>
      <c r="CT7" s="3" t="s">
        <v>30</v>
      </c>
      <c r="CU7" s="3" t="s">
        <v>30</v>
      </c>
      <c r="CV7" s="3" t="s">
        <v>30</v>
      </c>
      <c r="CW7" s="3" t="s">
        <v>30</v>
      </c>
      <c r="CX7" s="3" t="s">
        <v>22</v>
      </c>
      <c r="CY7" s="3" t="s">
        <v>23</v>
      </c>
      <c r="CZ7" s="3" t="s">
        <v>23</v>
      </c>
      <c r="DA7" s="3" t="s">
        <v>22</v>
      </c>
      <c r="DB7" s="3" t="s">
        <v>149</v>
      </c>
      <c r="DC7" s="3" t="s">
        <v>23</v>
      </c>
      <c r="DD7" s="3" t="s">
        <v>22</v>
      </c>
      <c r="DE7" s="3" t="s">
        <v>22</v>
      </c>
      <c r="DF7" s="3" t="s">
        <v>22</v>
      </c>
      <c r="DG7" s="3" t="s">
        <v>22</v>
      </c>
      <c r="DH7" s="3" t="s">
        <v>23</v>
      </c>
      <c r="DI7" s="3" t="s">
        <v>23</v>
      </c>
      <c r="DJ7" s="3" t="s">
        <v>22</v>
      </c>
      <c r="DK7" s="3" t="s">
        <v>23</v>
      </c>
      <c r="DL7" s="3" t="s">
        <v>23</v>
      </c>
      <c r="DM7" s="3" t="s">
        <v>23</v>
      </c>
      <c r="DN7" s="3" t="s">
        <v>30</v>
      </c>
      <c r="DO7" s="3" t="s">
        <v>23</v>
      </c>
      <c r="DP7" s="3" t="s">
        <v>22</v>
      </c>
      <c r="DQ7" s="3" t="s">
        <v>23</v>
      </c>
      <c r="DR7" s="3" t="s">
        <v>23</v>
      </c>
      <c r="DS7" s="3" t="s">
        <v>23</v>
      </c>
      <c r="DT7" s="3" t="s">
        <v>30</v>
      </c>
      <c r="DU7" s="3" t="s">
        <v>22</v>
      </c>
      <c r="DV7" s="3" t="s">
        <v>23</v>
      </c>
      <c r="DW7" s="3" t="s">
        <v>23</v>
      </c>
      <c r="DX7" s="3" t="s">
        <v>23</v>
      </c>
      <c r="DY7" s="3" t="s">
        <v>23</v>
      </c>
      <c r="DZ7" s="3" t="s">
        <v>23</v>
      </c>
      <c r="EA7" s="3" t="s">
        <v>162</v>
      </c>
      <c r="EB7" s="3" t="s">
        <v>165</v>
      </c>
      <c r="EC7" s="1" t="s">
        <v>23</v>
      </c>
      <c r="ED7" s="3" t="s">
        <v>24</v>
      </c>
      <c r="EE7" s="66" t="s">
        <v>30</v>
      </c>
      <c r="EF7" s="66" t="s">
        <v>30</v>
      </c>
      <c r="EG7" s="3" t="s">
        <v>23</v>
      </c>
      <c r="EH7" s="66" t="s">
        <v>30</v>
      </c>
      <c r="EI7" s="66" t="s">
        <v>30</v>
      </c>
      <c r="EJ7" s="3" t="s">
        <v>23</v>
      </c>
      <c r="EK7" s="66" t="s">
        <v>30</v>
      </c>
      <c r="EL7" s="66" t="s">
        <v>30</v>
      </c>
      <c r="EM7" s="3" t="s">
        <v>23</v>
      </c>
      <c r="EN7" s="66" t="s">
        <v>24</v>
      </c>
      <c r="EO7" s="66" t="s">
        <v>24</v>
      </c>
      <c r="EP7" s="66" t="s">
        <v>24</v>
      </c>
      <c r="EQ7" s="3" t="s">
        <v>23</v>
      </c>
      <c r="ER7" s="66" t="s">
        <v>24</v>
      </c>
      <c r="ES7" s="66" t="s">
        <v>24</v>
      </c>
      <c r="ET7" s="66" t="s">
        <v>24</v>
      </c>
      <c r="EU7" s="3" t="s">
        <v>22</v>
      </c>
      <c r="EV7" s="3" t="s">
        <v>272</v>
      </c>
      <c r="EW7" s="1" t="s">
        <v>22</v>
      </c>
      <c r="EX7" t="s">
        <v>229</v>
      </c>
      <c r="EY7" t="s">
        <v>234</v>
      </c>
      <c r="EZ7" t="s">
        <v>235</v>
      </c>
      <c r="FA7" s="66" t="s">
        <v>22</v>
      </c>
      <c r="FB7" s="66" t="s">
        <v>23</v>
      </c>
      <c r="FC7" s="66" t="s">
        <v>233</v>
      </c>
      <c r="FD7" t="s">
        <v>219</v>
      </c>
      <c r="FE7" t="s">
        <v>683</v>
      </c>
      <c r="FF7" s="5" t="s">
        <v>30</v>
      </c>
      <c r="FG7" s="3" t="s">
        <v>224</v>
      </c>
      <c r="FH7" s="3" t="s">
        <v>226</v>
      </c>
      <c r="FI7" s="3" t="s">
        <v>30</v>
      </c>
      <c r="FJ7" t="s">
        <v>219</v>
      </c>
      <c r="FK7" t="s">
        <v>220</v>
      </c>
      <c r="FL7" s="5" t="s">
        <v>30</v>
      </c>
      <c r="FM7" s="3" t="s">
        <v>226</v>
      </c>
      <c r="FN7" s="3" t="s">
        <v>226</v>
      </c>
      <c r="FO7" s="3" t="s">
        <v>30</v>
      </c>
      <c r="FP7" t="s">
        <v>211</v>
      </c>
      <c r="FQ7" t="s">
        <v>22</v>
      </c>
      <c r="FR7" t="s">
        <v>23</v>
      </c>
      <c r="FS7" t="s">
        <v>23</v>
      </c>
      <c r="FT7" t="s">
        <v>22</v>
      </c>
      <c r="FU7" t="s">
        <v>23</v>
      </c>
      <c r="FV7" t="s">
        <v>213</v>
      </c>
      <c r="FW7" t="s">
        <v>219</v>
      </c>
      <c r="FX7" t="s">
        <v>220</v>
      </c>
      <c r="FY7" s="1" t="s">
        <v>30</v>
      </c>
    </row>
    <row r="8" spans="1:181">
      <c r="A8" s="156">
        <v>5</v>
      </c>
      <c r="B8" t="s">
        <v>2</v>
      </c>
      <c r="C8" t="s">
        <v>5</v>
      </c>
      <c r="D8">
        <v>27</v>
      </c>
      <c r="E8" t="s">
        <v>697</v>
      </c>
      <c r="F8" t="s">
        <v>10</v>
      </c>
      <c r="G8" t="s">
        <v>13</v>
      </c>
      <c r="H8" t="s">
        <v>16</v>
      </c>
      <c r="I8" t="s">
        <v>20</v>
      </c>
      <c r="J8" s="1" t="s">
        <v>22</v>
      </c>
      <c r="K8" t="s">
        <v>24</v>
      </c>
      <c r="L8" t="s">
        <v>613</v>
      </c>
      <c r="M8" t="s">
        <v>38</v>
      </c>
      <c r="N8" s="60" t="s">
        <v>267</v>
      </c>
      <c r="O8" s="60" t="s">
        <v>267</v>
      </c>
      <c r="P8" t="s">
        <v>23</v>
      </c>
      <c r="Q8" t="s">
        <v>28</v>
      </c>
      <c r="R8" t="s">
        <v>30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  <c r="X8" s="60" t="s">
        <v>23</v>
      </c>
      <c r="Y8" t="s">
        <v>23</v>
      </c>
      <c r="Z8" s="60" t="s">
        <v>267</v>
      </c>
      <c r="AA8" s="60" t="s">
        <v>267</v>
      </c>
      <c r="AB8" s="60" t="s">
        <v>267</v>
      </c>
      <c r="AC8" t="s">
        <v>49</v>
      </c>
      <c r="AD8" t="s">
        <v>36</v>
      </c>
      <c r="AE8" s="2" t="s">
        <v>33</v>
      </c>
      <c r="AF8" s="2" t="s">
        <v>32</v>
      </c>
      <c r="AG8" t="s">
        <v>23</v>
      </c>
      <c r="AH8" t="s">
        <v>30</v>
      </c>
      <c r="AI8" t="s">
        <v>30</v>
      </c>
      <c r="AJ8" t="s">
        <v>30</v>
      </c>
      <c r="AK8" t="s">
        <v>30</v>
      </c>
      <c r="AL8" t="s">
        <v>30</v>
      </c>
      <c r="AM8" t="s">
        <v>30</v>
      </c>
      <c r="AN8" s="60" t="s">
        <v>30</v>
      </c>
      <c r="AO8" t="s">
        <v>24</v>
      </c>
      <c r="AP8" t="s">
        <v>24</v>
      </c>
      <c r="AQ8" t="s">
        <v>24</v>
      </c>
      <c r="AR8" s="1" t="s">
        <v>24</v>
      </c>
      <c r="AS8" t="s">
        <v>54</v>
      </c>
      <c r="AT8" t="s">
        <v>58</v>
      </c>
      <c r="AU8" t="s">
        <v>62</v>
      </c>
      <c r="AV8" t="s">
        <v>61</v>
      </c>
      <c r="AW8" t="s">
        <v>62</v>
      </c>
      <c r="AX8" t="s">
        <v>62</v>
      </c>
      <c r="AY8" t="s">
        <v>62</v>
      </c>
      <c r="AZ8" t="s">
        <v>65</v>
      </c>
      <c r="BA8" t="s">
        <v>63</v>
      </c>
      <c r="BB8" t="s">
        <v>62</v>
      </c>
      <c r="BC8" t="s">
        <v>62</v>
      </c>
      <c r="BD8" t="s">
        <v>61</v>
      </c>
      <c r="BE8" t="s">
        <v>61</v>
      </c>
      <c r="BF8" t="s">
        <v>63</v>
      </c>
      <c r="BG8" t="s">
        <v>66</v>
      </c>
      <c r="BH8" t="s">
        <v>67</v>
      </c>
      <c r="BI8" t="s">
        <v>68</v>
      </c>
      <c r="BJ8" t="s">
        <v>69</v>
      </c>
      <c r="BK8" t="s">
        <v>67</v>
      </c>
      <c r="BL8" t="s">
        <v>66</v>
      </c>
      <c r="BM8" t="s">
        <v>69</v>
      </c>
      <c r="BN8" t="s">
        <v>68</v>
      </c>
      <c r="BO8" t="s">
        <v>68</v>
      </c>
      <c r="BP8" t="s">
        <v>69</v>
      </c>
      <c r="BQ8" t="s">
        <v>23</v>
      </c>
      <c r="BR8" s="1" t="s">
        <v>30</v>
      </c>
      <c r="BS8" s="3" t="s">
        <v>141</v>
      </c>
      <c r="BT8" s="3" t="s">
        <v>139</v>
      </c>
      <c r="BU8" s="66" t="s">
        <v>267</v>
      </c>
      <c r="BV8" s="3" t="s">
        <v>130</v>
      </c>
      <c r="BW8" s="3" t="s">
        <v>128</v>
      </c>
      <c r="BX8" s="3" t="s">
        <v>132</v>
      </c>
      <c r="BY8" s="3" t="s">
        <v>23</v>
      </c>
      <c r="BZ8" s="3" t="s">
        <v>23</v>
      </c>
      <c r="CA8" s="3" t="s">
        <v>23</v>
      </c>
      <c r="CB8" s="3" t="s">
        <v>22</v>
      </c>
      <c r="CC8" s="3" t="s">
        <v>23</v>
      </c>
      <c r="CD8" s="3" t="s">
        <v>23</v>
      </c>
      <c r="CE8" s="3" t="s">
        <v>23</v>
      </c>
      <c r="CF8" s="3" t="s">
        <v>23</v>
      </c>
      <c r="CG8" s="3" t="s">
        <v>23</v>
      </c>
      <c r="CH8" s="3" t="s">
        <v>22</v>
      </c>
      <c r="CI8" s="3" t="s">
        <v>22</v>
      </c>
      <c r="CJ8" s="3" t="s">
        <v>22</v>
      </c>
      <c r="CK8" s="3" t="s">
        <v>22</v>
      </c>
      <c r="CL8" s="3" t="s">
        <v>23</v>
      </c>
      <c r="CM8" s="3" t="s">
        <v>22</v>
      </c>
      <c r="CN8" s="3" t="s">
        <v>22</v>
      </c>
      <c r="CO8" s="3" t="s">
        <v>23</v>
      </c>
      <c r="CP8" s="3" t="s">
        <v>23</v>
      </c>
      <c r="CQ8" s="3" t="s">
        <v>146</v>
      </c>
      <c r="CR8" s="3" t="s">
        <v>22</v>
      </c>
      <c r="CS8" s="3" t="s">
        <v>22</v>
      </c>
      <c r="CT8" s="3" t="s">
        <v>22</v>
      </c>
      <c r="CU8" s="3" t="s">
        <v>22</v>
      </c>
      <c r="CV8" s="3" t="s">
        <v>22</v>
      </c>
      <c r="CW8" s="3" t="s">
        <v>145</v>
      </c>
      <c r="CX8" s="3" t="s">
        <v>23</v>
      </c>
      <c r="CY8" s="3" t="s">
        <v>22</v>
      </c>
      <c r="CZ8" s="3" t="s">
        <v>23</v>
      </c>
      <c r="DA8" s="3" t="s">
        <v>22</v>
      </c>
      <c r="DB8" s="3" t="s">
        <v>149</v>
      </c>
      <c r="DC8" s="3" t="s">
        <v>23</v>
      </c>
      <c r="DD8" s="3" t="s">
        <v>23</v>
      </c>
      <c r="DE8" s="3" t="s">
        <v>23</v>
      </c>
      <c r="DF8" s="3" t="s">
        <v>22</v>
      </c>
      <c r="DG8" s="3" t="s">
        <v>22</v>
      </c>
      <c r="DH8" s="3" t="s">
        <v>23</v>
      </c>
      <c r="DI8" s="3" t="s">
        <v>23</v>
      </c>
      <c r="DJ8" s="3" t="s">
        <v>22</v>
      </c>
      <c r="DK8" s="3" t="s">
        <v>23</v>
      </c>
      <c r="DL8" s="3" t="s">
        <v>23</v>
      </c>
      <c r="DM8" s="3" t="s">
        <v>23</v>
      </c>
      <c r="DN8" s="3" t="s">
        <v>30</v>
      </c>
      <c r="DO8" s="3" t="s">
        <v>23</v>
      </c>
      <c r="DP8" s="3" t="s">
        <v>22</v>
      </c>
      <c r="DQ8" s="3" t="s">
        <v>23</v>
      </c>
      <c r="DR8" s="3" t="s">
        <v>23</v>
      </c>
      <c r="DS8" s="3" t="s">
        <v>23</v>
      </c>
      <c r="DT8" s="3" t="s">
        <v>30</v>
      </c>
      <c r="DU8" s="3" t="s">
        <v>22</v>
      </c>
      <c r="DV8" s="3" t="s">
        <v>23</v>
      </c>
      <c r="DW8" s="3" t="s">
        <v>23</v>
      </c>
      <c r="DX8" s="3" t="s">
        <v>23</v>
      </c>
      <c r="DY8" s="3" t="s">
        <v>23</v>
      </c>
      <c r="DZ8" s="3" t="s">
        <v>23</v>
      </c>
      <c r="EA8" s="3" t="s">
        <v>160</v>
      </c>
      <c r="EB8" s="3" t="s">
        <v>165</v>
      </c>
      <c r="EC8" s="1" t="s">
        <v>23</v>
      </c>
      <c r="ED8" s="3" t="s">
        <v>24</v>
      </c>
      <c r="EE8" s="66" t="s">
        <v>30</v>
      </c>
      <c r="EF8" s="66" t="s">
        <v>30</v>
      </c>
      <c r="EG8" s="3" t="s">
        <v>23</v>
      </c>
      <c r="EH8" s="66" t="s">
        <v>30</v>
      </c>
      <c r="EI8" s="66" t="s">
        <v>30</v>
      </c>
      <c r="EJ8" s="3" t="s">
        <v>22</v>
      </c>
      <c r="EK8" s="66" t="s">
        <v>24</v>
      </c>
      <c r="EL8" s="66" t="s">
        <v>24</v>
      </c>
      <c r="EM8" s="3" t="s">
        <v>22</v>
      </c>
      <c r="EN8" s="3" t="s">
        <v>266</v>
      </c>
      <c r="EO8" s="3" t="s">
        <v>263</v>
      </c>
      <c r="EP8" s="66" t="s">
        <v>24</v>
      </c>
      <c r="EQ8" s="3" t="s">
        <v>23</v>
      </c>
      <c r="ER8" s="66" t="s">
        <v>24</v>
      </c>
      <c r="ES8" s="66" t="s">
        <v>24</v>
      </c>
      <c r="ET8" s="66" t="s">
        <v>24</v>
      </c>
      <c r="EU8" s="3" t="s">
        <v>23</v>
      </c>
      <c r="EV8" s="3" t="s">
        <v>273</v>
      </c>
      <c r="EW8" s="1" t="s">
        <v>22</v>
      </c>
      <c r="EX8" t="s">
        <v>63</v>
      </c>
      <c r="EY8" t="s">
        <v>237</v>
      </c>
      <c r="EZ8" s="60" t="s">
        <v>24</v>
      </c>
      <c r="FA8" s="66" t="s">
        <v>22</v>
      </c>
      <c r="FB8" s="66" t="s">
        <v>23</v>
      </c>
      <c r="FC8" s="66" t="s">
        <v>23</v>
      </c>
      <c r="FD8" t="s">
        <v>219</v>
      </c>
      <c r="FE8" t="s">
        <v>221</v>
      </c>
      <c r="FF8" s="5" t="s">
        <v>30</v>
      </c>
      <c r="FG8" s="3" t="s">
        <v>224</v>
      </c>
      <c r="FH8" s="3" t="s">
        <v>226</v>
      </c>
      <c r="FI8" s="3" t="s">
        <v>30</v>
      </c>
      <c r="FJ8" t="s">
        <v>219</v>
      </c>
      <c r="FK8" t="s">
        <v>221</v>
      </c>
      <c r="FL8" s="5" t="s">
        <v>30</v>
      </c>
      <c r="FM8" s="3" t="s">
        <v>226</v>
      </c>
      <c r="FN8" s="3" t="s">
        <v>224</v>
      </c>
      <c r="FO8" s="3" t="s">
        <v>30</v>
      </c>
      <c r="FP8" t="s">
        <v>210</v>
      </c>
      <c r="FQ8" t="s">
        <v>22</v>
      </c>
      <c r="FR8" t="s">
        <v>22</v>
      </c>
      <c r="FS8" t="s">
        <v>23</v>
      </c>
      <c r="FT8" t="s">
        <v>22</v>
      </c>
      <c r="FU8" t="s">
        <v>23</v>
      </c>
      <c r="FV8" t="s">
        <v>30</v>
      </c>
      <c r="FW8" t="s">
        <v>219</v>
      </c>
      <c r="FX8" t="s">
        <v>221</v>
      </c>
      <c r="FY8" s="1" t="s">
        <v>30</v>
      </c>
    </row>
    <row r="9" spans="1:181">
      <c r="A9" s="156">
        <v>6</v>
      </c>
      <c r="B9" t="s">
        <v>2</v>
      </c>
      <c r="C9" t="s">
        <v>5</v>
      </c>
      <c r="D9">
        <v>27</v>
      </c>
      <c r="E9" t="s">
        <v>694</v>
      </c>
      <c r="F9" t="s">
        <v>10</v>
      </c>
      <c r="G9" t="s">
        <v>13</v>
      </c>
      <c r="H9" t="s">
        <v>17</v>
      </c>
      <c r="I9" t="s">
        <v>20</v>
      </c>
      <c r="J9" s="1" t="s">
        <v>23</v>
      </c>
      <c r="K9" t="s">
        <v>23</v>
      </c>
      <c r="L9" t="s">
        <v>613</v>
      </c>
      <c r="M9" t="s">
        <v>38</v>
      </c>
      <c r="N9" s="60" t="s">
        <v>267</v>
      </c>
      <c r="O9" s="60" t="s">
        <v>267</v>
      </c>
      <c r="P9" t="s">
        <v>23</v>
      </c>
      <c r="Q9" t="s">
        <v>29</v>
      </c>
      <c r="R9" t="s">
        <v>30</v>
      </c>
      <c r="S9" t="s">
        <v>23</v>
      </c>
      <c r="T9" t="s">
        <v>23</v>
      </c>
      <c r="U9" t="s">
        <v>23</v>
      </c>
      <c r="V9" t="s">
        <v>23</v>
      </c>
      <c r="W9" t="s">
        <v>23</v>
      </c>
      <c r="X9" s="60" t="s">
        <v>23</v>
      </c>
      <c r="Y9" t="s">
        <v>23</v>
      </c>
      <c r="Z9" s="60" t="s">
        <v>267</v>
      </c>
      <c r="AA9" s="60" t="s">
        <v>267</v>
      </c>
      <c r="AB9" s="60" t="s">
        <v>267</v>
      </c>
      <c r="AC9" t="s">
        <v>50</v>
      </c>
      <c r="AD9" t="s">
        <v>35</v>
      </c>
      <c r="AE9" s="2" t="s">
        <v>33</v>
      </c>
      <c r="AF9" s="2" t="s">
        <v>31</v>
      </c>
      <c r="AG9" t="s">
        <v>23</v>
      </c>
      <c r="AH9" t="s">
        <v>30</v>
      </c>
      <c r="AI9" t="s">
        <v>30</v>
      </c>
      <c r="AJ9" t="s">
        <v>30</v>
      </c>
      <c r="AK9" t="s">
        <v>30</v>
      </c>
      <c r="AL9" t="s">
        <v>30</v>
      </c>
      <c r="AM9" t="s">
        <v>30</v>
      </c>
      <c r="AN9" s="60" t="s">
        <v>30</v>
      </c>
      <c r="AO9" t="s">
        <v>24</v>
      </c>
      <c r="AP9" t="s">
        <v>24</v>
      </c>
      <c r="AQ9" t="s">
        <v>24</v>
      </c>
      <c r="AR9" s="1" t="s">
        <v>24</v>
      </c>
      <c r="AS9" t="s">
        <v>55</v>
      </c>
      <c r="AT9" t="s">
        <v>58</v>
      </c>
      <c r="AU9" t="s">
        <v>62</v>
      </c>
      <c r="AV9" t="s">
        <v>61</v>
      </c>
      <c r="AW9" t="s">
        <v>62</v>
      </c>
      <c r="AX9" t="s">
        <v>62</v>
      </c>
      <c r="AY9" t="s">
        <v>62</v>
      </c>
      <c r="AZ9" t="s">
        <v>63</v>
      </c>
      <c r="BA9" t="s">
        <v>63</v>
      </c>
      <c r="BB9" t="s">
        <v>62</v>
      </c>
      <c r="BC9" t="s">
        <v>62</v>
      </c>
      <c r="BD9" t="s">
        <v>61</v>
      </c>
      <c r="BE9" t="s">
        <v>61</v>
      </c>
      <c r="BF9" t="s">
        <v>63</v>
      </c>
      <c r="BG9" t="s">
        <v>67</v>
      </c>
      <c r="BH9" t="s">
        <v>67</v>
      </c>
      <c r="BI9" t="s">
        <v>68</v>
      </c>
      <c r="BJ9" t="s">
        <v>69</v>
      </c>
      <c r="BK9" t="s">
        <v>67</v>
      </c>
      <c r="BL9" t="s">
        <v>23</v>
      </c>
      <c r="BM9" t="s">
        <v>67</v>
      </c>
      <c r="BN9" t="s">
        <v>68</v>
      </c>
      <c r="BO9" t="s">
        <v>68</v>
      </c>
      <c r="BP9" t="s">
        <v>69</v>
      </c>
      <c r="BQ9" t="s">
        <v>23</v>
      </c>
      <c r="BR9" s="1" t="s">
        <v>30</v>
      </c>
      <c r="BS9" s="3" t="s">
        <v>137</v>
      </c>
      <c r="BT9" s="3" t="s">
        <v>138</v>
      </c>
      <c r="BU9" s="3" t="s">
        <v>267</v>
      </c>
      <c r="BV9" s="3" t="s">
        <v>131</v>
      </c>
      <c r="BW9" s="3" t="s">
        <v>129</v>
      </c>
      <c r="BX9" s="66" t="s">
        <v>267</v>
      </c>
      <c r="BY9" s="3" t="s">
        <v>23</v>
      </c>
      <c r="BZ9" s="3" t="s">
        <v>23</v>
      </c>
      <c r="CA9" s="3" t="s">
        <v>23</v>
      </c>
      <c r="CB9" s="3" t="s">
        <v>22</v>
      </c>
      <c r="CC9" s="3" t="s">
        <v>23</v>
      </c>
      <c r="CD9" s="3" t="s">
        <v>23</v>
      </c>
      <c r="CE9" s="3" t="s">
        <v>23</v>
      </c>
      <c r="CF9" s="3" t="s">
        <v>23</v>
      </c>
      <c r="CG9" s="3" t="s">
        <v>23</v>
      </c>
      <c r="CH9" s="3" t="s">
        <v>22</v>
      </c>
      <c r="CI9" s="3" t="s">
        <v>22</v>
      </c>
      <c r="CJ9" s="3" t="s">
        <v>22</v>
      </c>
      <c r="CK9" s="3" t="s">
        <v>22</v>
      </c>
      <c r="CL9" s="3" t="s">
        <v>143</v>
      </c>
      <c r="CM9" s="3" t="s">
        <v>22</v>
      </c>
      <c r="CN9" s="3" t="s">
        <v>23</v>
      </c>
      <c r="CO9" s="3" t="s">
        <v>23</v>
      </c>
      <c r="CP9" s="3" t="s">
        <v>23</v>
      </c>
      <c r="CQ9" s="3" t="s">
        <v>23</v>
      </c>
      <c r="CR9" s="3" t="s">
        <v>23</v>
      </c>
      <c r="CS9" s="3" t="s">
        <v>22</v>
      </c>
      <c r="CT9" s="3" t="s">
        <v>22</v>
      </c>
      <c r="CU9" s="3" t="s">
        <v>23</v>
      </c>
      <c r="CV9" s="3" t="s">
        <v>22</v>
      </c>
      <c r="CW9" s="3" t="s">
        <v>145</v>
      </c>
      <c r="CX9" s="3" t="s">
        <v>30</v>
      </c>
      <c r="CY9" s="3" t="s">
        <v>30</v>
      </c>
      <c r="CZ9" s="3" t="s">
        <v>30</v>
      </c>
      <c r="DA9" s="3" t="s">
        <v>30</v>
      </c>
      <c r="DB9" s="3" t="s">
        <v>30</v>
      </c>
      <c r="DC9" s="3" t="s">
        <v>22</v>
      </c>
      <c r="DD9" s="3" t="s">
        <v>22</v>
      </c>
      <c r="DE9" s="3" t="s">
        <v>22</v>
      </c>
      <c r="DF9" s="3" t="s">
        <v>22</v>
      </c>
      <c r="DG9" s="3" t="s">
        <v>23</v>
      </c>
      <c r="DH9" s="3" t="s">
        <v>23</v>
      </c>
      <c r="DI9" s="3" t="s">
        <v>23</v>
      </c>
      <c r="DJ9" s="3" t="s">
        <v>22</v>
      </c>
      <c r="DK9" s="3" t="s">
        <v>23</v>
      </c>
      <c r="DL9" s="3" t="s">
        <v>23</v>
      </c>
      <c r="DM9" s="3" t="s">
        <v>22</v>
      </c>
      <c r="DN9" s="3" t="s">
        <v>30</v>
      </c>
      <c r="DO9" s="3" t="s">
        <v>23</v>
      </c>
      <c r="DP9" s="3" t="s">
        <v>22</v>
      </c>
      <c r="DQ9" s="3" t="s">
        <v>23</v>
      </c>
      <c r="DR9" s="3" t="s">
        <v>23</v>
      </c>
      <c r="DS9" s="3" t="s">
        <v>22</v>
      </c>
      <c r="DT9" s="3" t="s">
        <v>155</v>
      </c>
      <c r="DU9" s="3" t="s">
        <v>22</v>
      </c>
      <c r="DV9" s="3" t="s">
        <v>23</v>
      </c>
      <c r="DW9" s="3" t="s">
        <v>23</v>
      </c>
      <c r="DX9" s="3" t="s">
        <v>23</v>
      </c>
      <c r="DY9" s="3" t="s">
        <v>23</v>
      </c>
      <c r="DZ9" s="3" t="s">
        <v>23</v>
      </c>
      <c r="EA9" s="3" t="s">
        <v>163</v>
      </c>
      <c r="EB9" s="3" t="s">
        <v>165</v>
      </c>
      <c r="EC9" s="1" t="s">
        <v>23</v>
      </c>
      <c r="ED9" s="3" t="s">
        <v>22</v>
      </c>
      <c r="EE9" s="66" t="s">
        <v>24</v>
      </c>
      <c r="EF9" s="66" t="s">
        <v>24</v>
      </c>
      <c r="EG9" s="3" t="s">
        <v>22</v>
      </c>
      <c r="EH9" s="66" t="s">
        <v>24</v>
      </c>
      <c r="EI9" s="66" t="s">
        <v>24</v>
      </c>
      <c r="EJ9" s="3" t="s">
        <v>22</v>
      </c>
      <c r="EK9" s="66" t="s">
        <v>24</v>
      </c>
      <c r="EL9" s="66" t="s">
        <v>24</v>
      </c>
      <c r="EM9" s="3" t="s">
        <v>262</v>
      </c>
      <c r="EN9" s="66" t="s">
        <v>24</v>
      </c>
      <c r="EO9" s="66" t="s">
        <v>24</v>
      </c>
      <c r="EP9" s="66" t="s">
        <v>24</v>
      </c>
      <c r="EQ9" s="3" t="s">
        <v>23</v>
      </c>
      <c r="ER9" s="66" t="s">
        <v>24</v>
      </c>
      <c r="ES9" s="66" t="s">
        <v>24</v>
      </c>
      <c r="ET9" s="66" t="s">
        <v>24</v>
      </c>
      <c r="EU9" s="3" t="s">
        <v>22</v>
      </c>
      <c r="EV9" s="3" t="s">
        <v>274</v>
      </c>
      <c r="EW9" s="1" t="s">
        <v>23</v>
      </c>
      <c r="EX9" t="s">
        <v>230</v>
      </c>
      <c r="EY9" t="s">
        <v>24</v>
      </c>
      <c r="EZ9" s="60" t="s">
        <v>24</v>
      </c>
      <c r="FA9" s="66" t="s">
        <v>22</v>
      </c>
      <c r="FB9" s="66" t="s">
        <v>22</v>
      </c>
      <c r="FC9" s="66" t="s">
        <v>23</v>
      </c>
      <c r="FD9" t="s">
        <v>221</v>
      </c>
      <c r="FE9" t="s">
        <v>220</v>
      </c>
      <c r="FF9" s="5" t="s">
        <v>219</v>
      </c>
      <c r="FG9" s="3" t="s">
        <v>226</v>
      </c>
      <c r="FH9" s="3" t="s">
        <v>224</v>
      </c>
      <c r="FI9" s="3" t="s">
        <v>224</v>
      </c>
      <c r="FJ9" t="s">
        <v>219</v>
      </c>
      <c r="FK9" t="s">
        <v>220</v>
      </c>
      <c r="FL9" s="5" t="s">
        <v>221</v>
      </c>
      <c r="FM9" s="3" t="s">
        <v>225</v>
      </c>
      <c r="FN9" s="3" t="s">
        <v>226</v>
      </c>
      <c r="FO9" s="3" t="s">
        <v>226</v>
      </c>
      <c r="FP9" t="s">
        <v>212</v>
      </c>
      <c r="FQ9" t="s">
        <v>22</v>
      </c>
      <c r="FR9" t="s">
        <v>22</v>
      </c>
      <c r="FS9" t="s">
        <v>23</v>
      </c>
      <c r="FT9" t="s">
        <v>22</v>
      </c>
      <c r="FU9" t="s">
        <v>22</v>
      </c>
      <c r="FV9" t="s">
        <v>30</v>
      </c>
      <c r="FW9" t="s">
        <v>221</v>
      </c>
      <c r="FX9" t="s">
        <v>220</v>
      </c>
      <c r="FY9" s="1" t="s">
        <v>219</v>
      </c>
    </row>
    <row r="10" spans="1:181">
      <c r="A10" s="156">
        <v>7</v>
      </c>
      <c r="B10" t="s">
        <v>0</v>
      </c>
      <c r="C10" t="s">
        <v>4</v>
      </c>
      <c r="D10">
        <v>30</v>
      </c>
      <c r="E10" t="s">
        <v>694</v>
      </c>
      <c r="F10" t="s">
        <v>11</v>
      </c>
      <c r="G10" t="s">
        <v>12</v>
      </c>
      <c r="H10" t="s">
        <v>16</v>
      </c>
      <c r="I10" t="s">
        <v>20</v>
      </c>
      <c r="J10" s="1" t="s">
        <v>23</v>
      </c>
      <c r="K10" t="s">
        <v>22</v>
      </c>
      <c r="L10" t="s">
        <v>25</v>
      </c>
      <c r="M10" t="s">
        <v>38</v>
      </c>
      <c r="N10" t="s">
        <v>41</v>
      </c>
      <c r="O10" s="60" t="s">
        <v>267</v>
      </c>
      <c r="P10" t="s">
        <v>23</v>
      </c>
      <c r="Q10" t="s">
        <v>24</v>
      </c>
      <c r="R10" t="s">
        <v>30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  <c r="X10" s="60" t="s">
        <v>23</v>
      </c>
      <c r="Y10" t="s">
        <v>23</v>
      </c>
      <c r="Z10" s="60" t="s">
        <v>267</v>
      </c>
      <c r="AA10" s="60" t="s">
        <v>267</v>
      </c>
      <c r="AB10" s="60" t="s">
        <v>267</v>
      </c>
      <c r="AC10" t="s">
        <v>50</v>
      </c>
      <c r="AD10" t="s">
        <v>36</v>
      </c>
      <c r="AE10" s="2" t="s">
        <v>33</v>
      </c>
      <c r="AF10" s="2" t="s">
        <v>32</v>
      </c>
      <c r="AG10" t="s">
        <v>23</v>
      </c>
      <c r="AH10" t="s">
        <v>30</v>
      </c>
      <c r="AI10" t="s">
        <v>30</v>
      </c>
      <c r="AJ10" t="s">
        <v>30</v>
      </c>
      <c r="AK10" t="s">
        <v>30</v>
      </c>
      <c r="AL10" t="s">
        <v>30</v>
      </c>
      <c r="AM10" t="s">
        <v>30</v>
      </c>
      <c r="AN10" s="60" t="s">
        <v>30</v>
      </c>
      <c r="AO10" t="s">
        <v>24</v>
      </c>
      <c r="AP10" t="s">
        <v>24</v>
      </c>
      <c r="AQ10" t="s">
        <v>24</v>
      </c>
      <c r="AR10" s="1" t="s">
        <v>24</v>
      </c>
      <c r="AS10" t="s">
        <v>56</v>
      </c>
      <c r="AT10" t="s">
        <v>59</v>
      </c>
      <c r="AU10" t="s">
        <v>62</v>
      </c>
      <c r="AV10" t="s">
        <v>61</v>
      </c>
      <c r="AW10" t="s">
        <v>62</v>
      </c>
      <c r="AX10" t="s">
        <v>62</v>
      </c>
      <c r="AY10" t="s">
        <v>62</v>
      </c>
      <c r="AZ10" t="s">
        <v>63</v>
      </c>
      <c r="BA10" t="s">
        <v>63</v>
      </c>
      <c r="BB10" t="s">
        <v>62</v>
      </c>
      <c r="BC10" t="s">
        <v>62</v>
      </c>
      <c r="BD10" t="s">
        <v>61</v>
      </c>
      <c r="BE10" t="s">
        <v>61</v>
      </c>
      <c r="BF10" t="s">
        <v>63</v>
      </c>
      <c r="BG10" t="s">
        <v>67</v>
      </c>
      <c r="BH10" t="s">
        <v>67</v>
      </c>
      <c r="BI10" t="s">
        <v>68</v>
      </c>
      <c r="BJ10" t="s">
        <v>69</v>
      </c>
      <c r="BK10" t="s">
        <v>67</v>
      </c>
      <c r="BL10" t="s">
        <v>23</v>
      </c>
      <c r="BM10" t="s">
        <v>67</v>
      </c>
      <c r="BN10" t="s">
        <v>68</v>
      </c>
      <c r="BO10" t="s">
        <v>68</v>
      </c>
      <c r="BP10" t="s">
        <v>69</v>
      </c>
      <c r="BQ10" t="s">
        <v>23</v>
      </c>
      <c r="BR10" s="1" t="s">
        <v>30</v>
      </c>
      <c r="BS10" s="3" t="s">
        <v>137</v>
      </c>
      <c r="BT10" s="3" t="s">
        <v>138</v>
      </c>
      <c r="BU10" s="3" t="s">
        <v>139</v>
      </c>
      <c r="BV10" s="3" t="s">
        <v>128</v>
      </c>
      <c r="BW10" s="3" t="s">
        <v>130</v>
      </c>
      <c r="BX10" s="66" t="s">
        <v>267</v>
      </c>
      <c r="BY10" s="3" t="s">
        <v>22</v>
      </c>
      <c r="BZ10" s="3" t="s">
        <v>23</v>
      </c>
      <c r="CA10" s="3" t="s">
        <v>22</v>
      </c>
      <c r="CB10" s="3" t="s">
        <v>23</v>
      </c>
      <c r="CC10" s="3" t="s">
        <v>22</v>
      </c>
      <c r="CD10" s="3" t="s">
        <v>23</v>
      </c>
      <c r="CE10" s="3" t="s">
        <v>23</v>
      </c>
      <c r="CF10" s="3" t="s">
        <v>23</v>
      </c>
      <c r="CG10" s="3" t="s">
        <v>30</v>
      </c>
      <c r="CH10" s="3" t="s">
        <v>30</v>
      </c>
      <c r="CI10" s="3" t="s">
        <v>30</v>
      </c>
      <c r="CJ10" s="3" t="s">
        <v>30</v>
      </c>
      <c r="CK10" s="3" t="s">
        <v>30</v>
      </c>
      <c r="CL10" s="3" t="s">
        <v>30</v>
      </c>
      <c r="CM10" s="3" t="s">
        <v>22</v>
      </c>
      <c r="CN10" s="3" t="s">
        <v>22</v>
      </c>
      <c r="CO10" s="3" t="s">
        <v>23</v>
      </c>
      <c r="CP10" s="3" t="s">
        <v>23</v>
      </c>
      <c r="CQ10" s="3" t="s">
        <v>22</v>
      </c>
      <c r="CR10" s="3" t="s">
        <v>30</v>
      </c>
      <c r="CS10" s="3" t="s">
        <v>30</v>
      </c>
      <c r="CT10" s="3" t="s">
        <v>30</v>
      </c>
      <c r="CU10" s="3" t="s">
        <v>30</v>
      </c>
      <c r="CV10" s="3" t="s">
        <v>30</v>
      </c>
      <c r="CW10" s="3" t="s">
        <v>30</v>
      </c>
      <c r="CX10" s="3" t="s">
        <v>22</v>
      </c>
      <c r="CY10" s="3" t="s">
        <v>22</v>
      </c>
      <c r="CZ10" s="3" t="s">
        <v>22</v>
      </c>
      <c r="DA10" s="3" t="s">
        <v>22</v>
      </c>
      <c r="DB10" s="3" t="s">
        <v>150</v>
      </c>
      <c r="DC10" s="3" t="s">
        <v>23</v>
      </c>
      <c r="DD10" s="3" t="s">
        <v>23</v>
      </c>
      <c r="DE10" s="3" t="s">
        <v>23</v>
      </c>
      <c r="DF10" s="3" t="s">
        <v>22</v>
      </c>
      <c r="DG10" s="3" t="s">
        <v>22</v>
      </c>
      <c r="DH10" s="3" t="s">
        <v>23</v>
      </c>
      <c r="DI10" s="3" t="s">
        <v>22</v>
      </c>
      <c r="DJ10" s="3" t="s">
        <v>23</v>
      </c>
      <c r="DK10" s="3" t="s">
        <v>23</v>
      </c>
      <c r="DL10" s="3" t="s">
        <v>23</v>
      </c>
      <c r="DM10" s="3" t="s">
        <v>22</v>
      </c>
      <c r="DN10" s="3" t="s">
        <v>30</v>
      </c>
      <c r="DO10" s="3" t="s">
        <v>22</v>
      </c>
      <c r="DP10" s="3" t="s">
        <v>23</v>
      </c>
      <c r="DQ10" s="3" t="s">
        <v>23</v>
      </c>
      <c r="DR10" s="3" t="s">
        <v>23</v>
      </c>
      <c r="DS10" s="3" t="s">
        <v>22</v>
      </c>
      <c r="DT10" s="3" t="s">
        <v>30</v>
      </c>
      <c r="DU10" s="3" t="s">
        <v>22</v>
      </c>
      <c r="DV10" s="3" t="s">
        <v>22</v>
      </c>
      <c r="DW10" s="3" t="s">
        <v>22</v>
      </c>
      <c r="DX10" s="3" t="s">
        <v>23</v>
      </c>
      <c r="DY10" s="3" t="s">
        <v>23</v>
      </c>
      <c r="DZ10" s="3" t="s">
        <v>23</v>
      </c>
      <c r="EA10" s="3" t="s">
        <v>162</v>
      </c>
      <c r="EB10" s="3" t="s">
        <v>166</v>
      </c>
      <c r="EC10" s="1" t="s">
        <v>23</v>
      </c>
      <c r="ED10" s="3" t="s">
        <v>24</v>
      </c>
      <c r="EE10" s="66" t="s">
        <v>30</v>
      </c>
      <c r="EF10" s="66" t="s">
        <v>30</v>
      </c>
      <c r="EG10" s="3" t="s">
        <v>23</v>
      </c>
      <c r="EH10" s="66" t="s">
        <v>30</v>
      </c>
      <c r="EI10" s="66" t="s">
        <v>30</v>
      </c>
      <c r="EJ10" s="3" t="s">
        <v>22</v>
      </c>
      <c r="EK10" s="66" t="s">
        <v>24</v>
      </c>
      <c r="EL10" s="66" t="s">
        <v>24</v>
      </c>
      <c r="EM10" s="3" t="s">
        <v>22</v>
      </c>
      <c r="EN10" s="66" t="s">
        <v>24</v>
      </c>
      <c r="EO10" s="66" t="s">
        <v>24</v>
      </c>
      <c r="EP10" s="66" t="s">
        <v>24</v>
      </c>
      <c r="EQ10" s="3" t="s">
        <v>23</v>
      </c>
      <c r="ER10" s="66" t="s">
        <v>24</v>
      </c>
      <c r="ES10" s="66" t="s">
        <v>24</v>
      </c>
      <c r="ET10" s="66" t="s">
        <v>24</v>
      </c>
      <c r="EU10" s="3" t="s">
        <v>22</v>
      </c>
      <c r="EV10" s="3" t="s">
        <v>273</v>
      </c>
      <c r="EW10" s="1" t="s">
        <v>22</v>
      </c>
      <c r="EX10" t="s">
        <v>230</v>
      </c>
      <c r="EY10" s="60" t="s">
        <v>24</v>
      </c>
      <c r="EZ10" s="60" t="s">
        <v>24</v>
      </c>
      <c r="FA10" s="66" t="s">
        <v>22</v>
      </c>
      <c r="FB10" s="66" t="s">
        <v>23</v>
      </c>
      <c r="FC10" s="66" t="s">
        <v>233</v>
      </c>
      <c r="FD10" t="s">
        <v>221</v>
      </c>
      <c r="FE10" t="s">
        <v>220</v>
      </c>
      <c r="FF10" s="5" t="s">
        <v>219</v>
      </c>
      <c r="FG10" s="3" t="s">
        <v>225</v>
      </c>
      <c r="FH10" s="3" t="s">
        <v>225</v>
      </c>
      <c r="FI10" s="3" t="s">
        <v>224</v>
      </c>
      <c r="FJ10" t="s">
        <v>219</v>
      </c>
      <c r="FK10" t="s">
        <v>220</v>
      </c>
      <c r="FL10" s="5" t="s">
        <v>221</v>
      </c>
      <c r="FM10" s="3" t="s">
        <v>226</v>
      </c>
      <c r="FN10" s="3" t="s">
        <v>226</v>
      </c>
      <c r="FO10" s="3" t="s">
        <v>224</v>
      </c>
      <c r="FP10" t="s">
        <v>212</v>
      </c>
      <c r="FQ10" t="s">
        <v>22</v>
      </c>
      <c r="FR10" t="s">
        <v>23</v>
      </c>
      <c r="FS10" t="s">
        <v>23</v>
      </c>
      <c r="FT10" t="s">
        <v>23</v>
      </c>
      <c r="FU10" t="s">
        <v>23</v>
      </c>
      <c r="FV10" t="s">
        <v>30</v>
      </c>
      <c r="FW10" t="s">
        <v>221</v>
      </c>
      <c r="FX10" t="s">
        <v>220</v>
      </c>
      <c r="FY10" s="1" t="s">
        <v>219</v>
      </c>
    </row>
    <row r="11" spans="1:181">
      <c r="A11" s="156">
        <v>8</v>
      </c>
      <c r="B11" t="s">
        <v>7</v>
      </c>
      <c r="C11" t="s">
        <v>5</v>
      </c>
      <c r="D11">
        <v>39</v>
      </c>
      <c r="E11" t="s">
        <v>695</v>
      </c>
      <c r="F11" t="s">
        <v>10</v>
      </c>
      <c r="G11" t="s">
        <v>13</v>
      </c>
      <c r="H11" t="s">
        <v>17</v>
      </c>
      <c r="I11" t="s">
        <v>20</v>
      </c>
      <c r="J11" s="1" t="s">
        <v>23</v>
      </c>
      <c r="K11" t="s">
        <v>22</v>
      </c>
      <c r="L11" t="s">
        <v>25</v>
      </c>
      <c r="M11" t="s">
        <v>38</v>
      </c>
      <c r="N11" s="60" t="s">
        <v>267</v>
      </c>
      <c r="O11" s="60" t="s">
        <v>267</v>
      </c>
      <c r="P11" t="s">
        <v>23</v>
      </c>
      <c r="Q11" t="s">
        <v>24</v>
      </c>
      <c r="R11" t="s">
        <v>30</v>
      </c>
      <c r="S11" t="s">
        <v>23</v>
      </c>
      <c r="T11" t="s">
        <v>23</v>
      </c>
      <c r="U11" t="s">
        <v>23</v>
      </c>
      <c r="V11" t="s">
        <v>23</v>
      </c>
      <c r="W11" t="s">
        <v>23</v>
      </c>
      <c r="X11" s="60" t="s">
        <v>23</v>
      </c>
      <c r="Y11" t="s">
        <v>23</v>
      </c>
      <c r="Z11" s="60" t="s">
        <v>267</v>
      </c>
      <c r="AA11" s="60" t="s">
        <v>267</v>
      </c>
      <c r="AB11" s="60" t="s">
        <v>267</v>
      </c>
      <c r="AC11" t="s">
        <v>49</v>
      </c>
      <c r="AD11" t="s">
        <v>36</v>
      </c>
      <c r="AE11" s="2" t="s">
        <v>33</v>
      </c>
      <c r="AF11" s="2" t="s">
        <v>32</v>
      </c>
      <c r="AG11" t="s">
        <v>23</v>
      </c>
      <c r="AH11" t="s">
        <v>30</v>
      </c>
      <c r="AI11" t="s">
        <v>30</v>
      </c>
      <c r="AJ11" t="s">
        <v>30</v>
      </c>
      <c r="AK11" t="s">
        <v>30</v>
      </c>
      <c r="AL11" t="s">
        <v>30</v>
      </c>
      <c r="AM11" t="s">
        <v>30</v>
      </c>
      <c r="AN11" s="60" t="s">
        <v>30</v>
      </c>
      <c r="AO11" t="s">
        <v>24</v>
      </c>
      <c r="AP11" t="s">
        <v>24</v>
      </c>
      <c r="AQ11" t="s">
        <v>24</v>
      </c>
      <c r="AR11" s="1" t="s">
        <v>24</v>
      </c>
      <c r="AS11" t="s">
        <v>56</v>
      </c>
      <c r="AT11" t="s">
        <v>60</v>
      </c>
      <c r="AU11" t="s">
        <v>62</v>
      </c>
      <c r="AV11" t="s">
        <v>61</v>
      </c>
      <c r="AW11" t="s">
        <v>62</v>
      </c>
      <c r="AX11" t="s">
        <v>62</v>
      </c>
      <c r="AY11" t="s">
        <v>62</v>
      </c>
      <c r="AZ11" t="s">
        <v>63</v>
      </c>
      <c r="BA11" t="s">
        <v>63</v>
      </c>
      <c r="BB11" t="s">
        <v>62</v>
      </c>
      <c r="BC11" t="s">
        <v>62</v>
      </c>
      <c r="BD11" t="s">
        <v>61</v>
      </c>
      <c r="BE11" t="s">
        <v>61</v>
      </c>
      <c r="BF11" t="s">
        <v>63</v>
      </c>
      <c r="BG11" t="s">
        <v>66</v>
      </c>
      <c r="BH11" t="s">
        <v>67</v>
      </c>
      <c r="BI11" t="s">
        <v>68</v>
      </c>
      <c r="BJ11" t="s">
        <v>69</v>
      </c>
      <c r="BK11" t="s">
        <v>67</v>
      </c>
      <c r="BL11" t="s">
        <v>23</v>
      </c>
      <c r="BM11" t="s">
        <v>67</v>
      </c>
      <c r="BN11" t="s">
        <v>68</v>
      </c>
      <c r="BO11" t="s">
        <v>68</v>
      </c>
      <c r="BP11" t="s">
        <v>67</v>
      </c>
      <c r="BQ11" t="s">
        <v>23</v>
      </c>
      <c r="BR11" s="1" t="s">
        <v>30</v>
      </c>
      <c r="BS11" s="3" t="s">
        <v>138</v>
      </c>
      <c r="BT11" s="3" t="s">
        <v>137</v>
      </c>
      <c r="BU11" s="3" t="s">
        <v>139</v>
      </c>
      <c r="BV11" s="3" t="s">
        <v>132</v>
      </c>
      <c r="BW11" s="3" t="s">
        <v>130</v>
      </c>
      <c r="BX11" s="66" t="s">
        <v>267</v>
      </c>
      <c r="BY11" s="3" t="s">
        <v>23</v>
      </c>
      <c r="BZ11" s="3" t="s">
        <v>23</v>
      </c>
      <c r="CA11" s="3" t="s">
        <v>23</v>
      </c>
      <c r="CB11" s="3" t="s">
        <v>22</v>
      </c>
      <c r="CC11" s="3" t="s">
        <v>22</v>
      </c>
      <c r="CD11" s="3" t="s">
        <v>23</v>
      </c>
      <c r="CE11" s="3" t="s">
        <v>23</v>
      </c>
      <c r="CF11" s="3" t="s">
        <v>23</v>
      </c>
      <c r="CG11" s="3" t="s">
        <v>22</v>
      </c>
      <c r="CH11" t="s">
        <v>22</v>
      </c>
      <c r="CI11" t="s">
        <v>22</v>
      </c>
      <c r="CJ11" s="3" t="s">
        <v>22</v>
      </c>
      <c r="CK11" s="3" t="s">
        <v>22</v>
      </c>
      <c r="CL11" s="3" t="s">
        <v>23</v>
      </c>
      <c r="CM11" s="3" t="s">
        <v>23</v>
      </c>
      <c r="CN11" s="3" t="s">
        <v>22</v>
      </c>
      <c r="CO11" s="3" t="s">
        <v>23</v>
      </c>
      <c r="CP11" s="3" t="s">
        <v>23</v>
      </c>
      <c r="CQ11" s="3" t="s">
        <v>146</v>
      </c>
      <c r="CR11" s="3" t="s">
        <v>23</v>
      </c>
      <c r="CS11" s="3" t="s">
        <v>22</v>
      </c>
      <c r="CT11" s="3" t="s">
        <v>22</v>
      </c>
      <c r="CU11" s="3" t="s">
        <v>23</v>
      </c>
      <c r="CV11" s="3" t="s">
        <v>22</v>
      </c>
      <c r="CW11" s="3" t="s">
        <v>23</v>
      </c>
      <c r="CX11" s="3" t="s">
        <v>23</v>
      </c>
      <c r="CY11" s="3" t="s">
        <v>22</v>
      </c>
      <c r="CZ11" s="3" t="s">
        <v>22</v>
      </c>
      <c r="DA11" s="3" t="s">
        <v>22</v>
      </c>
      <c r="DB11" s="3" t="s">
        <v>150</v>
      </c>
      <c r="DC11" s="3" t="s">
        <v>23</v>
      </c>
      <c r="DD11" s="3" t="s">
        <v>22</v>
      </c>
      <c r="DE11" s="3" t="s">
        <v>22</v>
      </c>
      <c r="DF11" s="3" t="s">
        <v>22</v>
      </c>
      <c r="DG11" s="3" t="s">
        <v>22</v>
      </c>
      <c r="DH11" t="s">
        <v>23</v>
      </c>
      <c r="DI11" s="3" t="s">
        <v>23</v>
      </c>
      <c r="DJ11" s="3" t="s">
        <v>23</v>
      </c>
      <c r="DK11" s="3" t="s">
        <v>23</v>
      </c>
      <c r="DL11" s="3" t="s">
        <v>22</v>
      </c>
      <c r="DM11" s="3" t="s">
        <v>22</v>
      </c>
      <c r="DN11" s="3" t="s">
        <v>30</v>
      </c>
      <c r="DO11" s="3" t="s">
        <v>23</v>
      </c>
      <c r="DP11" s="3" t="s">
        <v>23</v>
      </c>
      <c r="DQ11" s="3" t="s">
        <v>23</v>
      </c>
      <c r="DR11" s="3" t="s">
        <v>22</v>
      </c>
      <c r="DS11" s="3" t="s">
        <v>22</v>
      </c>
      <c r="DT11" s="3" t="s">
        <v>30</v>
      </c>
      <c r="DU11" s="3" t="s">
        <v>23</v>
      </c>
      <c r="DV11" s="3" t="s">
        <v>23</v>
      </c>
      <c r="DW11" s="3" t="s">
        <v>22</v>
      </c>
      <c r="DX11" s="3" t="s">
        <v>22</v>
      </c>
      <c r="DY11" s="3" t="s">
        <v>23</v>
      </c>
      <c r="DZ11" s="3" t="s">
        <v>159</v>
      </c>
      <c r="EA11" s="3" t="s">
        <v>162</v>
      </c>
      <c r="EB11" s="3" t="s">
        <v>166</v>
      </c>
      <c r="EC11" s="1" t="s">
        <v>23</v>
      </c>
      <c r="ED11" s="3" t="s">
        <v>24</v>
      </c>
      <c r="EE11" s="66" t="s">
        <v>30</v>
      </c>
      <c r="EF11" s="66" t="s">
        <v>30</v>
      </c>
      <c r="EG11" s="3" t="s">
        <v>23</v>
      </c>
      <c r="EH11" s="66" t="s">
        <v>30</v>
      </c>
      <c r="EI11" s="66" t="s">
        <v>30</v>
      </c>
      <c r="EJ11" s="3" t="s">
        <v>23</v>
      </c>
      <c r="EK11" s="66" t="s">
        <v>30</v>
      </c>
      <c r="EL11" s="66" t="s">
        <v>30</v>
      </c>
      <c r="EM11" s="3" t="s">
        <v>23</v>
      </c>
      <c r="EN11" s="66" t="s">
        <v>24</v>
      </c>
      <c r="EO11" s="66" t="s">
        <v>24</v>
      </c>
      <c r="EP11" s="66" t="s">
        <v>24</v>
      </c>
      <c r="EQ11" s="3" t="s">
        <v>23</v>
      </c>
      <c r="ER11" s="66" t="s">
        <v>24</v>
      </c>
      <c r="ES11" s="66" t="s">
        <v>24</v>
      </c>
      <c r="ET11" s="66" t="s">
        <v>24</v>
      </c>
      <c r="EU11" s="3" t="s">
        <v>22</v>
      </c>
      <c r="EV11" s="3" t="s">
        <v>273</v>
      </c>
      <c r="EW11" s="1" t="s">
        <v>22</v>
      </c>
      <c r="EX11" t="s">
        <v>229</v>
      </c>
      <c r="EY11" t="s">
        <v>232</v>
      </c>
      <c r="EZ11" t="s">
        <v>237</v>
      </c>
      <c r="FA11" s="66" t="s">
        <v>22</v>
      </c>
      <c r="FB11" s="66" t="s">
        <v>22</v>
      </c>
      <c r="FC11" s="66" t="s">
        <v>23</v>
      </c>
      <c r="FD11" t="s">
        <v>220</v>
      </c>
      <c r="FE11" t="s">
        <v>221</v>
      </c>
      <c r="FF11" s="5" t="s">
        <v>223</v>
      </c>
      <c r="FG11" s="3" t="s">
        <v>226</v>
      </c>
      <c r="FH11" s="3" t="s">
        <v>225</v>
      </c>
      <c r="FI11" s="3" t="s">
        <v>224</v>
      </c>
      <c r="FJ11" t="s">
        <v>220</v>
      </c>
      <c r="FK11" t="s">
        <v>221</v>
      </c>
      <c r="FL11" s="5" t="s">
        <v>219</v>
      </c>
      <c r="FM11" s="3" t="s">
        <v>226</v>
      </c>
      <c r="FN11" s="3" t="s">
        <v>224</v>
      </c>
      <c r="FO11" s="3" t="s">
        <v>224</v>
      </c>
      <c r="FP11" t="s">
        <v>211</v>
      </c>
      <c r="FQ11" t="s">
        <v>22</v>
      </c>
      <c r="FR11" t="s">
        <v>22</v>
      </c>
      <c r="FS11" t="s">
        <v>23</v>
      </c>
      <c r="FT11" t="s">
        <v>22</v>
      </c>
      <c r="FU11" t="s">
        <v>22</v>
      </c>
      <c r="FV11" t="s">
        <v>30</v>
      </c>
      <c r="FW11" t="s">
        <v>220</v>
      </c>
      <c r="FX11" t="s">
        <v>221</v>
      </c>
      <c r="FY11" s="1" t="s">
        <v>30</v>
      </c>
    </row>
    <row r="12" spans="1:181">
      <c r="A12" s="156">
        <v>9</v>
      </c>
      <c r="B12" t="s">
        <v>7</v>
      </c>
      <c r="C12" t="s">
        <v>5</v>
      </c>
      <c r="D12">
        <v>38</v>
      </c>
      <c r="E12" t="s">
        <v>695</v>
      </c>
      <c r="F12" t="s">
        <v>11</v>
      </c>
      <c r="G12" t="s">
        <v>13</v>
      </c>
      <c r="H12" t="s">
        <v>18</v>
      </c>
      <c r="I12" t="s">
        <v>20</v>
      </c>
      <c r="J12" s="1" t="s">
        <v>23</v>
      </c>
      <c r="K12" t="s">
        <v>23</v>
      </c>
      <c r="L12" t="s">
        <v>611</v>
      </c>
      <c r="M12" t="s">
        <v>38</v>
      </c>
      <c r="N12" t="s">
        <v>267</v>
      </c>
      <c r="O12" s="60" t="s">
        <v>267</v>
      </c>
      <c r="P12" t="s">
        <v>23</v>
      </c>
      <c r="Q12" t="s">
        <v>24</v>
      </c>
      <c r="R12" t="s">
        <v>30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  <c r="X12" s="60" t="s">
        <v>23</v>
      </c>
      <c r="Y12" t="s">
        <v>23</v>
      </c>
      <c r="Z12" s="60" t="s">
        <v>267</v>
      </c>
      <c r="AA12" s="60" t="s">
        <v>267</v>
      </c>
      <c r="AB12" s="60" t="s">
        <v>267</v>
      </c>
      <c r="AC12" t="s">
        <v>49</v>
      </c>
      <c r="AD12" t="s">
        <v>35</v>
      </c>
      <c r="AE12" s="2" t="s">
        <v>33</v>
      </c>
      <c r="AF12" s="2" t="s">
        <v>33</v>
      </c>
      <c r="AG12" t="s">
        <v>23</v>
      </c>
      <c r="AH12" t="s">
        <v>30</v>
      </c>
      <c r="AI12" t="s">
        <v>30</v>
      </c>
      <c r="AJ12" t="s">
        <v>30</v>
      </c>
      <c r="AK12" t="s">
        <v>30</v>
      </c>
      <c r="AL12" t="s">
        <v>30</v>
      </c>
      <c r="AM12" t="s">
        <v>30</v>
      </c>
      <c r="AN12" s="60" t="s">
        <v>30</v>
      </c>
      <c r="AO12" t="s">
        <v>24</v>
      </c>
      <c r="AP12" t="s">
        <v>24</v>
      </c>
      <c r="AQ12" t="s">
        <v>24</v>
      </c>
      <c r="AR12" s="1" t="s">
        <v>24</v>
      </c>
      <c r="AS12" t="s">
        <v>53</v>
      </c>
      <c r="AT12" t="s">
        <v>60</v>
      </c>
      <c r="AU12" t="s">
        <v>62</v>
      </c>
      <c r="AV12" t="s">
        <v>61</v>
      </c>
      <c r="AW12" t="s">
        <v>62</v>
      </c>
      <c r="AX12" t="s">
        <v>62</v>
      </c>
      <c r="AY12" t="s">
        <v>62</v>
      </c>
      <c r="AZ12" t="s">
        <v>63</v>
      </c>
      <c r="BA12" t="s">
        <v>63</v>
      </c>
      <c r="BB12" t="s">
        <v>62</v>
      </c>
      <c r="BC12" t="s">
        <v>62</v>
      </c>
      <c r="BD12" t="s">
        <v>61</v>
      </c>
      <c r="BE12" t="s">
        <v>61</v>
      </c>
      <c r="BF12" t="s">
        <v>63</v>
      </c>
      <c r="BG12" t="s">
        <v>66</v>
      </c>
      <c r="BH12" t="s">
        <v>67</v>
      </c>
      <c r="BI12" t="s">
        <v>68</v>
      </c>
      <c r="BJ12" t="s">
        <v>69</v>
      </c>
      <c r="BK12" t="s">
        <v>67</v>
      </c>
      <c r="BL12" t="s">
        <v>66</v>
      </c>
      <c r="BM12" t="s">
        <v>69</v>
      </c>
      <c r="BN12" t="s">
        <v>68</v>
      </c>
      <c r="BO12" t="s">
        <v>68</v>
      </c>
      <c r="BP12" t="s">
        <v>67</v>
      </c>
      <c r="BQ12" t="s">
        <v>23</v>
      </c>
      <c r="BR12" s="1" t="s">
        <v>30</v>
      </c>
      <c r="BS12" s="3" t="s">
        <v>138</v>
      </c>
      <c r="BT12" s="3" t="s">
        <v>137</v>
      </c>
      <c r="BU12" s="3" t="s">
        <v>139</v>
      </c>
      <c r="BV12" s="3" t="s">
        <v>132</v>
      </c>
      <c r="BW12" s="3" t="s">
        <v>128</v>
      </c>
      <c r="BX12" s="3" t="s">
        <v>133</v>
      </c>
      <c r="BY12" s="3" t="s">
        <v>23</v>
      </c>
      <c r="BZ12" s="3" t="s">
        <v>22</v>
      </c>
      <c r="CA12" s="3" t="s">
        <v>23</v>
      </c>
      <c r="CB12" s="3" t="s">
        <v>22</v>
      </c>
      <c r="CC12" s="3" t="s">
        <v>23</v>
      </c>
      <c r="CD12" s="3" t="s">
        <v>23</v>
      </c>
      <c r="CE12" s="3" t="s">
        <v>23</v>
      </c>
      <c r="CF12" s="3" t="s">
        <v>23</v>
      </c>
      <c r="CG12" s="3" t="s">
        <v>22</v>
      </c>
      <c r="CH12" t="s">
        <v>22</v>
      </c>
      <c r="CI12" t="s">
        <v>22</v>
      </c>
      <c r="CJ12" s="3" t="s">
        <v>22</v>
      </c>
      <c r="CK12" s="3" t="s">
        <v>22</v>
      </c>
      <c r="CL12" s="3" t="s">
        <v>23</v>
      </c>
      <c r="CM12" s="3" t="s">
        <v>23</v>
      </c>
      <c r="CN12" s="3" t="s">
        <v>22</v>
      </c>
      <c r="CO12" s="3" t="s">
        <v>23</v>
      </c>
      <c r="CP12" s="3" t="s">
        <v>23</v>
      </c>
      <c r="CQ12" s="3" t="s">
        <v>23</v>
      </c>
      <c r="CR12" s="3" t="s">
        <v>23</v>
      </c>
      <c r="CS12" s="3" t="s">
        <v>22</v>
      </c>
      <c r="CT12" s="3" t="s">
        <v>22</v>
      </c>
      <c r="CU12" s="3" t="s">
        <v>23</v>
      </c>
      <c r="CV12" s="3" t="s">
        <v>22</v>
      </c>
      <c r="CW12" s="3" t="s">
        <v>23</v>
      </c>
      <c r="CX12" s="3" t="s">
        <v>30</v>
      </c>
      <c r="CY12" s="3" t="s">
        <v>30</v>
      </c>
      <c r="CZ12" s="3" t="s">
        <v>30</v>
      </c>
      <c r="DA12" s="3" t="s">
        <v>30</v>
      </c>
      <c r="DB12" s="3" t="s">
        <v>30</v>
      </c>
      <c r="DC12" s="3" t="s">
        <v>22</v>
      </c>
      <c r="DD12" s="3" t="s">
        <v>23</v>
      </c>
      <c r="DE12" s="3" t="s">
        <v>22</v>
      </c>
      <c r="DF12" s="3" t="s">
        <v>22</v>
      </c>
      <c r="DG12" s="3" t="s">
        <v>22</v>
      </c>
      <c r="DH12" t="s">
        <v>23</v>
      </c>
      <c r="DI12" s="3" t="s">
        <v>23</v>
      </c>
      <c r="DJ12" s="3" t="s">
        <v>22</v>
      </c>
      <c r="DK12" s="3" t="s">
        <v>23</v>
      </c>
      <c r="DL12" s="3" t="s">
        <v>23</v>
      </c>
      <c r="DM12" s="3" t="s">
        <v>22</v>
      </c>
      <c r="DN12" s="3" t="s">
        <v>30</v>
      </c>
      <c r="DO12" s="3" t="s">
        <v>23</v>
      </c>
      <c r="DP12" s="3" t="s">
        <v>22</v>
      </c>
      <c r="DQ12" s="3" t="s">
        <v>23</v>
      </c>
      <c r="DR12" s="3" t="s">
        <v>23</v>
      </c>
      <c r="DS12" s="3" t="s">
        <v>22</v>
      </c>
      <c r="DT12" s="3" t="s">
        <v>30</v>
      </c>
      <c r="DU12" s="3" t="s">
        <v>22</v>
      </c>
      <c r="DV12" s="3" t="s">
        <v>22</v>
      </c>
      <c r="DW12" s="3" t="s">
        <v>23</v>
      </c>
      <c r="DX12" s="3" t="s">
        <v>23</v>
      </c>
      <c r="DY12" s="3" t="s">
        <v>23</v>
      </c>
      <c r="DZ12" s="3" t="s">
        <v>23</v>
      </c>
      <c r="EA12" s="3" t="s">
        <v>162</v>
      </c>
      <c r="EB12" s="3" t="s">
        <v>165</v>
      </c>
      <c r="EC12" s="1" t="s">
        <v>23</v>
      </c>
      <c r="ED12" s="3" t="s">
        <v>22</v>
      </c>
      <c r="EE12" s="66" t="s">
        <v>24</v>
      </c>
      <c r="EF12" s="66" t="s">
        <v>24</v>
      </c>
      <c r="EG12" s="3" t="s">
        <v>22</v>
      </c>
      <c r="EH12" s="66" t="s">
        <v>24</v>
      </c>
      <c r="EI12" s="66" t="s">
        <v>24</v>
      </c>
      <c r="EJ12" s="3" t="s">
        <v>22</v>
      </c>
      <c r="EK12" s="66" t="s">
        <v>24</v>
      </c>
      <c r="EL12" s="66" t="s">
        <v>24</v>
      </c>
      <c r="EM12" s="3" t="s">
        <v>22</v>
      </c>
      <c r="EN12" s="3" t="s">
        <v>264</v>
      </c>
      <c r="EO12" s="3" t="s">
        <v>265</v>
      </c>
      <c r="EP12" s="3" t="s">
        <v>270</v>
      </c>
      <c r="EQ12" s="3" t="s">
        <v>23</v>
      </c>
      <c r="ER12" s="66" t="s">
        <v>24</v>
      </c>
      <c r="ES12" s="66" t="s">
        <v>24</v>
      </c>
      <c r="ET12" s="66" t="s">
        <v>24</v>
      </c>
      <c r="EU12" s="3" t="s">
        <v>22</v>
      </c>
      <c r="EV12" s="3" t="s">
        <v>273</v>
      </c>
      <c r="EW12" s="1" t="s">
        <v>22</v>
      </c>
      <c r="EX12" t="s">
        <v>63</v>
      </c>
      <c r="EY12" t="s">
        <v>232</v>
      </c>
      <c r="EZ12" s="60" t="s">
        <v>24</v>
      </c>
      <c r="FA12" s="66" t="s">
        <v>22</v>
      </c>
      <c r="FB12" s="66" t="s">
        <v>23</v>
      </c>
      <c r="FC12" s="66" t="s">
        <v>23</v>
      </c>
      <c r="FD12" t="s">
        <v>219</v>
      </c>
      <c r="FE12" t="s">
        <v>221</v>
      </c>
      <c r="FF12" s="5" t="s">
        <v>223</v>
      </c>
      <c r="FG12" s="3" t="s">
        <v>224</v>
      </c>
      <c r="FH12" s="3" t="s">
        <v>226</v>
      </c>
      <c r="FI12" s="3" t="s">
        <v>227</v>
      </c>
      <c r="FJ12" t="s">
        <v>219</v>
      </c>
      <c r="FK12" t="s">
        <v>221</v>
      </c>
      <c r="FL12" s="5" t="s">
        <v>30</v>
      </c>
      <c r="FM12" s="3" t="s">
        <v>226</v>
      </c>
      <c r="FN12" s="3" t="s">
        <v>226</v>
      </c>
      <c r="FO12" s="3" t="s">
        <v>30</v>
      </c>
      <c r="FP12" t="s">
        <v>211</v>
      </c>
      <c r="FQ12" t="s">
        <v>22</v>
      </c>
      <c r="FR12" t="s">
        <v>22</v>
      </c>
      <c r="FS12" t="s">
        <v>23</v>
      </c>
      <c r="FT12" t="s">
        <v>22</v>
      </c>
      <c r="FU12" t="s">
        <v>23</v>
      </c>
      <c r="FV12" t="s">
        <v>30</v>
      </c>
      <c r="FW12" t="s">
        <v>219</v>
      </c>
      <c r="FX12" t="s">
        <v>221</v>
      </c>
      <c r="FY12" s="1" t="s">
        <v>30</v>
      </c>
    </row>
    <row r="13" spans="1:181">
      <c r="A13" s="156">
        <v>10</v>
      </c>
      <c r="B13" t="s">
        <v>3</v>
      </c>
      <c r="C13" t="s">
        <v>4</v>
      </c>
      <c r="D13">
        <v>36</v>
      </c>
      <c r="E13" t="s">
        <v>697</v>
      </c>
      <c r="F13" t="s">
        <v>9</v>
      </c>
      <c r="G13" t="s">
        <v>12</v>
      </c>
      <c r="H13" t="s">
        <v>19</v>
      </c>
      <c r="I13" t="s">
        <v>21</v>
      </c>
      <c r="J13" s="1" t="s">
        <v>22</v>
      </c>
      <c r="K13" t="s">
        <v>22</v>
      </c>
      <c r="L13" t="s">
        <v>24</v>
      </c>
      <c r="M13" t="s">
        <v>39</v>
      </c>
      <c r="N13" t="s">
        <v>40</v>
      </c>
      <c r="O13" t="s">
        <v>38</v>
      </c>
      <c r="P13" t="s">
        <v>22</v>
      </c>
      <c r="Q13" t="s">
        <v>29</v>
      </c>
      <c r="R13" t="s">
        <v>30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  <c r="X13" s="60" t="s">
        <v>621</v>
      </c>
      <c r="Y13" t="s">
        <v>22</v>
      </c>
      <c r="Z13" t="s">
        <v>44</v>
      </c>
      <c r="AA13" t="s">
        <v>46</v>
      </c>
      <c r="AB13" s="60" t="s">
        <v>267</v>
      </c>
      <c r="AC13" t="s">
        <v>51</v>
      </c>
      <c r="AD13" t="s">
        <v>37</v>
      </c>
      <c r="AE13" s="2" t="s">
        <v>31</v>
      </c>
      <c r="AF13" s="2" t="s">
        <v>33</v>
      </c>
      <c r="AG13" t="s">
        <v>22</v>
      </c>
      <c r="AH13" t="s">
        <v>23</v>
      </c>
      <c r="AI13" t="s">
        <v>23</v>
      </c>
      <c r="AJ13" t="s">
        <v>22</v>
      </c>
      <c r="AK13" t="s">
        <v>23</v>
      </c>
      <c r="AL13" t="s">
        <v>23</v>
      </c>
      <c r="AM13" t="s">
        <v>23</v>
      </c>
      <c r="AN13" s="60" t="s">
        <v>30</v>
      </c>
      <c r="AO13" t="s">
        <v>50</v>
      </c>
      <c r="AP13" t="s">
        <v>50</v>
      </c>
      <c r="AQ13" t="s">
        <v>49</v>
      </c>
      <c r="AR13" s="1" t="s">
        <v>51</v>
      </c>
      <c r="AS13" t="s">
        <v>52</v>
      </c>
      <c r="AT13" t="s">
        <v>57</v>
      </c>
      <c r="AU13" t="s">
        <v>61</v>
      </c>
      <c r="AV13" t="s">
        <v>61</v>
      </c>
      <c r="AW13" t="s">
        <v>61</v>
      </c>
      <c r="AX13" t="s">
        <v>63</v>
      </c>
      <c r="AY13" t="s">
        <v>61</v>
      </c>
      <c r="AZ13" t="s">
        <v>62</v>
      </c>
      <c r="BA13" t="s">
        <v>61</v>
      </c>
      <c r="BB13" t="s">
        <v>63</v>
      </c>
      <c r="BC13" t="s">
        <v>62</v>
      </c>
      <c r="BD13" t="s">
        <v>61</v>
      </c>
      <c r="BE13" t="s">
        <v>61</v>
      </c>
      <c r="BF13" t="s">
        <v>61</v>
      </c>
      <c r="BG13" t="s">
        <v>66</v>
      </c>
      <c r="BH13" t="s">
        <v>69</v>
      </c>
      <c r="BI13" t="s">
        <v>68</v>
      </c>
      <c r="BJ13" t="s">
        <v>68</v>
      </c>
      <c r="BK13" t="s">
        <v>69</v>
      </c>
      <c r="BL13" t="s">
        <v>69</v>
      </c>
      <c r="BM13" t="s">
        <v>69</v>
      </c>
      <c r="BN13" t="s">
        <v>69</v>
      </c>
      <c r="BO13" t="s">
        <v>68</v>
      </c>
      <c r="BP13" t="s">
        <v>69</v>
      </c>
      <c r="BQ13" t="s">
        <v>68</v>
      </c>
      <c r="BR13" s="1" t="s">
        <v>68</v>
      </c>
      <c r="BS13" s="3" t="s">
        <v>140</v>
      </c>
      <c r="BT13" s="3" t="s">
        <v>139</v>
      </c>
      <c r="BU13" s="3" t="s">
        <v>138</v>
      </c>
      <c r="BV13" s="3" t="s">
        <v>132</v>
      </c>
      <c r="BW13" s="3" t="s">
        <v>128</v>
      </c>
      <c r="BX13" s="3" t="s">
        <v>135</v>
      </c>
      <c r="BY13" s="3" t="s">
        <v>22</v>
      </c>
      <c r="BZ13" s="3" t="s">
        <v>22</v>
      </c>
      <c r="CA13" s="3" t="s">
        <v>22</v>
      </c>
      <c r="CB13" s="3" t="s">
        <v>23</v>
      </c>
      <c r="CC13" s="3" t="s">
        <v>22</v>
      </c>
      <c r="CD13" s="3" t="s">
        <v>22</v>
      </c>
      <c r="CE13" s="3" t="s">
        <v>23</v>
      </c>
      <c r="CF13" s="3" t="s">
        <v>23</v>
      </c>
      <c r="CG13" s="3" t="s">
        <v>30</v>
      </c>
      <c r="CH13" s="3" t="s">
        <v>30</v>
      </c>
      <c r="CI13" s="3" t="s">
        <v>30</v>
      </c>
      <c r="CJ13" s="3" t="s">
        <v>30</v>
      </c>
      <c r="CK13" s="3" t="s">
        <v>30</v>
      </c>
      <c r="CL13" s="3" t="s">
        <v>30</v>
      </c>
      <c r="CM13" s="3" t="s">
        <v>22</v>
      </c>
      <c r="CN13" s="3" t="s">
        <v>22</v>
      </c>
      <c r="CO13" s="3" t="s">
        <v>22</v>
      </c>
      <c r="CP13" s="3" t="s">
        <v>23</v>
      </c>
      <c r="CQ13" s="3" t="s">
        <v>22</v>
      </c>
      <c r="CR13" s="3" t="s">
        <v>30</v>
      </c>
      <c r="CS13" s="3" t="s">
        <v>30</v>
      </c>
      <c r="CT13" s="3" t="s">
        <v>30</v>
      </c>
      <c r="CU13" s="3" t="s">
        <v>30</v>
      </c>
      <c r="CV13" s="3" t="s">
        <v>30</v>
      </c>
      <c r="CW13" s="3" t="s">
        <v>30</v>
      </c>
      <c r="CX13" s="3" t="s">
        <v>22</v>
      </c>
      <c r="CY13" s="3" t="s">
        <v>22</v>
      </c>
      <c r="CZ13" s="3" t="s">
        <v>22</v>
      </c>
      <c r="DA13" s="3" t="s">
        <v>22</v>
      </c>
      <c r="DB13" s="3" t="s">
        <v>148</v>
      </c>
      <c r="DC13" s="3" t="s">
        <v>23</v>
      </c>
      <c r="DD13" s="3" t="s">
        <v>22</v>
      </c>
      <c r="DE13" s="3" t="s">
        <v>22</v>
      </c>
      <c r="DF13" s="3" t="s">
        <v>22</v>
      </c>
      <c r="DG13" s="3" t="s">
        <v>23</v>
      </c>
      <c r="DH13" s="3" t="s">
        <v>153</v>
      </c>
      <c r="DI13" s="3" t="s">
        <v>22</v>
      </c>
      <c r="DJ13" s="3" t="s">
        <v>22</v>
      </c>
      <c r="DK13" s="3" t="s">
        <v>23</v>
      </c>
      <c r="DL13" s="3" t="s">
        <v>23</v>
      </c>
      <c r="DM13" s="3" t="s">
        <v>23</v>
      </c>
      <c r="DN13" s="3" t="s">
        <v>154</v>
      </c>
      <c r="DO13" s="3" t="s">
        <v>22</v>
      </c>
      <c r="DP13" s="3" t="s">
        <v>22</v>
      </c>
      <c r="DQ13" s="3" t="s">
        <v>23</v>
      </c>
      <c r="DR13" s="3" t="s">
        <v>23</v>
      </c>
      <c r="DS13" s="3" t="s">
        <v>23</v>
      </c>
      <c r="DT13" s="3" t="s">
        <v>155</v>
      </c>
      <c r="DU13" s="3" t="s">
        <v>22</v>
      </c>
      <c r="DV13" s="3" t="s">
        <v>23</v>
      </c>
      <c r="DW13" s="3" t="s">
        <v>23</v>
      </c>
      <c r="DX13" s="3" t="s">
        <v>23</v>
      </c>
      <c r="DY13" s="3" t="s">
        <v>22</v>
      </c>
      <c r="DZ13" s="3" t="s">
        <v>23</v>
      </c>
      <c r="EA13" s="3" t="s">
        <v>164</v>
      </c>
      <c r="EB13" s="3" t="s">
        <v>165</v>
      </c>
      <c r="EC13" s="1" t="s">
        <v>22</v>
      </c>
      <c r="ED13" s="3" t="s">
        <v>22</v>
      </c>
      <c r="EE13" s="66" t="s">
        <v>24</v>
      </c>
      <c r="EF13" s="66" t="s">
        <v>24</v>
      </c>
      <c r="EG13" s="3" t="s">
        <v>22</v>
      </c>
      <c r="EH13" s="66" t="s">
        <v>24</v>
      </c>
      <c r="EI13" s="66" t="s">
        <v>24</v>
      </c>
      <c r="EJ13" s="3" t="s">
        <v>22</v>
      </c>
      <c r="EK13" s="66" t="s">
        <v>24</v>
      </c>
      <c r="EL13" s="66" t="s">
        <v>24</v>
      </c>
      <c r="EM13" s="3" t="s">
        <v>22</v>
      </c>
      <c r="EN13" s="3" t="s">
        <v>264</v>
      </c>
      <c r="EO13" s="3" t="s">
        <v>265</v>
      </c>
      <c r="EP13" s="3" t="s">
        <v>270</v>
      </c>
      <c r="EQ13" s="3" t="s">
        <v>23</v>
      </c>
      <c r="ER13" s="66" t="s">
        <v>24</v>
      </c>
      <c r="ES13" s="66" t="s">
        <v>24</v>
      </c>
      <c r="ET13" s="66" t="s">
        <v>24</v>
      </c>
      <c r="EU13" s="3" t="s">
        <v>22</v>
      </c>
      <c r="EV13" s="3" t="s">
        <v>272</v>
      </c>
      <c r="EW13" s="1" t="s">
        <v>22</v>
      </c>
      <c r="EX13" t="s">
        <v>230</v>
      </c>
      <c r="EY13" s="60" t="s">
        <v>24</v>
      </c>
      <c r="EZ13" s="60" t="s">
        <v>24</v>
      </c>
      <c r="FA13" s="66" t="s">
        <v>22</v>
      </c>
      <c r="FB13" s="66" t="s">
        <v>22</v>
      </c>
      <c r="FC13" s="66" t="s">
        <v>233</v>
      </c>
      <c r="FD13" t="s">
        <v>219</v>
      </c>
      <c r="FE13" t="s">
        <v>221</v>
      </c>
      <c r="FF13" s="5" t="s">
        <v>30</v>
      </c>
      <c r="FG13" s="3" t="s">
        <v>224</v>
      </c>
      <c r="FH13" s="3" t="s">
        <v>224</v>
      </c>
      <c r="FI13" s="3" t="s">
        <v>30</v>
      </c>
      <c r="FJ13" t="s">
        <v>219</v>
      </c>
      <c r="FK13" t="s">
        <v>221</v>
      </c>
      <c r="FL13" s="5" t="s">
        <v>30</v>
      </c>
      <c r="FM13" t="s">
        <v>226</v>
      </c>
      <c r="FN13" s="3" t="s">
        <v>226</v>
      </c>
      <c r="FO13" s="3" t="s">
        <v>30</v>
      </c>
      <c r="FP13" t="s">
        <v>212</v>
      </c>
      <c r="FQ13" t="s">
        <v>22</v>
      </c>
      <c r="FR13" t="s">
        <v>22</v>
      </c>
      <c r="FS13" t="s">
        <v>23</v>
      </c>
      <c r="FT13" t="s">
        <v>22</v>
      </c>
      <c r="FU13" t="s">
        <v>22</v>
      </c>
      <c r="FV13" t="s">
        <v>30</v>
      </c>
      <c r="FW13" t="s">
        <v>220</v>
      </c>
      <c r="FX13" t="s">
        <v>221</v>
      </c>
      <c r="FY13" s="1" t="s">
        <v>30</v>
      </c>
    </row>
    <row r="14" spans="1:181">
      <c r="DW14" s="3"/>
      <c r="FG14" s="3"/>
      <c r="FH14" s="3"/>
      <c r="FI14" s="3"/>
      <c r="FL14" s="5"/>
      <c r="FM14" s="3"/>
      <c r="FN14" s="3"/>
      <c r="FO14" s="3"/>
    </row>
  </sheetData>
  <mergeCells count="26">
    <mergeCell ref="A1:A2"/>
    <mergeCell ref="B1:J2"/>
    <mergeCell ref="K1:AR1"/>
    <mergeCell ref="BS2:CL2"/>
    <mergeCell ref="CM2:CP2"/>
    <mergeCell ref="AS1:BR1"/>
    <mergeCell ref="BS1:EC1"/>
    <mergeCell ref="DC2:DH2"/>
    <mergeCell ref="DI2:DT2"/>
    <mergeCell ref="DU2:EB2"/>
    <mergeCell ref="CQ2:DB2"/>
    <mergeCell ref="K2:O2"/>
    <mergeCell ref="Y2:AC2"/>
    <mergeCell ref="AD2:AR2"/>
    <mergeCell ref="AU2:BF2"/>
    <mergeCell ref="P2:X2"/>
    <mergeCell ref="BG2:BR2"/>
    <mergeCell ref="ED1:EW1"/>
    <mergeCell ref="FD1:FY1"/>
    <mergeCell ref="EU2:EW2"/>
    <mergeCell ref="FD2:FI2"/>
    <mergeCell ref="FJ2:FO2"/>
    <mergeCell ref="FQ2:FY2"/>
    <mergeCell ref="ED2:EI2"/>
    <mergeCell ref="EJ2:ET2"/>
    <mergeCell ref="EX1:FC2"/>
  </mergeCells>
  <phoneticPr fontId="13" type="noConversion"/>
  <conditionalFormatting sqref="DD3:DH3">
    <cfRule type="duplicateValues" dxfId="117" priority="1"/>
  </conditionalFormatting>
  <hyperlinks>
    <hyperlink ref="A1" location="Intro!A1" display="Intro!A1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G13"/>
  <sheetViews>
    <sheetView zoomScale="70" zoomScaleNormal="70" workbookViewId="0">
      <pane xSplit="1" topLeftCell="B1" activePane="topRight" state="frozen"/>
      <selection pane="topRight" sqref="A1:A2"/>
    </sheetView>
  </sheetViews>
  <sheetFormatPr defaultRowHeight="14.5"/>
  <cols>
    <col min="1" max="1" width="11.453125" style="157" customWidth="1"/>
    <col min="10" max="10" width="9.1796875" style="1"/>
    <col min="24" max="24" width="8.7265625" style="60"/>
    <col min="40" max="40" width="8.7265625" style="60"/>
    <col min="70" max="70" width="9.1796875" style="1"/>
    <col min="133" max="133" width="9.1796875" style="1"/>
    <col min="153" max="153" width="9.1796875" style="1"/>
    <col min="157" max="157" width="9.1796875" style="63"/>
    <col min="158" max="158" width="8.7265625" style="63"/>
    <col min="159" max="159" width="8.7265625" style="1"/>
    <col min="181" max="181" width="9.1796875" style="1"/>
  </cols>
  <sheetData>
    <row r="1" spans="1:189" ht="15" thickBot="1">
      <c r="A1" s="250" t="s">
        <v>322</v>
      </c>
      <c r="B1" s="231" t="s">
        <v>275</v>
      </c>
      <c r="C1" s="232"/>
      <c r="D1" s="232"/>
      <c r="E1" s="232"/>
      <c r="F1" s="232"/>
      <c r="G1" s="232"/>
      <c r="H1" s="232"/>
      <c r="I1" s="232"/>
      <c r="J1" s="233"/>
      <c r="K1" s="237" t="s">
        <v>305</v>
      </c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8"/>
      <c r="AS1" s="239" t="s">
        <v>306</v>
      </c>
      <c r="AT1" s="240"/>
      <c r="AU1" s="240"/>
      <c r="AV1" s="240"/>
      <c r="AW1" s="240"/>
      <c r="AX1" s="240"/>
      <c r="AY1" s="240"/>
      <c r="AZ1" s="240"/>
      <c r="BA1" s="240"/>
      <c r="BB1" s="240"/>
      <c r="BC1" s="240"/>
      <c r="BD1" s="240"/>
      <c r="BE1" s="240"/>
      <c r="BF1" s="240"/>
      <c r="BG1" s="240"/>
      <c r="BH1" s="240"/>
      <c r="BI1" s="240"/>
      <c r="BJ1" s="240"/>
      <c r="BK1" s="240"/>
      <c r="BL1" s="240"/>
      <c r="BM1" s="240"/>
      <c r="BN1" s="240"/>
      <c r="BO1" s="240"/>
      <c r="BP1" s="240"/>
      <c r="BQ1" s="240"/>
      <c r="BR1" s="241"/>
      <c r="BS1" s="242" t="s">
        <v>307</v>
      </c>
      <c r="BT1" s="243"/>
      <c r="BU1" s="243"/>
      <c r="BV1" s="243"/>
      <c r="BW1" s="243"/>
      <c r="BX1" s="243"/>
      <c r="BY1" s="243"/>
      <c r="BZ1" s="243"/>
      <c r="CA1" s="243"/>
      <c r="CB1" s="243"/>
      <c r="CC1" s="243"/>
      <c r="CD1" s="243"/>
      <c r="CE1" s="243"/>
      <c r="CF1" s="243"/>
      <c r="CG1" s="243"/>
      <c r="CH1" s="243"/>
      <c r="CI1" s="243"/>
      <c r="CJ1" s="243"/>
      <c r="CK1" s="243"/>
      <c r="CL1" s="243"/>
      <c r="CM1" s="243"/>
      <c r="CN1" s="243"/>
      <c r="CO1" s="243"/>
      <c r="CP1" s="243"/>
      <c r="CQ1" s="243"/>
      <c r="CR1" s="243"/>
      <c r="CS1" s="243"/>
      <c r="CT1" s="243"/>
      <c r="CU1" s="243"/>
      <c r="CV1" s="243"/>
      <c r="CW1" s="243"/>
      <c r="CX1" s="243"/>
      <c r="CY1" s="243"/>
      <c r="CZ1" s="243"/>
      <c r="DA1" s="243"/>
      <c r="DB1" s="243"/>
      <c r="DC1" s="243"/>
      <c r="DD1" s="243"/>
      <c r="DE1" s="243"/>
      <c r="DF1" s="243"/>
      <c r="DG1" s="243"/>
      <c r="DH1" s="243"/>
      <c r="DI1" s="243"/>
      <c r="DJ1" s="243"/>
      <c r="DK1" s="243"/>
      <c r="DL1" s="243"/>
      <c r="DM1" s="243"/>
      <c r="DN1" s="243"/>
      <c r="DO1" s="243"/>
      <c r="DP1" s="243"/>
      <c r="DQ1" s="243"/>
      <c r="DR1" s="243"/>
      <c r="DS1" s="243"/>
      <c r="DT1" s="243"/>
      <c r="DU1" s="243"/>
      <c r="DV1" s="243"/>
      <c r="DW1" s="243"/>
      <c r="DX1" s="243"/>
      <c r="DY1" s="243"/>
      <c r="DZ1" s="243"/>
      <c r="EA1" s="243"/>
      <c r="EB1" s="243"/>
      <c r="EC1" s="244"/>
      <c r="ED1" s="220" t="s">
        <v>308</v>
      </c>
      <c r="EE1" s="221"/>
      <c r="EF1" s="221"/>
      <c r="EG1" s="221"/>
      <c r="EH1" s="221"/>
      <c r="EI1" s="221"/>
      <c r="EJ1" s="221"/>
      <c r="EK1" s="221"/>
      <c r="EL1" s="221"/>
      <c r="EM1" s="221"/>
      <c r="EN1" s="221"/>
      <c r="EO1" s="221"/>
      <c r="EP1" s="221"/>
      <c r="EQ1" s="221"/>
      <c r="ER1" s="221"/>
      <c r="ES1" s="221"/>
      <c r="ET1" s="221"/>
      <c r="EU1" s="221"/>
      <c r="EV1" s="221"/>
      <c r="EW1" s="221"/>
      <c r="EX1" s="248" t="s">
        <v>300</v>
      </c>
      <c r="EY1" s="249"/>
      <c r="EZ1" s="249"/>
      <c r="FA1" s="249"/>
      <c r="FB1" s="249"/>
      <c r="FC1" s="249"/>
      <c r="FD1" s="245" t="s">
        <v>309</v>
      </c>
      <c r="FE1" s="246"/>
      <c r="FF1" s="246"/>
      <c r="FG1" s="246"/>
      <c r="FH1" s="246"/>
      <c r="FI1" s="246"/>
      <c r="FJ1" s="246"/>
      <c r="FK1" s="246"/>
      <c r="FL1" s="246"/>
      <c r="FM1" s="246"/>
      <c r="FN1" s="246"/>
      <c r="FO1" s="246"/>
      <c r="FP1" s="246"/>
      <c r="FQ1" s="246"/>
      <c r="FR1" s="246"/>
      <c r="FS1" s="246"/>
      <c r="FT1" s="246"/>
      <c r="FU1" s="246"/>
      <c r="FV1" s="246"/>
      <c r="FW1" s="246"/>
      <c r="FX1" s="246"/>
      <c r="FY1" s="247"/>
    </row>
    <row r="2" spans="1:189" ht="15" thickBot="1">
      <c r="A2" s="250"/>
      <c r="B2" s="234"/>
      <c r="C2" s="235"/>
      <c r="D2" s="235"/>
      <c r="E2" s="235"/>
      <c r="F2" s="235"/>
      <c r="G2" s="235"/>
      <c r="H2" s="235"/>
      <c r="I2" s="235"/>
      <c r="J2" s="236"/>
      <c r="K2" s="218" t="s">
        <v>276</v>
      </c>
      <c r="L2" s="218"/>
      <c r="M2" s="218"/>
      <c r="N2" s="218"/>
      <c r="O2" s="219"/>
      <c r="P2" s="217" t="s">
        <v>277</v>
      </c>
      <c r="Q2" s="218"/>
      <c r="R2" s="218"/>
      <c r="S2" s="218"/>
      <c r="T2" s="218"/>
      <c r="U2" s="218"/>
      <c r="V2" s="218"/>
      <c r="W2" s="218"/>
      <c r="X2" s="219"/>
      <c r="Y2" s="217" t="s">
        <v>278</v>
      </c>
      <c r="Z2" s="218"/>
      <c r="AA2" s="218"/>
      <c r="AB2" s="218"/>
      <c r="AC2" s="219"/>
      <c r="AD2" s="217" t="s">
        <v>279</v>
      </c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  <c r="AR2" s="219"/>
      <c r="AS2" s="9" t="s">
        <v>286</v>
      </c>
      <c r="AT2" s="9" t="s">
        <v>287</v>
      </c>
      <c r="AU2" s="217" t="s">
        <v>288</v>
      </c>
      <c r="AV2" s="218"/>
      <c r="AW2" s="218"/>
      <c r="AX2" s="218"/>
      <c r="AY2" s="218"/>
      <c r="AZ2" s="218"/>
      <c r="BA2" s="218"/>
      <c r="BB2" s="218"/>
      <c r="BC2" s="218"/>
      <c r="BD2" s="218"/>
      <c r="BE2" s="218"/>
      <c r="BF2" s="219"/>
      <c r="BG2" s="217" t="s">
        <v>289</v>
      </c>
      <c r="BH2" s="218"/>
      <c r="BI2" s="218"/>
      <c r="BJ2" s="218"/>
      <c r="BK2" s="218"/>
      <c r="BL2" s="218"/>
      <c r="BM2" s="218"/>
      <c r="BN2" s="218"/>
      <c r="BO2" s="218"/>
      <c r="BP2" s="218"/>
      <c r="BQ2" s="218"/>
      <c r="BR2" s="219"/>
      <c r="BS2" s="217" t="s">
        <v>290</v>
      </c>
      <c r="BT2" s="218"/>
      <c r="BU2" s="218"/>
      <c r="BV2" s="218"/>
      <c r="BW2" s="218"/>
      <c r="BX2" s="218"/>
      <c r="BY2" s="218"/>
      <c r="BZ2" s="218"/>
      <c r="CA2" s="218"/>
      <c r="CB2" s="218"/>
      <c r="CC2" s="218"/>
      <c r="CD2" s="218"/>
      <c r="CE2" s="218"/>
      <c r="CF2" s="218"/>
      <c r="CG2" s="218"/>
      <c r="CH2" s="218"/>
      <c r="CI2" s="218"/>
      <c r="CJ2" s="218"/>
      <c r="CK2" s="218"/>
      <c r="CL2" s="219"/>
      <c r="CM2" s="217" t="s">
        <v>291</v>
      </c>
      <c r="CN2" s="218"/>
      <c r="CO2" s="218"/>
      <c r="CP2" s="219"/>
      <c r="CQ2" s="217" t="s">
        <v>292</v>
      </c>
      <c r="CR2" s="218"/>
      <c r="CS2" s="218"/>
      <c r="CT2" s="218"/>
      <c r="CU2" s="218"/>
      <c r="CV2" s="218"/>
      <c r="CW2" s="218"/>
      <c r="CX2" s="218"/>
      <c r="CY2" s="218"/>
      <c r="CZ2" s="218"/>
      <c r="DA2" s="218"/>
      <c r="DB2" s="219"/>
      <c r="DC2" s="217" t="s">
        <v>293</v>
      </c>
      <c r="DD2" s="218"/>
      <c r="DE2" s="218"/>
      <c r="DF2" s="218"/>
      <c r="DG2" s="218"/>
      <c r="DH2" s="219"/>
      <c r="DI2" s="217" t="s">
        <v>294</v>
      </c>
      <c r="DJ2" s="218"/>
      <c r="DK2" s="218"/>
      <c r="DL2" s="218"/>
      <c r="DM2" s="218"/>
      <c r="DN2" s="218"/>
      <c r="DO2" s="218"/>
      <c r="DP2" s="218"/>
      <c r="DQ2" s="218"/>
      <c r="DR2" s="218"/>
      <c r="DS2" s="218"/>
      <c r="DT2" s="219"/>
      <c r="DU2" s="217" t="s">
        <v>295</v>
      </c>
      <c r="DV2" s="218"/>
      <c r="DW2" s="218"/>
      <c r="DX2" s="218"/>
      <c r="DY2" s="218"/>
      <c r="DZ2" s="218"/>
      <c r="EA2" s="218"/>
      <c r="EB2" s="219"/>
      <c r="EC2" s="9" t="s">
        <v>296</v>
      </c>
      <c r="ED2" s="217" t="s">
        <v>298</v>
      </c>
      <c r="EE2" s="218"/>
      <c r="EF2" s="218"/>
      <c r="EG2" s="218"/>
      <c r="EH2" s="218"/>
      <c r="EI2" s="219"/>
      <c r="EJ2" s="217" t="s">
        <v>297</v>
      </c>
      <c r="EK2" s="218"/>
      <c r="EL2" s="218"/>
      <c r="EM2" s="218"/>
      <c r="EN2" s="218"/>
      <c r="EO2" s="218"/>
      <c r="EP2" s="218"/>
      <c r="EQ2" s="218"/>
      <c r="ER2" s="218"/>
      <c r="ES2" s="218"/>
      <c r="ET2" s="219"/>
      <c r="EU2" s="217" t="s">
        <v>299</v>
      </c>
      <c r="EV2" s="218"/>
      <c r="EW2" s="218"/>
      <c r="EX2" s="227"/>
      <c r="EY2" s="228"/>
      <c r="EZ2" s="228"/>
      <c r="FA2" s="228"/>
      <c r="FB2" s="228"/>
      <c r="FC2" s="228"/>
      <c r="FD2" s="217" t="s">
        <v>301</v>
      </c>
      <c r="FE2" s="218"/>
      <c r="FF2" s="218"/>
      <c r="FG2" s="218"/>
      <c r="FH2" s="218"/>
      <c r="FI2" s="219"/>
      <c r="FJ2" s="217" t="s">
        <v>302</v>
      </c>
      <c r="FK2" s="218"/>
      <c r="FL2" s="218"/>
      <c r="FM2" s="218"/>
      <c r="FN2" s="218"/>
      <c r="FO2" s="219"/>
      <c r="FP2" s="9" t="s">
        <v>303</v>
      </c>
      <c r="FQ2" s="217" t="s">
        <v>304</v>
      </c>
      <c r="FR2" s="218"/>
      <c r="FS2" s="218"/>
      <c r="FT2" s="218"/>
      <c r="FU2" s="218"/>
      <c r="FV2" s="218"/>
      <c r="FW2" s="218"/>
      <c r="FX2" s="218"/>
      <c r="FY2" s="219"/>
    </row>
    <row r="3" spans="1:189">
      <c r="A3" s="157" t="s">
        <v>699</v>
      </c>
      <c r="B3" s="7" t="s">
        <v>684</v>
      </c>
      <c r="C3" s="7" t="s">
        <v>685</v>
      </c>
      <c r="D3" s="7" t="s">
        <v>686</v>
      </c>
      <c r="E3" s="7" t="s">
        <v>687</v>
      </c>
      <c r="F3" s="7" t="s">
        <v>688</v>
      </c>
      <c r="G3" s="7" t="s">
        <v>689</v>
      </c>
      <c r="H3" s="7" t="s">
        <v>690</v>
      </c>
      <c r="I3" s="7" t="s">
        <v>691</v>
      </c>
      <c r="J3" s="7" t="s">
        <v>692</v>
      </c>
      <c r="K3" s="7" t="s">
        <v>70</v>
      </c>
      <c r="L3" s="7" t="s">
        <v>71</v>
      </c>
      <c r="M3" s="7" t="s">
        <v>72</v>
      </c>
      <c r="N3" s="7" t="s">
        <v>99</v>
      </c>
      <c r="O3" s="7" t="s">
        <v>100</v>
      </c>
      <c r="P3" s="7" t="s">
        <v>101</v>
      </c>
      <c r="Q3" s="7" t="s">
        <v>102</v>
      </c>
      <c r="R3" s="7" t="s">
        <v>103</v>
      </c>
      <c r="S3" s="7" t="s">
        <v>104</v>
      </c>
      <c r="T3" s="7" t="s">
        <v>105</v>
      </c>
      <c r="U3" s="7" t="s">
        <v>106</v>
      </c>
      <c r="V3" s="7" t="s">
        <v>107</v>
      </c>
      <c r="W3" s="7" t="s">
        <v>108</v>
      </c>
      <c r="X3" s="60" t="s">
        <v>620</v>
      </c>
      <c r="Y3" s="7" t="s">
        <v>109</v>
      </c>
      <c r="Z3" s="7" t="s">
        <v>110</v>
      </c>
      <c r="AA3" s="7" t="s">
        <v>111</v>
      </c>
      <c r="AB3" s="7" t="s">
        <v>112</v>
      </c>
      <c r="AC3" s="7" t="s">
        <v>113</v>
      </c>
      <c r="AD3" s="7" t="s">
        <v>114</v>
      </c>
      <c r="AE3" s="8" t="s">
        <v>115</v>
      </c>
      <c r="AF3" s="8" t="s">
        <v>116</v>
      </c>
      <c r="AG3" s="7" t="s">
        <v>117</v>
      </c>
      <c r="AH3" s="7" t="s">
        <v>623</v>
      </c>
      <c r="AI3" s="7" t="s">
        <v>624</v>
      </c>
      <c r="AJ3" s="7" t="s">
        <v>625</v>
      </c>
      <c r="AK3" s="7" t="s">
        <v>626</v>
      </c>
      <c r="AL3" s="7" t="s">
        <v>627</v>
      </c>
      <c r="AM3" s="7" t="s">
        <v>628</v>
      </c>
      <c r="AN3" s="7" t="s">
        <v>622</v>
      </c>
      <c r="AO3" s="7" t="s">
        <v>118</v>
      </c>
      <c r="AP3" s="7" t="s">
        <v>119</v>
      </c>
      <c r="AQ3" s="7" t="s">
        <v>120</v>
      </c>
      <c r="AR3" s="4" t="s">
        <v>121</v>
      </c>
      <c r="AS3" s="7" t="s">
        <v>73</v>
      </c>
      <c r="AT3" s="7" t="s">
        <v>74</v>
      </c>
      <c r="AU3" s="7" t="s">
        <v>75</v>
      </c>
      <c r="AV3" s="7" t="s">
        <v>76</v>
      </c>
      <c r="AW3" s="7" t="s">
        <v>77</v>
      </c>
      <c r="AX3" s="7" t="s">
        <v>78</v>
      </c>
      <c r="AY3" s="7" t="s">
        <v>79</v>
      </c>
      <c r="AZ3" s="7" t="s">
        <v>80</v>
      </c>
      <c r="BA3" s="7" t="s">
        <v>81</v>
      </c>
      <c r="BB3" s="7" t="s">
        <v>82</v>
      </c>
      <c r="BC3" s="7" t="s">
        <v>83</v>
      </c>
      <c r="BD3" s="7" t="s">
        <v>84</v>
      </c>
      <c r="BE3" s="7" t="s">
        <v>85</v>
      </c>
      <c r="BF3" s="7" t="s">
        <v>86</v>
      </c>
      <c r="BG3" s="7" t="s">
        <v>87</v>
      </c>
      <c r="BH3" s="7" t="s">
        <v>88</v>
      </c>
      <c r="BI3" s="7" t="s">
        <v>89</v>
      </c>
      <c r="BJ3" s="7" t="s">
        <v>90</v>
      </c>
      <c r="BK3" s="7" t="s">
        <v>91</v>
      </c>
      <c r="BL3" s="7" t="s">
        <v>92</v>
      </c>
      <c r="BM3" s="7" t="s">
        <v>93</v>
      </c>
      <c r="BN3" s="7" t="s">
        <v>94</v>
      </c>
      <c r="BO3" s="7" t="s">
        <v>95</v>
      </c>
      <c r="BP3" s="7" t="s">
        <v>96</v>
      </c>
      <c r="BQ3" s="7" t="s">
        <v>97</v>
      </c>
      <c r="BR3" s="4" t="s">
        <v>98</v>
      </c>
      <c r="BS3" s="3" t="s">
        <v>122</v>
      </c>
      <c r="BT3" s="3" t="s">
        <v>123</v>
      </c>
      <c r="BU3" s="3" t="s">
        <v>124</v>
      </c>
      <c r="BV3" s="3" t="s">
        <v>125</v>
      </c>
      <c r="BW3" s="3" t="s">
        <v>126</v>
      </c>
      <c r="BX3" s="3" t="s">
        <v>127</v>
      </c>
      <c r="BY3" s="66" t="s">
        <v>629</v>
      </c>
      <c r="BZ3" s="66" t="s">
        <v>630</v>
      </c>
      <c r="CA3" s="66" t="s">
        <v>631</v>
      </c>
      <c r="CB3" s="66" t="s">
        <v>632</v>
      </c>
      <c r="CC3" s="66" t="s">
        <v>633</v>
      </c>
      <c r="CD3" s="66" t="s">
        <v>634</v>
      </c>
      <c r="CE3" s="66" t="s">
        <v>635</v>
      </c>
      <c r="CF3" s="66" t="s">
        <v>636</v>
      </c>
      <c r="CG3" s="3" t="s">
        <v>637</v>
      </c>
      <c r="CH3" s="3" t="s">
        <v>638</v>
      </c>
      <c r="CI3" s="3" t="s">
        <v>639</v>
      </c>
      <c r="CJ3" s="3" t="s">
        <v>640</v>
      </c>
      <c r="CK3" s="3" t="s">
        <v>641</v>
      </c>
      <c r="CL3" s="3" t="s">
        <v>642</v>
      </c>
      <c r="CM3" s="66" t="s">
        <v>643</v>
      </c>
      <c r="CN3" s="66" t="s">
        <v>644</v>
      </c>
      <c r="CO3" s="66" t="s">
        <v>645</v>
      </c>
      <c r="CP3" s="66" t="s">
        <v>646</v>
      </c>
      <c r="CQ3" s="3" t="s">
        <v>144</v>
      </c>
      <c r="CR3" s="3" t="s">
        <v>647</v>
      </c>
      <c r="CS3" s="3" t="s">
        <v>648</v>
      </c>
      <c r="CT3" s="3" t="s">
        <v>649</v>
      </c>
      <c r="CU3" s="3" t="s">
        <v>650</v>
      </c>
      <c r="CV3" s="3" t="s">
        <v>651</v>
      </c>
      <c r="CW3" s="3" t="s">
        <v>652</v>
      </c>
      <c r="CX3" s="3" t="s">
        <v>653</v>
      </c>
      <c r="CY3" s="3" t="s">
        <v>654</v>
      </c>
      <c r="CZ3" s="3" t="s">
        <v>655</v>
      </c>
      <c r="DA3" s="3" t="s">
        <v>656</v>
      </c>
      <c r="DB3" s="3" t="s">
        <v>147</v>
      </c>
      <c r="DC3" s="3" t="s">
        <v>151</v>
      </c>
      <c r="DD3" s="3" t="s">
        <v>657</v>
      </c>
      <c r="DE3" s="3" t="s">
        <v>658</v>
      </c>
      <c r="DF3" s="3" t="s">
        <v>659</v>
      </c>
      <c r="DG3" s="3" t="s">
        <v>660</v>
      </c>
      <c r="DH3" s="3" t="s">
        <v>661</v>
      </c>
      <c r="DI3" s="3" t="s">
        <v>662</v>
      </c>
      <c r="DJ3" s="3" t="s">
        <v>663</v>
      </c>
      <c r="DK3" s="3" t="s">
        <v>664</v>
      </c>
      <c r="DL3" s="3" t="s">
        <v>665</v>
      </c>
      <c r="DM3" s="3" t="s">
        <v>666</v>
      </c>
      <c r="DN3" s="3" t="s">
        <v>667</v>
      </c>
      <c r="DO3" s="66" t="s">
        <v>668</v>
      </c>
      <c r="DP3" s="66" t="s">
        <v>669</v>
      </c>
      <c r="DQ3" s="66" t="s">
        <v>670</v>
      </c>
      <c r="DR3" s="66" t="s">
        <v>671</v>
      </c>
      <c r="DS3" s="66" t="s">
        <v>672</v>
      </c>
      <c r="DT3" s="66" t="s">
        <v>673</v>
      </c>
      <c r="DU3" s="3" t="s">
        <v>674</v>
      </c>
      <c r="DV3" s="3" t="s">
        <v>675</v>
      </c>
      <c r="DW3" s="3" t="s">
        <v>676</v>
      </c>
      <c r="DX3" s="3" t="s">
        <v>677</v>
      </c>
      <c r="DY3" s="3" t="s">
        <v>678</v>
      </c>
      <c r="DZ3" s="3" t="s">
        <v>679</v>
      </c>
      <c r="EA3" s="3" t="s">
        <v>156</v>
      </c>
      <c r="EB3" s="3" t="s">
        <v>157</v>
      </c>
      <c r="EC3" s="4" t="s">
        <v>158</v>
      </c>
      <c r="ED3" s="3" t="s">
        <v>167</v>
      </c>
      <c r="EE3" s="3" t="s">
        <v>168</v>
      </c>
      <c r="EF3" s="3" t="s">
        <v>169</v>
      </c>
      <c r="EG3" s="3" t="s">
        <v>170</v>
      </c>
      <c r="EH3" s="3" t="s">
        <v>171</v>
      </c>
      <c r="EI3" s="3" t="s">
        <v>172</v>
      </c>
      <c r="EJ3" s="3" t="s">
        <v>173</v>
      </c>
      <c r="EK3" s="3" t="s">
        <v>174</v>
      </c>
      <c r="EL3" s="3" t="s">
        <v>175</v>
      </c>
      <c r="EM3" s="3" t="s">
        <v>176</v>
      </c>
      <c r="EN3" s="3" t="s">
        <v>177</v>
      </c>
      <c r="EO3" s="3" t="s">
        <v>178</v>
      </c>
      <c r="EP3" s="3" t="s">
        <v>179</v>
      </c>
      <c r="EQ3" s="3" t="s">
        <v>180</v>
      </c>
      <c r="ER3" s="3" t="s">
        <v>181</v>
      </c>
      <c r="ES3" s="3" t="s">
        <v>182</v>
      </c>
      <c r="ET3" s="3" t="s">
        <v>183</v>
      </c>
      <c r="EU3" s="3" t="s">
        <v>184</v>
      </c>
      <c r="EV3" s="3" t="s">
        <v>185</v>
      </c>
      <c r="EW3" s="4" t="s">
        <v>186</v>
      </c>
      <c r="EX3" s="3" t="s">
        <v>187</v>
      </c>
      <c r="EY3" s="3" t="s">
        <v>188</v>
      </c>
      <c r="EZ3" s="3" t="s">
        <v>189</v>
      </c>
      <c r="FA3" s="66" t="s">
        <v>680</v>
      </c>
      <c r="FB3" s="4" t="s">
        <v>681</v>
      </c>
      <c r="FC3" s="155" t="s">
        <v>682</v>
      </c>
      <c r="FD3" s="3" t="s">
        <v>190</v>
      </c>
      <c r="FE3" s="3" t="s">
        <v>191</v>
      </c>
      <c r="FF3" s="3" t="s">
        <v>192</v>
      </c>
      <c r="FG3" s="3" t="s">
        <v>193</v>
      </c>
      <c r="FH3" s="3" t="s">
        <v>194</v>
      </c>
      <c r="FI3" s="3" t="s">
        <v>195</v>
      </c>
      <c r="FJ3" s="3" t="s">
        <v>196</v>
      </c>
      <c r="FK3" s="3" t="s">
        <v>197</v>
      </c>
      <c r="FL3" s="3" t="s">
        <v>198</v>
      </c>
      <c r="FM3" s="3" t="s">
        <v>199</v>
      </c>
      <c r="FN3" s="3" t="s">
        <v>200</v>
      </c>
      <c r="FO3" s="3" t="s">
        <v>201</v>
      </c>
      <c r="FP3" s="3" t="s">
        <v>202</v>
      </c>
      <c r="FQ3" s="3" t="s">
        <v>204</v>
      </c>
      <c r="FR3" s="3" t="s">
        <v>203</v>
      </c>
      <c r="FS3" s="3" t="s">
        <v>205</v>
      </c>
      <c r="FT3" s="3" t="s">
        <v>206</v>
      </c>
      <c r="FU3" s="3" t="s">
        <v>207</v>
      </c>
      <c r="FV3" s="3" t="s">
        <v>208</v>
      </c>
      <c r="FW3" s="3" t="s">
        <v>214</v>
      </c>
      <c r="FX3" s="3" t="s">
        <v>215</v>
      </c>
      <c r="FY3" s="4" t="s">
        <v>216</v>
      </c>
      <c r="FZ3" s="7"/>
      <c r="GA3" s="7"/>
      <c r="GB3" s="7"/>
      <c r="GC3" s="7"/>
      <c r="GD3" s="7"/>
      <c r="GE3" s="7"/>
      <c r="GF3" s="7"/>
      <c r="GG3" s="7"/>
    </row>
    <row r="4" spans="1:189">
      <c r="A4" s="157">
        <v>1</v>
      </c>
      <c r="B4">
        <f>IF(raw_data!B:B="post-graduate",7,IF(raw_data!B4="graduate",6,IF(raw_data!B4="college",5,IF(raw_data!B4="technical",4,IF(raw_data!B4="high school",3,IF(raw_data!B4="elementary",2,IF(raw_data!B4="some schooling",1,0)))))))</f>
        <v>7</v>
      </c>
      <c r="C4">
        <f>IF(raw_data!C4 = "proprietor", 0, IF(raw_data!C4 = "rep", 1, IF(raw_data!C4 = "staff", 2, IF(raw_data!C4 = "vet pharm", 3, 4))))</f>
        <v>3</v>
      </c>
      <c r="D4">
        <f>raw_data!D4</f>
        <v>42</v>
      </c>
      <c r="E4">
        <f>IF(raw_data!E4 = "less than 1 yr", 0, IF(raw_data!E4 = "1-2 yrs", 1, IF(raw_data!E4 = "2-5 yrs", 2, IF(raw_data!E4 = "5-10 yrs", 3, 4))))</f>
        <v>0</v>
      </c>
      <c r="F4">
        <f>IF(raw_data!F4="large-scale",2,IF(raw_data!F4="medium-scale",1,0))</f>
        <v>2</v>
      </c>
      <c r="G4">
        <f>IF(raw_data!G4="input",2,IF(raw_data!G4="not in charge",1,0))</f>
        <v>2</v>
      </c>
      <c r="H4">
        <f>IF(raw_data!H4 = "large farm owners", 6, IF(raw_data!H4 = "medium farm owners", 5, IF(raw_data!H4 = "small farm owners", 4, IF(raw_data!H4 = "large retailers", 3, IF(raw_data!H4 = "medium retailers", 2, IF(raw_data!H4 = "small retailers", 1, 0))))))</f>
        <v>6</v>
      </c>
      <c r="I4">
        <f>IF(raw_data!I4 = "male", 0, IF(raw_data!I4 = "female", 1, 2))</f>
        <v>1</v>
      </c>
      <c r="J4" s="1">
        <f>IF(raw_data!J3="yes",1,0)</f>
        <v>0</v>
      </c>
      <c r="K4">
        <f>IF(raw_data!K4 = "yes", 1, 0)</f>
        <v>1</v>
      </c>
      <c r="L4">
        <f>IF(raw_data!L4 = "treatment all", 0, IF(raw_data!L4 = "prevention all", 0, IF(raw_data!L4 = "prevention some", 0, IF(raw_data!L4 = "growth booster", 0, IF(raw_data!L4 = "don't know", 0, 1)))))</f>
        <v>1</v>
      </c>
      <c r="M4">
        <f>IF(raw_data!M4 = "can't remember", 0, 1)</f>
        <v>1</v>
      </c>
      <c r="N4" s="60">
        <f>IF(raw_data!N4 = "can't remember", 0, 1)</f>
        <v>1</v>
      </c>
      <c r="O4" s="60">
        <f>IF(raw_data!O4 = "can't remember", 0, 1)</f>
        <v>1</v>
      </c>
      <c r="P4">
        <f>IF(raw_data!P4 = "yes", 1, 0)</f>
        <v>1</v>
      </c>
      <c r="Q4">
        <f>IF(raw_data!Q4 = "bacteria develop resistance", 1, 0)</f>
        <v>1</v>
      </c>
      <c r="R4">
        <f>IF(raw_data!R4 = "yes", 1, 0)</f>
        <v>1</v>
      </c>
      <c r="S4">
        <f>IF(raw_data!S4 = "yes", 1, 0)</f>
        <v>1</v>
      </c>
      <c r="T4">
        <f>IF(raw_data!T4 = "yes", 1, 0)</f>
        <v>1</v>
      </c>
      <c r="U4">
        <f>IF(raw_data!U4 = "yes", 1, 0)</f>
        <v>0</v>
      </c>
      <c r="V4">
        <f>IF(raw_data!V4 = "yes", 1, 0)</f>
        <v>1</v>
      </c>
      <c r="W4">
        <f>IF(raw_data!W4 = "yes", 1, 0)</f>
        <v>0</v>
      </c>
      <c r="X4" s="60">
        <f>IF(raw_data!X4 = "no", 0, 1)</f>
        <v>1</v>
      </c>
      <c r="Y4">
        <f>IF(raw_data!Y4 = "yes", 1, 0)</f>
        <v>1</v>
      </c>
      <c r="Z4">
        <f>IF(raw_data!Z4 = "can't remember", 0, 1)</f>
        <v>1</v>
      </c>
      <c r="AA4" s="60">
        <f>IF(raw_data!AA4 = "can't remember", 0, 1)</f>
        <v>1</v>
      </c>
      <c r="AB4" s="60">
        <f>IF(raw_data!AB4 = "can't remember", 0, 1)</f>
        <v>1</v>
      </c>
      <c r="AC4">
        <f>IF(raw_data!AC4 = "4 correct", 4, IF(raw_data!AC4 = "3 correct", 3, IF(raw_data!AC4 = "2 correct", 2, IF(raw_data!AC4 = "1 correct", 1, 0))))</f>
        <v>4</v>
      </c>
      <c r="AD4">
        <f>IF(raw_data!AD4="basic info",1,IF(raw_data!AD4="etiology",1,IF(raw_data!AD4="advanced understanding",1,0)))</f>
        <v>1</v>
      </c>
      <c r="AE4">
        <f>IF(raw_data!AE4 = "true", 0, 1)</f>
        <v>1</v>
      </c>
      <c r="AF4">
        <f>IF(raw_data!AF4 = "true", 1, 0)</f>
        <v>1</v>
      </c>
      <c r="AG4">
        <f>IF(raw_data!AG4 = "yes", 1, 0)</f>
        <v>1</v>
      </c>
      <c r="AH4">
        <f>IF(raw_data!AH:AH = "yes", 1, 0)</f>
        <v>0</v>
      </c>
      <c r="AI4">
        <f>IF(raw_data!AI:AI = "yes", 1, 0)</f>
        <v>0</v>
      </c>
      <c r="AJ4">
        <f>IF(raw_data!AJ:AJ = "yes", 1, 0)</f>
        <v>0</v>
      </c>
      <c r="AK4">
        <f>IF(raw_data!AK:AK = "yes", 1, 0)</f>
        <v>1</v>
      </c>
      <c r="AL4">
        <f>IF(raw_data!AL:AL = "yes", 1, 0)</f>
        <v>0</v>
      </c>
      <c r="AM4">
        <f>IF(raw_data!AM:AM = "yes", 1, 0)</f>
        <v>0</v>
      </c>
      <c r="AN4" s="60">
        <f>IF(raw_data!AN:AN="no",0,IF(raw_data!AN:AN="na",0,1))</f>
        <v>1</v>
      </c>
      <c r="AO4">
        <f>IF(raw_data!AO4="5 correct",5,IF(raw_data!AO4="4 correct",4,IF(raw_data!AO4="3 correct",3,IF(raw_data!AO4="2 correct", 2, IF(raw_data!AO4="1 correct",1,0)))))</f>
        <v>5</v>
      </c>
      <c r="AP4">
        <f>IF(raw_data!AP4="5 correct",5,IF(raw_data!AP4="4 correct",4,IF(raw_data!AP4="3 correct",3,IF(raw_data!AP4="2 correct", 2, IF(raw_data!AP4="1 correct",1,0)))))</f>
        <v>4</v>
      </c>
      <c r="AQ4">
        <f>IF(raw_data!AQ4="5 correct",5,IF(raw_data!AQ4="4 correct",4,IF(raw_data!AQ4="3 correct",3,IF(raw_data!AQ4="2 correct", 2, IF(raw_data!AQ4="1 correct",1,0)))))</f>
        <v>3</v>
      </c>
      <c r="AR4">
        <f>IF(raw_data!AR4="5 correct",5,IF(raw_data!AR4="4 correct",4,IF(raw_data!AR4="3 correct",3,IF(raw_data!AR4="2 correct", 2, IF(raw_data!AR4="1 correct",1,0)))))</f>
        <v>4</v>
      </c>
      <c r="AS4">
        <f>IF(raw_data!AS4 = "very serious", 5, IF(raw_data!AS4 = "serious", 4, IF(raw_data!AS4 = "moderately serious", 3, IF(raw_data!AS4 = "slightly serious", 2, 1))))</f>
        <v>5</v>
      </c>
      <c r="AT4">
        <f>IF(raw_data!AT4 = "seriously concerned", 4, IF(raw_data!AT4 = "concerned", 3, IF(raw_data!AT4 = "slightly concerned", 2, IF(raw_data!AT4 = "not concerned at all", 1, 0))))</f>
        <v>4</v>
      </c>
      <c r="AU4">
        <f>IF(raw_data!AU4 = "strongly agree", 5, IF(raw_data!AU4 = "agree", 4, IF(raw_data!AU4 = "neutral", 3, IF(raw_data!AU4 = "disagree", 2, 1))))</f>
        <v>5</v>
      </c>
      <c r="AV4">
        <f>IF(raw_data!AV4 = "strongly agree", 5, IF(raw_data!AV4 = "agree", 4, IF(raw_data!AV4 = "neutral", 3, IF(raw_data!AV4 = "disagree", 2, 1))))</f>
        <v>5</v>
      </c>
      <c r="AW4">
        <f>IF(raw_data!AW4 = "strongly agree", 5, IF(raw_data!AW4 = "agree", 4, IF(raw_data!AW4 = "neutral", 3, IF(raw_data!AW4 = "disagree", 2, 1))))</f>
        <v>4</v>
      </c>
      <c r="AX4">
        <f>IF(raw_data!AX4 = "strongly agree", 5, IF(raw_data!AX4 = "agree", 4, IF(raw_data!AX4 = "neutral", 3, IF(raw_data!AX4 = "disagree", 2, 1))))</f>
        <v>3</v>
      </c>
      <c r="AY4">
        <f>IF(raw_data!AY4 = "strongly agree", 5, IF(raw_data!AY4 = "agree", 4, IF(raw_data!AY4 = "neutral", 3, IF(raw_data!AY4 = "disagree", 2, 1))))</f>
        <v>5</v>
      </c>
      <c r="AZ4">
        <f>IF(raw_data!AZ4 = "strongly agree", 5, IF(raw_data!AZ4 = "agree", 4, IF(raw_data!AZ4 = "neutral", 3, IF(raw_data!AZ4 = "disagree", 2, 1))))</f>
        <v>5</v>
      </c>
      <c r="BA4">
        <f>IF(raw_data!BA4 = "strongly agree", 5, IF(raw_data!BA4 = "agree", 4, IF(raw_data!BA4 = "neutral", 3, IF(raw_data!BA4 = "disagree", 2, 1))))</f>
        <v>5</v>
      </c>
      <c r="BB4">
        <f>IF(raw_data!BB4 = "strongly agree", 5, IF(raw_data!BB4 = "agree", 4, IF(raw_data!BB4 = "neutral", 3, IF(raw_data!BB4 = "disagree", 2, 1))))</f>
        <v>2</v>
      </c>
      <c r="BC4">
        <f>IF(raw_data!BC4 = "strongly agree", 5, IF(raw_data!BC4 = "agree", 4, IF(raw_data!BC4 = "neutral", 3, IF(raw_data!BC4 = "disagree", 2, 1))))</f>
        <v>3</v>
      </c>
      <c r="BD4">
        <f>IF(raw_data!BD4 = "strongly agree", 5, IF(raw_data!BD4 = "agree", 4, IF(raw_data!BD4 = "neutral", 3, IF(raw_data!BD4 = "disagree", 2, 1))))</f>
        <v>5</v>
      </c>
      <c r="BE4">
        <f>IF(raw_data!BE4 = "strongly agree", 5, IF(raw_data!BE4 = "agree", 4, IF(raw_data!BE4 = "neutral", 3, IF(raw_data!BE4 = "disagree", 2, 1))))</f>
        <v>5</v>
      </c>
      <c r="BF4">
        <f>IF(raw_data!BF4 = "strongly agree", 5, IF(raw_data!BF4 = "agree", 4, IF(raw_data!BF4 = "neutral", 3, IF(raw_data!BF4 = "disagree", 2, 1))))</f>
        <v>5</v>
      </c>
      <c r="BG4">
        <f>IF(raw_data!BG4 = "very strong", 5, IF(raw_data!BG4 = "substantial", 4, IF(raw_data!BG4 = "moderate", 3, IF(raw_data!BG4  = "limited", 2, 1))))</f>
        <v>2</v>
      </c>
      <c r="BH4">
        <f>IF(raw_data!BH4 = "very strong", 5, IF(raw_data!BH4 = "substantial", 4, IF(raw_data!BH4 = "moderate", 3, IF(raw_data!BH4  = "limited", 2, 1))))</f>
        <v>5</v>
      </c>
      <c r="BI4">
        <f>IF(raw_data!BI4 = "very strong", 5, IF(raw_data!BI4 = "substantial", 4, IF(raw_data!BI4 = "moderate", 3, IF(raw_data!BI4  = "limited", 2, 1))))</f>
        <v>4</v>
      </c>
      <c r="BJ4">
        <f>IF(raw_data!BJ4 = "very strong", 5, IF(raw_data!BJ4 = "substantial", 4, IF(raw_data!BJ4 = "moderate", 3, IF(raw_data!BJ4 = "limited", 2, 1))))</f>
        <v>3</v>
      </c>
      <c r="BK4">
        <f>IF(raw_data!BK4 = "very strong", 5, IF(raw_data!BK4 = "substantial", 4, IF(raw_data!BK4 = "moderate", 3, IF(raw_data!BK4 = "limited", 2, 1))))</f>
        <v>5</v>
      </c>
      <c r="BL4">
        <f>IF(raw_data!BL4 = "very strong", 5, IF(raw_data!BL4 = "substantial", 4, IF(raw_data!BL4 = "moderate", 3, IF(raw_data!BL4 = "limited", 2, 1))))</f>
        <v>5</v>
      </c>
      <c r="BM4">
        <f>IF(raw_data!BM4 = "very strong", 5, IF(raw_data!BM4 = "substantial", 4, IF(raw_data!BM4 = "moderate", 3, IF(raw_data!BM4 = "limited", 2, 1))))</f>
        <v>5</v>
      </c>
      <c r="BN4">
        <f>IF(raw_data!BN4 = "very strong", 5, IF(raw_data!BN4 = "substantial", 4, IF(raw_data!BN4 = "moderate", 3, IF(raw_data!BN4 = "limited", 2, 1))))</f>
        <v>4</v>
      </c>
      <c r="BO4">
        <f>IF(raw_data!BO4 = "very strong", 5, IF(raw_data!BO4 = "substantial", 4, IF(raw_data!BO4 = "moderate", 3, IF(raw_data!BO4 = "limited", 2, 1))))</f>
        <v>5</v>
      </c>
      <c r="BP4">
        <f>IF(raw_data!BP4 = "very strong", 5, IF(raw_data!BP4 = "substantial", 4, IF(raw_data!BP4 = "moderate", 3, IF(raw_data!BP4 = "limited", 2, 1))))</f>
        <v>5</v>
      </c>
      <c r="BQ4">
        <f>IF(raw_data!BQ4 = "very strong", 5, IF(raw_data!BQ4 = "substantial", 4, IF(raw_data!BQ4 = "moderate", 3, IF(raw_data!BQ4 = "limited", 2, 1))))</f>
        <v>1</v>
      </c>
      <c r="BR4">
        <f>IF(raw_data!BR4 = "very strong", 5, IF(raw_data!BR4 = "substantial", 4, IF(raw_data!BR4 = "moderate", 3, IF(raw_data!BR4 = "limited", 2, 1))))</f>
        <v>1</v>
      </c>
      <c r="BS4">
        <f>IF(raw_data!BS4 = "can't remember", 0, 1)</f>
        <v>1</v>
      </c>
      <c r="BT4" s="60">
        <f>IF(raw_data!BT4 = "can't remember", 0, 1)</f>
        <v>1</v>
      </c>
      <c r="BU4" s="60">
        <f>IF(raw_data!BU4 = "can't remember", 0, 1)</f>
        <v>1</v>
      </c>
      <c r="BV4" s="60">
        <f>IF(raw_data!BV4 = "can't remember", 0, 1)</f>
        <v>1</v>
      </c>
      <c r="BW4" s="60">
        <f>IF(raw_data!BW4 = "can't remember", 0, 1)</f>
        <v>1</v>
      </c>
      <c r="BX4" s="60">
        <f>IF(raw_data!BX4 = "can't remember", 0, 1)</f>
        <v>1</v>
      </c>
      <c r="BY4">
        <f>IF(raw_data!BY4 ="no", 0, 1)</f>
        <v>1</v>
      </c>
      <c r="BZ4">
        <f>IF(raw_data!BZ4 ="no", 0, 1)</f>
        <v>1</v>
      </c>
      <c r="CA4">
        <f>IF(raw_data!CA4 ="no", 0, 1)</f>
        <v>1</v>
      </c>
      <c r="CB4">
        <f>IF(raw_data!CB4 ="no", 1, 0)</f>
        <v>1</v>
      </c>
      <c r="CC4">
        <f>IF(raw_data!CC4 ="no", 0, 1)</f>
        <v>1</v>
      </c>
      <c r="CD4">
        <f>IF(raw_data!CD4 ="no", 0, 1)</f>
        <v>1</v>
      </c>
      <c r="CE4">
        <f>IF(raw_data!CE4 ="no", 0, 1)</f>
        <v>1</v>
      </c>
      <c r="CF4">
        <f>IF(raw_data!CF4 ="no", 0, 1)</f>
        <v>1</v>
      </c>
      <c r="CG4">
        <f>IF(raw_data!CG4 = "yes", 1, 0)</f>
        <v>0</v>
      </c>
      <c r="CH4">
        <f>IF(raw_data!CH4 = "yes", 1, 0)</f>
        <v>0</v>
      </c>
      <c r="CI4">
        <f>IF(raw_data!CI4 = "yes", 1, 0)</f>
        <v>0</v>
      </c>
      <c r="CJ4">
        <f>IF(raw_data!CJ4 = "yes", 1, 0)</f>
        <v>0</v>
      </c>
      <c r="CK4">
        <f>IF(raw_data!CK4 = "yes", 1, 0)</f>
        <v>0</v>
      </c>
      <c r="CL4">
        <f>IF(raw_data!CL4 = "yes", 1, 0)</f>
        <v>0</v>
      </c>
      <c r="CM4">
        <f>IF(raw_data!CM4 = "yes", 1, 0)</f>
        <v>1</v>
      </c>
      <c r="CN4">
        <f>IF(raw_data!CN4 = "yes", 1, 0)</f>
        <v>1</v>
      </c>
      <c r="CO4">
        <f>IF(raw_data!CO4 = "yes", 1, 0)</f>
        <v>1</v>
      </c>
      <c r="CP4">
        <f>IF(raw_data!CP4 = "yes", 1, 0)</f>
        <v>0</v>
      </c>
      <c r="CQ4">
        <f>IF(raw_data!CQ4 = "yes", 1, 0)</f>
        <v>1</v>
      </c>
      <c r="CR4">
        <f>IF(raw_data!CR4 = "yes", 1, 0)</f>
        <v>0</v>
      </c>
      <c r="CS4">
        <f>IF(raw_data!CS4 = "yes", 1, 0)</f>
        <v>0</v>
      </c>
      <c r="CT4">
        <f>IF(raw_data!CT4 = "yes", 1, 0)</f>
        <v>0</v>
      </c>
      <c r="CU4">
        <f>IF(raw_data!CU4 = "yes", 1, 0)</f>
        <v>0</v>
      </c>
      <c r="CV4">
        <f>IF(raw_data!CV4 = "yes", 1, 0)</f>
        <v>0</v>
      </c>
      <c r="CW4">
        <f>IF(raw_data!CW4="na",0,IF(raw_data!CW4="no",0,1))</f>
        <v>0</v>
      </c>
      <c r="CX4">
        <f>IF(raw_data!CX4 = "yes", 1, 0)</f>
        <v>1</v>
      </c>
      <c r="CY4">
        <f>IF(raw_data!CY4 = "yes", 1, 0)</f>
        <v>1</v>
      </c>
      <c r="CZ4">
        <f>IF(raw_data!CZ4 = "yes", 0, 1)</f>
        <v>1</v>
      </c>
      <c r="DA4">
        <f>IF(raw_data!DA4 = "yes", 1, 0)</f>
        <v>1</v>
      </c>
      <c r="DB4">
        <f>IF(raw_data!DB4 = "as prescribed", 1, 0)</f>
        <v>1</v>
      </c>
      <c r="DC4">
        <f>IF(raw_data!DC4 = "yes", 1, 0)</f>
        <v>1</v>
      </c>
      <c r="DD4">
        <f>IF(raw_data!DD4 = "yes", 1, 0)</f>
        <v>1</v>
      </c>
      <c r="DE4">
        <f>IF(raw_data!DE4 = "yes", 1, 0)</f>
        <v>1</v>
      </c>
      <c r="DF4">
        <f>IF(raw_data!DF4 = "yes", 1, 0)</f>
        <v>1</v>
      </c>
      <c r="DG4">
        <f>IF(raw_data!DG4 = "yes", 1, 0)</f>
        <v>1</v>
      </c>
      <c r="DH4">
        <f>IF(raw_data!DH4 = "no", 0, 1)</f>
        <v>0</v>
      </c>
      <c r="DI4">
        <f>IF(raw_data!DI4 = "yes", 1, 0)</f>
        <v>1</v>
      </c>
      <c r="DJ4">
        <f>IF(raw_data!DJ4 = "yes", 1, 0)</f>
        <v>1</v>
      </c>
      <c r="DK4">
        <f>IF(raw_data!DK4 = "yes", 1, 0)</f>
        <v>0</v>
      </c>
      <c r="DL4">
        <f>IF(raw_data!DL4 = "yes", 0, 1)</f>
        <v>1</v>
      </c>
      <c r="DM4">
        <f>IF(raw_data!DM4 = "yes", 0, 1)</f>
        <v>1</v>
      </c>
      <c r="DN4">
        <f>IF(raw_data!DN4="na",0,IF(raw_data!DN4="no",0,1))</f>
        <v>0</v>
      </c>
      <c r="DO4">
        <f>IF(raw_data!DO4 = "yes", 1, 0)</f>
        <v>1</v>
      </c>
      <c r="DP4">
        <f>IF(raw_data!DP4 = "yes", 1, 0)</f>
        <v>1</v>
      </c>
      <c r="DQ4">
        <f>IF(raw_data!DQ4 = "yes", 1, 0)</f>
        <v>0</v>
      </c>
      <c r="DR4">
        <f>IF(raw_data!DR4 = "yes", 0, 1)</f>
        <v>1</v>
      </c>
      <c r="DS4">
        <f>IF(raw_data!DS4 = "yes", 0, 1)</f>
        <v>1</v>
      </c>
      <c r="DT4">
        <f>IF(raw_data!DT4 = "na", 0, IF(raw_data!DT4 = "no", 0, 1))</f>
        <v>1</v>
      </c>
      <c r="DU4">
        <f>IF(raw_data!DU4 = "yes", 1, 0)</f>
        <v>1</v>
      </c>
      <c r="DV4">
        <f>IF(raw_data!DV4 = "yes", 0, 1)</f>
        <v>1</v>
      </c>
      <c r="DW4">
        <f>IF(raw_data!DW4 = "yes", 1, 0)</f>
        <v>0</v>
      </c>
      <c r="DX4">
        <f>IF(raw_data!DX4 = "yes", 0, 1)</f>
        <v>1</v>
      </c>
      <c r="DY4">
        <f>IF(raw_data!DY4 = "yes", 1, 0)</f>
        <v>1</v>
      </c>
      <c r="DZ4">
        <f>IF(raw_data!DZ4="na",0,IF(raw_data!DZ4="no",0,1))</f>
        <v>0</v>
      </c>
      <c r="EA4">
        <f>IF(raw_data!EA4 = "don't check", 0, 1)</f>
        <v>1</v>
      </c>
      <c r="EB4">
        <f>IF(raw_data!EB4 = "pull out", 1, 0)</f>
        <v>1</v>
      </c>
      <c r="EC4" s="1">
        <f>IF(raw_data!EC4 = "yes", 1, 0)</f>
        <v>0</v>
      </c>
      <c r="ED4">
        <f>IF(raw_data!ED4 = "yes", 1, 0)</f>
        <v>1</v>
      </c>
      <c r="EE4" s="60">
        <f>IF(raw_data!EE4="don't know",0,IF(raw_data!EE4="na",0,1))</f>
        <v>1</v>
      </c>
      <c r="EF4" s="60">
        <f>IF(raw_data!EF4="don't know",0,IF(raw_data!EF4="na",0,1))</f>
        <v>1</v>
      </c>
      <c r="EG4">
        <f>IF(raw_data!EG4 = "yes", 1, 0)</f>
        <v>1</v>
      </c>
      <c r="EH4" s="60">
        <f>IF(raw_data!EH4="don't know",0,IF(raw_data!EH4="na",0,1))</f>
        <v>1</v>
      </c>
      <c r="EI4" s="60">
        <f>IF(raw_data!EI4="don't know",0,IF(raw_data!EI4="na",0,1))</f>
        <v>1</v>
      </c>
      <c r="EJ4">
        <f>IF(raw_data!EJ4 = "yes", 1, 0)</f>
        <v>1</v>
      </c>
      <c r="EK4" s="60">
        <f>IF(raw_data!EK4="don't know",0,IF(raw_data!EK4="na",0,1))</f>
        <v>0</v>
      </c>
      <c r="EL4" s="60">
        <f>IF(raw_data!EL4="don't know",0,IF(raw_data!EL4="na",0,1))</f>
        <v>0</v>
      </c>
      <c r="EM4">
        <f>IF(raw_data!EM4 = "yes", 1, 0)</f>
        <v>1</v>
      </c>
      <c r="EN4" s="60">
        <f>IF(raw_data!EN4="don't know",0,IF(raw_data!EN4="na",0,1))</f>
        <v>1</v>
      </c>
      <c r="EO4" s="60">
        <f>IF(raw_data!EO4="don't know",0,IF(raw_data!EO4="na",0,1))</f>
        <v>1</v>
      </c>
      <c r="EP4" s="60">
        <f>IF(raw_data!EP4="don't know",0,IF(raw_data!EP4="na",0,1))</f>
        <v>1</v>
      </c>
      <c r="EQ4">
        <f>IF(raw_data!EQ4 = "yes", 1, 0)</f>
        <v>1</v>
      </c>
      <c r="ER4" s="60">
        <f>IF(raw_data!ER4="don't know",0,IF(raw_data!ER4="na",0,1))</f>
        <v>1</v>
      </c>
      <c r="ES4" s="60">
        <f>IF(raw_data!ES4="don't know",0,IF(raw_data!ES4="na",0,1))</f>
        <v>1</v>
      </c>
      <c r="ET4" s="60">
        <f>IF(raw_data!ET4="don't know",0,IF(raw_data!ET4="na",0,1))</f>
        <v>1</v>
      </c>
      <c r="EU4">
        <f>IF(raw_data!EU4 = "yes", 1, 0)</f>
        <v>1</v>
      </c>
      <c r="EV4">
        <f>IF(raw_data!EV4 = "all the time", 2, IF(raw_data!EV4 = "often", 1, 0))</f>
        <v>2</v>
      </c>
      <c r="EW4" s="1">
        <f>IF(raw_data!EW4 = "yes", 1, 0)</f>
        <v>1</v>
      </c>
      <c r="EX4">
        <f>IF(raw_data!EX4 = "interested", 2, IF(raw_data!EX4 = "neutral", 1, 0))</f>
        <v>2</v>
      </c>
      <c r="EY4">
        <f>IF(raw_data!EY4 = "don't know", 0, 1)</f>
        <v>1</v>
      </c>
      <c r="EZ4" s="60">
        <f>IF(raw_data!EZ4 = "don't know", 0, 1)</f>
        <v>0</v>
      </c>
      <c r="FA4" s="60">
        <f>IF(raw_data!FA4 = "no", 0, 1)</f>
        <v>1</v>
      </c>
      <c r="FB4" s="60">
        <f>IF(raw_data!FB4 = "no", 0, 1)</f>
        <v>0</v>
      </c>
      <c r="FC4" s="1">
        <f>IF(raw_data!FC4 = "no", 0, 1)</f>
        <v>0</v>
      </c>
      <c r="FD4" s="60">
        <f>IF(raw_data!FD4="tv",1,IF(raw_data!FD4="radio",1,IF(raw_data!FD4="newspaper",1,IF(raw_data!FD4="internet",1,IF(raw_data!FD4="sns",1,IF(raw_data!FD4="na",0,2))))))</f>
        <v>1</v>
      </c>
      <c r="FE4" s="60">
        <f>IF(raw_data!FE4="tv",1,IF(raw_data!FE4="radio",1,IF(raw_data!FE4="newspaper",1,IF(raw_data!FE4="internet",1,IF(raw_data!FE4="sns",1,IF(raw_data!FE4="na",0,2))))))</f>
        <v>1</v>
      </c>
      <c r="FF4" s="60">
        <f>IF(raw_data!FF4="tv",1,IF(raw_data!FF4="radio",1,IF(raw_data!FF4="newspaper",1,IF(raw_data!FF4="internet",1,IF(raw_data!FF4="sns",1,IF(raw_data!FF4="na",0,2))))))</f>
        <v>1</v>
      </c>
      <c r="FG4">
        <f>IF(raw_data!FG4 = "4+ hrs", 4, IF(raw_data!FG4 = "2-4 hrs", 3, IF(raw_data!FG4 = "1-2 hrs", 2, IF(raw_data!FG4 = "less than 1 hr", 1, 0))))</f>
        <v>2</v>
      </c>
      <c r="FH4">
        <f>IF(raw_data!FH4 = "4+ hrs", 4, IF(raw_data!FH4 = "2-4 hrs", 3, IF(raw_data!FH4 = "1-2 hrs", 2, IF(raw_data!FH4 = "less than 1 hr", 1, 0))))</f>
        <v>4</v>
      </c>
      <c r="FI4">
        <f>IF(raw_data!FI4 = "4+ hrs", 4, IF(raw_data!FI4 = "2-4 hrs", 3, IF(raw_data!FI4 = "1-2 hrs", 2, IF(raw_data!FI4 = "less than 1 hr", 1, 0))))</f>
        <v>4</v>
      </c>
      <c r="FJ4" s="60">
        <f>IF(raw_data!FJ4="tv",1,IF(raw_data!FJ4="radio",1,IF(raw_data!FJ4="newspaper",1,IF(raw_data!FJ4="internet",1,IF(raw_data!FJ4="sns",1,IF(raw_data!FJ4="na",0,2))))))</f>
        <v>1</v>
      </c>
      <c r="FK4" s="60">
        <f>IF(raw_data!FK4="tv",1,IF(raw_data!FK4="radio",1,IF(raw_data!FK4="newspaper",1,IF(raw_data!FK4="internet",1,IF(raw_data!FK4="sns",1,IF(raw_data!FK4="na",0,2))))))</f>
        <v>1</v>
      </c>
      <c r="FL4" s="60">
        <f>IF(raw_data!FL4="tv",1,IF(raw_data!FL4="radio",1,IF(raw_data!FL4="newspaper",1,IF(raw_data!FL4="internet",1,IF(raw_data!FL4="sns",1,IF(raw_data!FL4="na",0,2))))))</f>
        <v>1</v>
      </c>
      <c r="FM4">
        <f>IF(raw_data!FM4 = "4+ hrs", 4, IF(raw_data!FM4 = "2-4 hrs", 3, IF(raw_data!FM4 = "1-2 hrs", 2, IF(raw_data!FM4 = "less than 1 hr", 1, 0))))</f>
        <v>4</v>
      </c>
      <c r="FN4">
        <f>IF(raw_data!FN4 = "4+ hrs", 4, IF(raw_data!FN4 = "2-4 hrs", 3, IF(raw_data!FN4 = "1-2 hrs", 2, IF(raw_data!FN4 = "less than 1 hr", 1, 0))))</f>
        <v>3</v>
      </c>
      <c r="FO4">
        <f>IF(raw_data!FO4 = "4+ hrs", 4, IF(raw_data!FO4 = "2-4 hrs", 3, IF(raw_data!FO4 = "1-2 hrs", 2, IF(raw_data!FO4 = "less than 1 hr", 1, 0))))</f>
        <v>3</v>
      </c>
      <c r="FP4">
        <f>IF(raw_data!FP4="only news",1,IF(raw_data!FP4="mostly news",2,IF(raw_data!FP4="balanced",3,IF(raw_data!FP4="mostly entertainment",2,1))))</f>
        <v>2</v>
      </c>
      <c r="FQ4">
        <f>IF(raw_data!FQ4 = "yes", 1, 0)</f>
        <v>1</v>
      </c>
      <c r="FR4">
        <f>IF(raw_data!FR4 = "yes", 1, 0)</f>
        <v>0</v>
      </c>
      <c r="FS4">
        <f>IF(raw_data!FS4 = "yes", 1, 0)</f>
        <v>1</v>
      </c>
      <c r="FT4">
        <f>IF(raw_data!FT4 = "yes", 1, 0)</f>
        <v>1</v>
      </c>
      <c r="FU4">
        <f>IF(raw_data!FU4 = "yes", 1, 0)</f>
        <v>1</v>
      </c>
      <c r="FV4">
        <f>IF(raw_data!FV4="na",0,IF(raw_data!FV4="no",0,1))</f>
        <v>1</v>
      </c>
      <c r="FW4" s="60">
        <f>IF(raw_data!FW4="vet school", 1, IF(raw_data!FW4="symposia", 1, IF(raw_data!FW4="conferences", 1, IF(raw_data!FW4="online course", 1, IF(raw_data!FW4="websites", 1, IF(raw_data!FW4="documentary", 1, IF(raw_data!FW4="tv", 1, IF(raw_data!FW4="newspaper", 1, IF(raw_data!FW4="blogs", 1, IF(raw_data!FW4="sns", 1, IF(raw_data!FW4="na", 0, 2)))))))))))</f>
        <v>1</v>
      </c>
      <c r="FX4" s="60">
        <f>IF(raw_data!FX4="vet school", 1, IF(raw_data!FX4="symposia", 1, IF(raw_data!FX4="conferences", 1, IF(raw_data!FX4="online course", 1, IF(raw_data!FX4="websites", 1, IF(raw_data!FX4="documentary", 1, IF(raw_data!FX4="tv", 1, IF(raw_data!FX4="newspaper", 1, IF(raw_data!FX4="blogs", 1, IF(raw_data!FX4="sns", 1, IF(raw_data!FX4="na", 0, 2)))))))))))</f>
        <v>2</v>
      </c>
      <c r="FY4" s="1">
        <f>IF(raw_data!FY4="vet school", 1, IF(raw_data!FY4="symposia", 1, IF(raw_data!FY4="conferences", 1, IF(raw_data!FY4="online course", 1, IF(raw_data!FY4="websites", 1, IF(raw_data!FY4="documentary", 1, IF(raw_data!FY4="tv", 1, IF(raw_data!FY4="newspaper", 1, IF(raw_data!FY4="blogs", 1, IF(raw_data!FY4="sns", 1, IF(raw_data!FY4="na", 0, 2)))))))))))</f>
        <v>1</v>
      </c>
    </row>
    <row r="5" spans="1:189">
      <c r="A5" s="157">
        <v>2</v>
      </c>
      <c r="B5">
        <f>IF(raw_data!B:B="post-graduate",7,IF(raw_data!B5="graduate",6,IF(raw_data!B5="college",5,IF(raw_data!B5="technical",4,IF(raw_data!B5="high school",3,IF(raw_data!B5="elementary",2,IF(raw_data!B5="some schooling",1,0)))))))</f>
        <v>5</v>
      </c>
      <c r="C5" s="60">
        <f>IF(raw_data!C5 = "proprietor", 0, IF(raw_data!C5 = "rep", 1, IF(raw_data!C5 = "staff", 2, IF(raw_data!C5 = "vet pharm", 3, 4))))</f>
        <v>2</v>
      </c>
      <c r="D5" s="60">
        <f>raw_data!D5</f>
        <v>46</v>
      </c>
      <c r="E5" s="60">
        <f>IF(raw_data!E5 = "less than 1 yr", 0, IF(raw_data!E5 = "1-2 yrs", 1, IF(raw_data!E5 = "2-5 yrs", 2, IF(raw_data!E5 = "5-10 yrs", 3, 4))))</f>
        <v>1</v>
      </c>
      <c r="F5">
        <f>IF(raw_data!F5="large-scale",2,IF(raw_data!F5="medium-scale",1,0))</f>
        <v>0</v>
      </c>
      <c r="G5">
        <f>IF(raw_data!G5="input",2,IF(raw_data!G5="not in charge",1,0))</f>
        <v>1</v>
      </c>
      <c r="H5">
        <f>IF(raw_data!H5 = "large farm owners", 6, IF(raw_data!H5 = "medium farm owners", 5, IF(raw_data!H5 = "small farm owners", 4, IF(raw_data!H5 = "large retailers", 3, IF(raw_data!H5 = "medium retailers", 2, IF(raw_data!H5 = "small retailers", 1, 0))))))</f>
        <v>4</v>
      </c>
      <c r="I5">
        <f>IF(raw_data!I5 = "male", 0, IF(raw_data!I5 = "female", 1, 2))</f>
        <v>0</v>
      </c>
      <c r="J5" s="1">
        <f>IF(raw_data!J4="yes",1,0)</f>
        <v>1</v>
      </c>
      <c r="K5">
        <f>IF(raw_data!K5 = "yes", 1, 0)</f>
        <v>1</v>
      </c>
      <c r="L5" s="60">
        <f>IF(raw_data!L5 = "treatment all", 0, IF(raw_data!L5 = "prevention all", 0, IF(raw_data!L5 = "prevention some", 0, IF(raw_data!L5 = "growth booster", 0, IF(raw_data!L5 = "don't know", 0, 1)))))</f>
        <v>0</v>
      </c>
      <c r="M5" s="60">
        <f>IF(raw_data!M5 = "can't remember", 0, 1)</f>
        <v>1</v>
      </c>
      <c r="N5" s="60">
        <f>IF(raw_data!N5 = "can't remember", 0, 1)</f>
        <v>0</v>
      </c>
      <c r="O5" s="60">
        <f>IF(raw_data!O5 = "can't remember", 0, 1)</f>
        <v>0</v>
      </c>
      <c r="P5">
        <f>IF(raw_data!P5 = "yes", 1, 0)</f>
        <v>0</v>
      </c>
      <c r="Q5">
        <f>IF(raw_data!Q5 = "bacteria develop resistance", 1, 0)</f>
        <v>0</v>
      </c>
      <c r="R5">
        <f>IF(raw_data!R5 = "yes", 1, 0)</f>
        <v>0</v>
      </c>
      <c r="S5">
        <f>IF(raw_data!S5 = "yes", 1, 0)</f>
        <v>0</v>
      </c>
      <c r="T5">
        <f>IF(raw_data!T5 = "yes", 1, 0)</f>
        <v>0</v>
      </c>
      <c r="U5">
        <f>IF(raw_data!U5 = "yes", 1, 0)</f>
        <v>0</v>
      </c>
      <c r="V5">
        <f>IF(raw_data!V5 = "yes", 1, 0)</f>
        <v>0</v>
      </c>
      <c r="W5">
        <f>IF(raw_data!W5 = "yes", 1, 0)</f>
        <v>0</v>
      </c>
      <c r="X5" s="60">
        <f>IF(raw_data!X5 = "no", 0, 1)</f>
        <v>0</v>
      </c>
      <c r="Y5">
        <f>IF(raw_data!Y5 = "yes", 1, 0)</f>
        <v>0</v>
      </c>
      <c r="Z5" s="60">
        <f>IF(raw_data!Z5 = "can't remember", 0, 1)</f>
        <v>0</v>
      </c>
      <c r="AA5" s="60">
        <f>IF(raw_data!AA5 = "can't remember", 0, 1)</f>
        <v>0</v>
      </c>
      <c r="AB5" s="60">
        <f>IF(raw_data!AB5 = "can't remember", 0, 1)</f>
        <v>0</v>
      </c>
      <c r="AC5" s="60">
        <f>IF(raw_data!AC5 = "4 correct", 4, IF(raw_data!AC5 = "3 correct", 3, IF(raw_data!AC5 = "2 correct", 2, IF(raw_data!AC5 = "1 correct", 1, 0))))</f>
        <v>2</v>
      </c>
      <c r="AD5">
        <f>IF(raw_data!AD5="basic info",1,IF(raw_data!AD5="etiology",1,IF(raw_data!AD5="advanced understanding",1,0)))</f>
        <v>0</v>
      </c>
      <c r="AE5">
        <f>IF(raw_data!AE5 = "true", 0, 1)</f>
        <v>0</v>
      </c>
      <c r="AF5">
        <f>IF(raw_data!AF5 = "true", 1, 0)</f>
        <v>0</v>
      </c>
      <c r="AG5">
        <f>IF(raw_data!AG5 = "yes", 1, 0)</f>
        <v>0</v>
      </c>
      <c r="AH5">
        <f>IF(raw_data!AH:AH = "yes", 1, 0)</f>
        <v>0</v>
      </c>
      <c r="AI5">
        <f>IF(raw_data!AI:AI = "yes", 1, 0)</f>
        <v>0</v>
      </c>
      <c r="AJ5">
        <f>IF(raw_data!AJ:AJ = "yes", 1, 0)</f>
        <v>0</v>
      </c>
      <c r="AK5">
        <f>IF(raw_data!AK:AK = "yes", 1, 0)</f>
        <v>0</v>
      </c>
      <c r="AL5">
        <f>IF(raw_data!AL:AL = "yes", 1, 0)</f>
        <v>0</v>
      </c>
      <c r="AM5">
        <f>IF(raw_data!AM:AM = "yes", 1, 0)</f>
        <v>0</v>
      </c>
      <c r="AN5" s="60">
        <f>IF(raw_data!AN:AN="no",0,IF(raw_data!AN:AN="na",0,1))</f>
        <v>0</v>
      </c>
      <c r="AO5">
        <f>IF(raw_data!AO5="5 correct",5,IF(raw_data!AO5="4 correct",4,IF(raw_data!AO5="3 correct",3,IF(raw_data!AO5="2 correct", 2, IF(raw_data!AO5="1 correct",1,0)))))</f>
        <v>0</v>
      </c>
      <c r="AP5">
        <f>IF(raw_data!AP5="5 correct",5,IF(raw_data!AP5="4 correct",4,IF(raw_data!AP5="3 correct",3,IF(raw_data!AP5="2 correct", 2, IF(raw_data!AP5="1 correct",1,0)))))</f>
        <v>0</v>
      </c>
      <c r="AQ5">
        <f>IF(raw_data!AQ5="5 correct",5,IF(raw_data!AQ5="4 correct",4,IF(raw_data!AQ5="3 correct",3,IF(raw_data!AQ5="2 correct", 2, IF(raw_data!AQ5="1 correct",1,0)))))</f>
        <v>0</v>
      </c>
      <c r="AR5">
        <f>IF(raw_data!AR5="5 correct",5,IF(raw_data!AR5="4 correct",4,IF(raw_data!AR5="3 correct",3,IF(raw_data!AR5="2 correct", 2, IF(raw_data!AR5="1 correct",1,0)))))</f>
        <v>0</v>
      </c>
      <c r="AS5">
        <f>IF(raw_data!AS5 = "very serious", 5, IF(raw_data!AS5 = "serious", 4, IF(raw_data!AS5 = "moderately serious", 3, IF(raw_data!AS5 = "slightly serious", 2, 1))))</f>
        <v>4</v>
      </c>
      <c r="AT5">
        <f>IF(raw_data!AT5 = "seriously concerned", 4, IF(raw_data!AT5 = "concerned", 3, IF(raw_data!AT5 = "slightly concerned", 2, IF(raw_data!AT5 = "not concerned at all", 1, 0))))</f>
        <v>4</v>
      </c>
      <c r="AU5">
        <f>IF(raw_data!AU5 = "strongly agree", 5, IF(raw_data!AU5 = "agree", 4, IF(raw_data!AU5 = "neutral", 3, IF(raw_data!AU5 = "disagree", 2, 1))))</f>
        <v>5</v>
      </c>
      <c r="AV5">
        <f>IF(raw_data!AV5 = "strongly agree", 5, IF(raw_data!AV5 = "agree", 4, IF(raw_data!AV5 = "neutral", 3, IF(raw_data!AV5 = "disagree", 2, 1))))</f>
        <v>5</v>
      </c>
      <c r="AW5">
        <f>IF(raw_data!AW5 = "strongly agree", 5, IF(raw_data!AW5 = "agree", 4, IF(raw_data!AW5 = "neutral", 3, IF(raw_data!AW5 = "disagree", 2, 1))))</f>
        <v>4</v>
      </c>
      <c r="AX5">
        <f>IF(raw_data!AX5 = "strongly agree", 5, IF(raw_data!AX5 = "agree", 4, IF(raw_data!AX5 = "neutral", 3, IF(raw_data!AX5 = "disagree", 2, 1))))</f>
        <v>4</v>
      </c>
      <c r="AY5">
        <f>IF(raw_data!AY5 = "strongly agree", 5, IF(raw_data!AY5 = "agree", 4, IF(raw_data!AY5 = "neutral", 3, IF(raw_data!AY5 = "disagree", 2, 1))))</f>
        <v>5</v>
      </c>
      <c r="AZ5">
        <f>IF(raw_data!AZ5 = "strongly agree", 5, IF(raw_data!AZ5 = "agree", 4, IF(raw_data!AZ5 = "neutral", 3, IF(raw_data!AZ5 = "disagree", 2, 1))))</f>
        <v>2</v>
      </c>
      <c r="BA5">
        <f>IF(raw_data!BA5 = "strongly agree", 5, IF(raw_data!BA5 = "agree", 4, IF(raw_data!BA5 = "neutral", 3, IF(raw_data!BA5 = "disagree", 2, 1))))</f>
        <v>3</v>
      </c>
      <c r="BB5">
        <f>IF(raw_data!BB5 = "strongly agree", 5, IF(raw_data!BB5 = "agree", 4, IF(raw_data!BB5 = "neutral", 3, IF(raw_data!BB5 = "disagree", 2, 1))))</f>
        <v>4</v>
      </c>
      <c r="BC5">
        <f>IF(raw_data!BC5 = "strongly agree", 5, IF(raw_data!BC5 = "agree", 4, IF(raw_data!BC5 = "neutral", 3, IF(raw_data!BC5 = "disagree", 2, 1))))</f>
        <v>4</v>
      </c>
      <c r="BD5">
        <f>IF(raw_data!BD5 = "strongly agree", 5, IF(raw_data!BD5 = "agree", 4, IF(raw_data!BD5 = "neutral", 3, IF(raw_data!BD5 = "disagree", 2, 1))))</f>
        <v>5</v>
      </c>
      <c r="BE5">
        <f>IF(raw_data!BE5 = "strongly agree", 5, IF(raw_data!BE5 = "agree", 4, IF(raw_data!BE5 = "neutral", 3, IF(raw_data!BE5 = "disagree", 2, 1))))</f>
        <v>5</v>
      </c>
      <c r="BF5">
        <f>IF(raw_data!BF5 = "strongly agree", 5, IF(raw_data!BF5 = "agree", 4, IF(raw_data!BF5 = "neutral", 3, IF(raw_data!BF5 = "disagree", 2, 1))))</f>
        <v>4</v>
      </c>
      <c r="BG5">
        <f>IF(raw_data!BG5 = "very strong", 5, IF(raw_data!BG5 = "substantial", 4, IF(raw_data!BG5 = "moderate", 3, IF(raw_data!BG5  = "limited", 2, 1))))</f>
        <v>2</v>
      </c>
      <c r="BH5">
        <f>IF(raw_data!BH5 = "very strong", 5, IF(raw_data!BH5 = "substantial", 4, IF(raw_data!BH5 = "moderate", 3, IF(raw_data!BH5  = "limited", 2, 1))))</f>
        <v>3</v>
      </c>
      <c r="BI5">
        <f>IF(raw_data!BI5 = "very strong", 5, IF(raw_data!BI5 = "substantial", 4, IF(raw_data!BI5 = "moderate", 3, IF(raw_data!BI5  = "limited", 2, 1))))</f>
        <v>4</v>
      </c>
      <c r="BJ5">
        <f>IF(raw_data!BJ5 = "very strong", 5, IF(raw_data!BJ5 = "substantial", 4, IF(raw_data!BJ5 = "moderate", 3, IF(raw_data!BJ5 = "limited", 2, 1))))</f>
        <v>5</v>
      </c>
      <c r="BK5">
        <f>IF(raw_data!BK5 = "very strong", 5, IF(raw_data!BK5 = "substantial", 4, IF(raw_data!BK5 = "moderate", 3, IF(raw_data!BK5 = "limited", 2, 1))))</f>
        <v>3</v>
      </c>
      <c r="BL5">
        <f>IF(raw_data!BL5 = "very strong", 5, IF(raw_data!BL5 = "substantial", 4, IF(raw_data!BL5 = "moderate", 3, IF(raw_data!BL5 = "limited", 2, 1))))</f>
        <v>2</v>
      </c>
      <c r="BM5">
        <f>IF(raw_data!BM5 = "very strong", 5, IF(raw_data!BM5 = "substantial", 4, IF(raw_data!BM5 = "moderate", 3, IF(raw_data!BM5 = "limited", 2, 1))))</f>
        <v>5</v>
      </c>
      <c r="BN5">
        <f>IF(raw_data!BN5 = "very strong", 5, IF(raw_data!BN5 = "substantial", 4, IF(raw_data!BN5 = "moderate", 3, IF(raw_data!BN5 = "limited", 2, 1))))</f>
        <v>5</v>
      </c>
      <c r="BO5">
        <f>IF(raw_data!BO5 = "very strong", 5, IF(raw_data!BO5 = "substantial", 4, IF(raw_data!BO5 = "moderate", 3, IF(raw_data!BO5 = "limited", 2, 1))))</f>
        <v>5</v>
      </c>
      <c r="BP5">
        <f>IF(raw_data!BP5 = "very strong", 5, IF(raw_data!BP5 = "substantial", 4, IF(raw_data!BP5 = "moderate", 3, IF(raw_data!BP5 = "limited", 2, 1))))</f>
        <v>4</v>
      </c>
      <c r="BQ5">
        <f>IF(raw_data!BQ5 = "very strong", 5, IF(raw_data!BQ5 = "substantial", 4, IF(raw_data!BQ5 = "moderate", 3, IF(raw_data!BQ5 = "limited", 2, 1))))</f>
        <v>1</v>
      </c>
      <c r="BR5">
        <f>IF(raw_data!BR5 = "very strong", 5, IF(raw_data!BR5 = "substantial", 4, IF(raw_data!BR5 = "moderate", 3, IF(raw_data!BR5 = "limited", 2, 1))))</f>
        <v>1</v>
      </c>
      <c r="BS5" s="60">
        <f>IF(raw_data!BS5 = "can't remember", 0, 1)</f>
        <v>1</v>
      </c>
      <c r="BT5" s="60">
        <f>IF(raw_data!BT5 = "can't remember", 0, 1)</f>
        <v>1</v>
      </c>
      <c r="BU5" s="60">
        <f>IF(raw_data!BU5 = "can't remember", 0, 1)</f>
        <v>0</v>
      </c>
      <c r="BV5" s="60">
        <f>IF(raw_data!BV5 = "can't remember", 0, 1)</f>
        <v>1</v>
      </c>
      <c r="BW5" s="60">
        <f>IF(raw_data!BW5 = "can't remember", 0, 1)</f>
        <v>1</v>
      </c>
      <c r="BX5" s="60">
        <f>IF(raw_data!BX5 = "can't remember", 0, 1)</f>
        <v>1</v>
      </c>
      <c r="BY5">
        <f>IF(raw_data!BY5 ="no", 0, 1)</f>
        <v>1</v>
      </c>
      <c r="BZ5">
        <f>IF(raw_data!BZ5 ="no", 0, 1)</f>
        <v>0</v>
      </c>
      <c r="CA5">
        <f>IF(raw_data!CA5 ="no", 0, 1)</f>
        <v>1</v>
      </c>
      <c r="CB5" s="60">
        <f>IF(raw_data!CB5 ="no", 1, 0)</f>
        <v>1</v>
      </c>
      <c r="CC5">
        <f>IF(raw_data!CC5 ="no", 0, 1)</f>
        <v>1</v>
      </c>
      <c r="CD5">
        <f>IF(raw_data!CD5 ="no", 0, 1)</f>
        <v>0</v>
      </c>
      <c r="CE5">
        <f>IF(raw_data!CE5 ="no", 0, 1)</f>
        <v>0</v>
      </c>
      <c r="CF5">
        <f>IF(raw_data!CF5 ="no", 0, 1)</f>
        <v>0</v>
      </c>
      <c r="CG5">
        <f>IF(raw_data!CG5 = "yes", 1, 0)</f>
        <v>0</v>
      </c>
      <c r="CH5">
        <f>IF(raw_data!CH5 = "yes", 1, 0)</f>
        <v>0</v>
      </c>
      <c r="CI5">
        <f>IF(raw_data!CI5 = "yes", 1, 0)</f>
        <v>0</v>
      </c>
      <c r="CJ5">
        <f>IF(raw_data!CJ5 = "yes", 1, 0)</f>
        <v>0</v>
      </c>
      <c r="CK5">
        <f>IF(raw_data!CK5 = "yes", 1, 0)</f>
        <v>0</v>
      </c>
      <c r="CL5">
        <f>IF(raw_data!CL5 = "yes", 1, 0)</f>
        <v>0</v>
      </c>
      <c r="CM5">
        <f>IF(raw_data!CM5 = "yes", 1, 0)</f>
        <v>1</v>
      </c>
      <c r="CN5">
        <f>IF(raw_data!CN5 = "yes", 1, 0)</f>
        <v>1</v>
      </c>
      <c r="CO5">
        <f>IF(raw_data!CO5 = "yes", 1, 0)</f>
        <v>0</v>
      </c>
      <c r="CP5">
        <f>IF(raw_data!CP5 = "yes", 1, 0)</f>
        <v>0</v>
      </c>
      <c r="CQ5">
        <f>IF(raw_data!CQ5 = "yes", 1, 0)</f>
        <v>1</v>
      </c>
      <c r="CR5">
        <f>IF(raw_data!CR5 = "yes", 1, 0)</f>
        <v>0</v>
      </c>
      <c r="CS5">
        <f>IF(raw_data!CS5 = "yes", 1, 0)</f>
        <v>0</v>
      </c>
      <c r="CT5">
        <f>IF(raw_data!CT5 = "yes", 1, 0)</f>
        <v>0</v>
      </c>
      <c r="CU5">
        <f>IF(raw_data!CU5 = "yes", 1, 0)</f>
        <v>0</v>
      </c>
      <c r="CV5">
        <f>IF(raw_data!CV5 = "yes", 1, 0)</f>
        <v>0</v>
      </c>
      <c r="CW5">
        <f>IF(raw_data!CW5="na",0,IF(raw_data!CW5="no",0,1))</f>
        <v>0</v>
      </c>
      <c r="CX5">
        <f>IF(raw_data!CX5 = "yes", 1, 0)</f>
        <v>1</v>
      </c>
      <c r="CY5">
        <f>IF(raw_data!CY5 = "yes", 1, 0)</f>
        <v>0</v>
      </c>
      <c r="CZ5">
        <f>IF(raw_data!CZ5 = "yes", 0, 1)</f>
        <v>1</v>
      </c>
      <c r="DA5">
        <f>IF(raw_data!DA5 = "yes", 1, 0)</f>
        <v>1</v>
      </c>
      <c r="DB5">
        <f>IF(raw_data!DB5 = "as prescribed", 1, 0)</f>
        <v>0</v>
      </c>
      <c r="DC5">
        <f>IF(raw_data!DC5 = "yes", 1, 0)</f>
        <v>1</v>
      </c>
      <c r="DD5">
        <f>IF(raw_data!DD5 = "yes", 1, 0)</f>
        <v>1</v>
      </c>
      <c r="DE5">
        <f>IF(raw_data!DE5 = "yes", 1, 0)</f>
        <v>1</v>
      </c>
      <c r="DF5">
        <f>IF(raw_data!DF5 = "yes", 1, 0)</f>
        <v>1</v>
      </c>
      <c r="DG5">
        <f>IF(raw_data!DG5 = "yes", 1, 0)</f>
        <v>0</v>
      </c>
      <c r="DH5">
        <f>IF(raw_data!DH5 = "no", 0, 1)</f>
        <v>0</v>
      </c>
      <c r="DI5">
        <f>IF(raw_data!DI5 = "yes", 1, 0)</f>
        <v>1</v>
      </c>
      <c r="DJ5">
        <f>IF(raw_data!DJ5 = "yes", 1, 0)</f>
        <v>1</v>
      </c>
      <c r="DK5">
        <f>IF(raw_data!DK5 = "yes", 1, 0)</f>
        <v>0</v>
      </c>
      <c r="DL5">
        <f>IF(raw_data!DL5 = "yes", 0, 1)</f>
        <v>1</v>
      </c>
      <c r="DM5">
        <f>IF(raw_data!DM5 = "yes", 0, 1)</f>
        <v>0</v>
      </c>
      <c r="DN5">
        <f>IF(raw_data!DN5="na",0,IF(raw_data!DN5="no",0,1))</f>
        <v>0</v>
      </c>
      <c r="DO5">
        <f>IF(raw_data!DO5 = "yes", 1, 0)</f>
        <v>1</v>
      </c>
      <c r="DP5">
        <f>IF(raw_data!DP5 = "yes", 1, 0)</f>
        <v>1</v>
      </c>
      <c r="DQ5">
        <f>IF(raw_data!DQ5 = "yes", 1, 0)</f>
        <v>0</v>
      </c>
      <c r="DR5">
        <f>IF(raw_data!DR5 = "yes", 0, 1)</f>
        <v>1</v>
      </c>
      <c r="DS5">
        <f>IF(raw_data!DS5 = "yes", 0, 1)</f>
        <v>0</v>
      </c>
      <c r="DT5">
        <f>IF(raw_data!DT5 = "na", 0, IF(raw_data!DT5 = "no", 0, 1))</f>
        <v>1</v>
      </c>
      <c r="DU5">
        <f>IF(raw_data!DU5 = "yes", 1, 0)</f>
        <v>1</v>
      </c>
      <c r="DV5">
        <f>IF(raw_data!DV5 = "yes", 0, 1)</f>
        <v>1</v>
      </c>
      <c r="DW5">
        <f>IF(raw_data!DW5 = "yes", 1, 0)</f>
        <v>0</v>
      </c>
      <c r="DX5">
        <f>IF(raw_data!DX5 = "yes", 0, 1)</f>
        <v>1</v>
      </c>
      <c r="DY5">
        <f>IF(raw_data!DY5 = "yes", 1, 0)</f>
        <v>0</v>
      </c>
      <c r="DZ5">
        <f>IF(raw_data!DZ5="na",0,IF(raw_data!DZ5="no",0,1))</f>
        <v>0</v>
      </c>
      <c r="EA5">
        <f>IF(raw_data!EA5 = "don't check", 0, 1)</f>
        <v>1</v>
      </c>
      <c r="EB5">
        <f>IF(raw_data!EB5 = "pull out", 1, 0)</f>
        <v>1</v>
      </c>
      <c r="EC5" s="1">
        <f>IF(raw_data!EC5 = "yes", 1, 0)</f>
        <v>0</v>
      </c>
      <c r="ED5">
        <f>IF(raw_data!ED5 = "yes", 1, 0)</f>
        <v>0</v>
      </c>
      <c r="EE5" s="60">
        <f>IF(raw_data!EE5="don't know",0,IF(raw_data!EE5="na",0,1))</f>
        <v>0</v>
      </c>
      <c r="EF5" s="60">
        <f>IF(raw_data!EF5="don't know",0,IF(raw_data!EF5="na",0,1))</f>
        <v>0</v>
      </c>
      <c r="EG5">
        <f>IF(raw_data!EG5 = "yes", 1, 0)</f>
        <v>0</v>
      </c>
      <c r="EH5" s="60">
        <f>IF(raw_data!EH5="don't know",0,IF(raw_data!EH5="na",0,1))</f>
        <v>0</v>
      </c>
      <c r="EI5" s="60">
        <f>IF(raw_data!EI5="don't know",0,IF(raw_data!EI5="na",0,1))</f>
        <v>0</v>
      </c>
      <c r="EJ5">
        <f>IF(raw_data!EJ5 = "yes", 1, 0)</f>
        <v>1</v>
      </c>
      <c r="EK5" s="60">
        <f>IF(raw_data!EK5="don't know",0,IF(raw_data!EK5="na",0,1))</f>
        <v>0</v>
      </c>
      <c r="EL5" s="60">
        <f>IF(raw_data!EL5="don't know",0,IF(raw_data!EL5="na",0,1))</f>
        <v>0</v>
      </c>
      <c r="EM5">
        <f>IF(raw_data!EM5 = "yes", 1, 0)</f>
        <v>1</v>
      </c>
      <c r="EN5" s="60">
        <f>IF(raw_data!EN5="don't know",0,IF(raw_data!EN5="na",0,1))</f>
        <v>1</v>
      </c>
      <c r="EO5" s="60">
        <f>IF(raw_data!EO5="don't know",0,IF(raw_data!EO5="na",0,1))</f>
        <v>1</v>
      </c>
      <c r="EP5" s="60">
        <f>IF(raw_data!EP5="don't know",0,IF(raw_data!EP5="na",0,1))</f>
        <v>1</v>
      </c>
      <c r="EQ5">
        <f>IF(raw_data!EQ5 = "yes", 1, 0)</f>
        <v>0</v>
      </c>
      <c r="ER5" s="60">
        <f>IF(raw_data!ER5="don't know",0,IF(raw_data!ER5="na",0,1))</f>
        <v>0</v>
      </c>
      <c r="ES5" s="60">
        <f>IF(raw_data!ES5="don't know",0,IF(raw_data!ES5="na",0,1))</f>
        <v>0</v>
      </c>
      <c r="ET5" s="60">
        <f>IF(raw_data!ET5="don't know",0,IF(raw_data!ET5="na",0,1))</f>
        <v>0</v>
      </c>
      <c r="EU5">
        <f>IF(raw_data!EU5 = "yes", 1, 0)</f>
        <v>0</v>
      </c>
      <c r="EV5">
        <f>IF(raw_data!EV5 = "all the time", 2, IF(raw_data!EV5 = "often", 1, 0))</f>
        <v>1</v>
      </c>
      <c r="EW5" s="1">
        <f>IF(raw_data!EW5 = "yes", 1, 0)</f>
        <v>1</v>
      </c>
      <c r="EX5">
        <f>IF(raw_data!EX5 = "interested", 2, IF(raw_data!EX5 = "neutral", 1, 0))</f>
        <v>2</v>
      </c>
      <c r="EY5" s="60">
        <f>IF(raw_data!EY5 = "don't know", 0, 1)</f>
        <v>1</v>
      </c>
      <c r="EZ5" s="60">
        <f>IF(raw_data!EZ5 = "don't know", 0, 1)</f>
        <v>1</v>
      </c>
      <c r="FA5" s="60">
        <f>IF(raw_data!FA5 = "no", 0, 1)</f>
        <v>1</v>
      </c>
      <c r="FB5" s="60">
        <f>IF(raw_data!FB5 = "no", 0, 1)</f>
        <v>1</v>
      </c>
      <c r="FC5" s="1">
        <f>IF(raw_data!FC5 = "no", 0, 1)</f>
        <v>0</v>
      </c>
      <c r="FD5" s="60">
        <f>IF(raw_data!FD5="tv",1,IF(raw_data!FD5="radio",1,IF(raw_data!FD5="newspaper",1,IF(raw_data!FD5="internet",1,IF(raw_data!FD5="sns",1,IF(raw_data!FD5="na",0,2))))))</f>
        <v>1</v>
      </c>
      <c r="FE5" s="60">
        <f>IF(raw_data!FE5="tv",1,IF(raw_data!FE5="radio",1,IF(raw_data!FE5="newspaper",1,IF(raw_data!FE5="internet",1,IF(raw_data!FE5="sns",1,IF(raw_data!FE5="na",0,2))))))</f>
        <v>1</v>
      </c>
      <c r="FF5" s="60">
        <f>IF(raw_data!FF5="tv",1,IF(raw_data!FF5="radio",1,IF(raw_data!FF5="newspaper",1,IF(raw_data!FF5="internet",1,IF(raw_data!FF5="sns",1,IF(raw_data!FF5="na",0,2))))))</f>
        <v>1</v>
      </c>
      <c r="FG5">
        <f>IF(raw_data!FG5 = "4+ hrs", 4, IF(raw_data!FG5 = "2-4 hrs", 3, IF(raw_data!FG5 = "1-2 hrs", 2, IF(raw_data!FG5 = "less than 1 hr", 1, 0))))</f>
        <v>2</v>
      </c>
      <c r="FH5">
        <f>IF(raw_data!FH5 = "4+ hrs", 4, IF(raw_data!FH5 = "2-4 hrs", 3, IF(raw_data!FH5 = "1-2 hrs", 2, IF(raw_data!FH5 = "less than 1 hr", 1, 0))))</f>
        <v>4</v>
      </c>
      <c r="FI5">
        <f>IF(raw_data!FI5 = "4+ hrs", 4, IF(raw_data!FI5 = "2-4 hrs", 3, IF(raw_data!FI5 = "1-2 hrs", 2, IF(raw_data!FI5 = "less than 1 hr", 1, 0))))</f>
        <v>4</v>
      </c>
      <c r="FJ5" s="60">
        <f>IF(raw_data!FJ5="tv",1,IF(raw_data!FJ5="radio",1,IF(raw_data!FJ5="newspaper",1,IF(raw_data!FJ5="internet",1,IF(raw_data!FJ5="sns",1,IF(raw_data!FJ5="na",0,2))))))</f>
        <v>1</v>
      </c>
      <c r="FK5" s="60">
        <f>IF(raw_data!FK5="tv",1,IF(raw_data!FK5="radio",1,IF(raw_data!FK5="newspaper",1,IF(raw_data!FK5="internet",1,IF(raw_data!FK5="sns",1,IF(raw_data!FK5="na",0,2))))))</f>
        <v>1</v>
      </c>
      <c r="FL5" s="60">
        <f>IF(raw_data!FL5="tv",1,IF(raw_data!FL5="radio",1,IF(raw_data!FL5="newspaper",1,IF(raw_data!FL5="internet",1,IF(raw_data!FL5="sns",1,IF(raw_data!FL5="na",0,2))))))</f>
        <v>1</v>
      </c>
      <c r="FM5">
        <f>IF(raw_data!FM5 = "4+ hrs", 4, IF(raw_data!FM5 = "2-4 hrs", 3, IF(raw_data!FM5 = "1-2 hrs", 2, IF(raw_data!FM5 = "less than 1 hr", 1, 0))))</f>
        <v>4</v>
      </c>
      <c r="FN5">
        <f>IF(raw_data!FN5 = "4+ hrs", 4, IF(raw_data!FN5 = "2-4 hrs", 3, IF(raw_data!FN5 = "1-2 hrs", 2, IF(raw_data!FN5 = "less than 1 hr", 1, 0))))</f>
        <v>3</v>
      </c>
      <c r="FO5">
        <f>IF(raw_data!FO5 = "4+ hrs", 4, IF(raw_data!FO5 = "2-4 hrs", 3, IF(raw_data!FO5 = "1-2 hrs", 2, IF(raw_data!FO5 = "less than 1 hr", 1, 0))))</f>
        <v>2</v>
      </c>
      <c r="FP5">
        <f>IF(raw_data!FP5="only news",1,IF(raw_data!FP5="mostly news",2,IF(raw_data!FP5="balanced",3,IF(raw_data!FP5="mostly entertainment",2,1))))</f>
        <v>1</v>
      </c>
      <c r="FQ5">
        <f>IF(raw_data!FQ5 = "yes", 1, 0)</f>
        <v>1</v>
      </c>
      <c r="FR5">
        <f>IF(raw_data!FR5 = "yes", 1, 0)</f>
        <v>1</v>
      </c>
      <c r="FS5">
        <f>IF(raw_data!FS5 = "yes", 1, 0)</f>
        <v>0</v>
      </c>
      <c r="FT5">
        <f>IF(raw_data!FT5 = "yes", 1, 0)</f>
        <v>1</v>
      </c>
      <c r="FU5">
        <f>IF(raw_data!FU5 = "yes", 1, 0)</f>
        <v>0</v>
      </c>
      <c r="FV5">
        <f>IF(raw_data!FV5="na",0,IF(raw_data!FV5="no",0,1))</f>
        <v>0</v>
      </c>
      <c r="FW5" s="60">
        <f>IF(raw_data!FW5="vet school", 1, IF(raw_data!FW5="symposia", 1, IF(raw_data!FW5="conferences", 1, IF(raw_data!FW5="online course", 1, IF(raw_data!FW5="websites", 1, IF(raw_data!FW5="documentary", 1, IF(raw_data!FW5="tv", 1, IF(raw_data!FW5="newspaper", 1, IF(raw_data!FW5="blogs", 1, IF(raw_data!FW5="sns", 1, IF(raw_data!FW5="na", 0, 2)))))))))))</f>
        <v>1</v>
      </c>
      <c r="FX5" s="60">
        <f>IF(raw_data!FX5="vet school", 1, IF(raw_data!FX5="symposia", 1, IF(raw_data!FX5="conferences", 1, IF(raw_data!FX5="online course", 1, IF(raw_data!FX5="websites", 1, IF(raw_data!FX5="documentary", 1, IF(raw_data!FX5="tv", 1, IF(raw_data!FX5="newspaper", 1, IF(raw_data!FX5="blogs", 1, IF(raw_data!FX5="sns", 1, IF(raw_data!FX5="na", 0, 2)))))))))))</f>
        <v>1</v>
      </c>
      <c r="FY5" s="1">
        <f>IF(raw_data!FY5="vet school", 1, IF(raw_data!FY5="symposia", 1, IF(raw_data!FY5="conferences", 1, IF(raw_data!FY5="online course", 1, IF(raw_data!FY5="websites", 1, IF(raw_data!FY5="documentary", 1, IF(raw_data!FY5="tv", 1, IF(raw_data!FY5="newspaper", 1, IF(raw_data!FY5="blogs", 1, IF(raw_data!FY5="sns", 1, IF(raw_data!FY5="na", 0, 2)))))))))))</f>
        <v>0</v>
      </c>
    </row>
    <row r="6" spans="1:189">
      <c r="A6" s="157">
        <v>3</v>
      </c>
      <c r="B6">
        <f>IF(raw_data!B:B="post-graduate",7,IF(raw_data!B6="graduate",6,IF(raw_data!B6="college",5,IF(raw_data!B6="technical",4,IF(raw_data!B6="high school",3,IF(raw_data!B6="elementary",2,IF(raw_data!B6="some schooling",1,0)))))))</f>
        <v>6</v>
      </c>
      <c r="C6" s="60">
        <f>IF(raw_data!C6 = "proprietor", 0, IF(raw_data!C6 = "rep", 1, IF(raw_data!C6 = "staff", 2, IF(raw_data!C6 = "vet pharm", 3, 4))))</f>
        <v>3</v>
      </c>
      <c r="D6" s="60">
        <f>raw_data!D6</f>
        <v>40</v>
      </c>
      <c r="E6" s="60">
        <f>IF(raw_data!E6 = "less than 1 yr", 0, IF(raw_data!E6 = "1-2 yrs", 1, IF(raw_data!E6 = "2-5 yrs", 2, IF(raw_data!E6 = "5-10 yrs", 3, 4))))</f>
        <v>2</v>
      </c>
      <c r="F6">
        <f>IF(raw_data!F6="large-scale",2,IF(raw_data!F6="medium-scale",1,0))</f>
        <v>1</v>
      </c>
      <c r="G6">
        <f>IF(raw_data!G6="input",2,IF(raw_data!G6="not in charge",1,0))</f>
        <v>0</v>
      </c>
      <c r="H6">
        <f>IF(raw_data!H6 = "large farm owners", 6, IF(raw_data!H6 = "medium farm owners", 5, IF(raw_data!H6 = "small farm owners", 4, IF(raw_data!H6 = "large retailers", 3, IF(raw_data!H6 = "medium retailers", 2, IF(raw_data!H6 = "small retailers", 1, 0))))))</f>
        <v>4</v>
      </c>
      <c r="I6">
        <f>IF(raw_data!I6 = "male", 0, IF(raw_data!I6 = "female", 1, 2))</f>
        <v>0</v>
      </c>
      <c r="J6" s="1">
        <f>IF(raw_data!J5="yes",1,0)</f>
        <v>1</v>
      </c>
      <c r="K6">
        <f>IF(raw_data!K6 = "yes", 1, 0)</f>
        <v>0</v>
      </c>
      <c r="L6" s="60">
        <f>IF(raw_data!L6 = "treatment all", 0, IF(raw_data!L6 = "prevention all", 0, IF(raw_data!L6 = "prevention some", 0, IF(raw_data!L6 = "growth booster", 0, IF(raw_data!L6 = "don't know", 0, 1)))))</f>
        <v>0</v>
      </c>
      <c r="M6" s="60">
        <f>IF(raw_data!M6 = "can't remember", 0, 1)</f>
        <v>1</v>
      </c>
      <c r="N6" s="60">
        <f>IF(raw_data!N6 = "can't remember", 0, 1)</f>
        <v>1</v>
      </c>
      <c r="O6" s="60">
        <f>IF(raw_data!O6 = "can't remember", 0, 1)</f>
        <v>1</v>
      </c>
      <c r="P6">
        <f>IF(raw_data!P6 = "yes", 1, 0)</f>
        <v>1</v>
      </c>
      <c r="Q6">
        <f>IF(raw_data!Q6 = "bacteria develop resistance", 1, 0)</f>
        <v>1</v>
      </c>
      <c r="R6">
        <f>IF(raw_data!R6 = "yes", 1, 0)</f>
        <v>1</v>
      </c>
      <c r="S6">
        <f>IF(raw_data!S6 = "yes", 1, 0)</f>
        <v>1</v>
      </c>
      <c r="T6">
        <f>IF(raw_data!T6 = "yes", 1, 0)</f>
        <v>1</v>
      </c>
      <c r="U6">
        <f>IF(raw_data!U6 = "yes", 1, 0)</f>
        <v>1</v>
      </c>
      <c r="V6">
        <f>IF(raw_data!V6 = "yes", 1, 0)</f>
        <v>0</v>
      </c>
      <c r="W6">
        <f>IF(raw_data!W6 = "yes", 1, 0)</f>
        <v>0</v>
      </c>
      <c r="X6" s="60">
        <f>IF(raw_data!X6 = "no", 0, 1)</f>
        <v>1</v>
      </c>
      <c r="Y6">
        <f>IF(raw_data!Y6 = "yes", 1, 0)</f>
        <v>1</v>
      </c>
      <c r="Z6" s="60">
        <f>IF(raw_data!Z6 = "can't remember", 0, 1)</f>
        <v>1</v>
      </c>
      <c r="AA6" s="60">
        <f>IF(raw_data!AA6 = "can't remember", 0, 1)</f>
        <v>0</v>
      </c>
      <c r="AB6" s="60">
        <f>IF(raw_data!AB6 = "can't remember", 0, 1)</f>
        <v>0</v>
      </c>
      <c r="AC6" s="60">
        <f>IF(raw_data!AC6 = "4 correct", 4, IF(raw_data!AC6 = "3 correct", 3, IF(raw_data!AC6 = "2 correct", 2, IF(raw_data!AC6 = "1 correct", 1, 0))))</f>
        <v>4</v>
      </c>
      <c r="AD6">
        <f>IF(raw_data!AD6="basic info",1,IF(raw_data!AD6="etiology",1,IF(raw_data!AD6="advanced understanding",1,0)))</f>
        <v>1</v>
      </c>
      <c r="AE6">
        <f>IF(raw_data!AE6 = "true", 0, 1)</f>
        <v>1</v>
      </c>
      <c r="AF6">
        <f>IF(raw_data!AF6 = "true", 1, 0)</f>
        <v>1</v>
      </c>
      <c r="AG6">
        <f>IF(raw_data!AG6 = "yes", 1, 0)</f>
        <v>1</v>
      </c>
      <c r="AH6">
        <f>IF(raw_data!AH:AH = "yes", 1, 0)</f>
        <v>0</v>
      </c>
      <c r="AI6">
        <f>IF(raw_data!AI:AI = "yes", 1, 0)</f>
        <v>0</v>
      </c>
      <c r="AJ6">
        <f>IF(raw_data!AJ:AJ = "yes", 1, 0)</f>
        <v>0</v>
      </c>
      <c r="AK6">
        <f>IF(raw_data!AK:AK = "yes", 1, 0)</f>
        <v>0</v>
      </c>
      <c r="AL6">
        <f>IF(raw_data!AL:AL = "yes", 1, 0)</f>
        <v>0</v>
      </c>
      <c r="AM6">
        <f>IF(raw_data!AM:AM = "yes", 1, 0)</f>
        <v>0</v>
      </c>
      <c r="AN6" s="60">
        <f>IF(raw_data!AN:AN="no",0,IF(raw_data!AN:AN="na",0,1))</f>
        <v>0</v>
      </c>
      <c r="AO6">
        <f>IF(raw_data!AO6="5 correct",5,IF(raw_data!AO6="4 correct",4,IF(raw_data!AO6="3 correct",3,IF(raw_data!AO6="2 correct", 2, IF(raw_data!AO6="1 correct",1,0)))))</f>
        <v>4</v>
      </c>
      <c r="AP6">
        <f>IF(raw_data!AP6="5 correct",5,IF(raw_data!AP6="4 correct",4,IF(raw_data!AP6="3 correct",3,IF(raw_data!AP6="2 correct", 2, IF(raw_data!AP6="1 correct",1,0)))))</f>
        <v>4</v>
      </c>
      <c r="AQ6">
        <f>IF(raw_data!AQ6="5 correct",5,IF(raw_data!AQ6="4 correct",4,IF(raw_data!AQ6="3 correct",3,IF(raw_data!AQ6="2 correct", 2, IF(raw_data!AQ6="1 correct",1,0)))))</f>
        <v>1</v>
      </c>
      <c r="AR6">
        <f>IF(raw_data!AR6="5 correct",5,IF(raw_data!AR6="4 correct",4,IF(raw_data!AR6="3 correct",3,IF(raw_data!AR6="2 correct", 2, IF(raw_data!AR6="1 correct",1,0)))))</f>
        <v>3</v>
      </c>
      <c r="AS6">
        <f>IF(raw_data!AS6 = "very serious", 5, IF(raw_data!AS6 = "serious", 4, IF(raw_data!AS6 = "moderately serious", 3, IF(raw_data!AS6 = "slightly serious", 2, 1))))</f>
        <v>4</v>
      </c>
      <c r="AT6">
        <f>IF(raw_data!AT6 = "seriously concerned", 4, IF(raw_data!AT6 = "concerned", 3, IF(raw_data!AT6 = "slightly concerned", 2, IF(raw_data!AT6 = "not concerned at all", 1, 0))))</f>
        <v>3</v>
      </c>
      <c r="AU6">
        <f>IF(raw_data!AU6 = "strongly agree", 5, IF(raw_data!AU6 = "agree", 4, IF(raw_data!AU6 = "neutral", 3, IF(raw_data!AU6 = "disagree", 2, 1))))</f>
        <v>4</v>
      </c>
      <c r="AV6">
        <f>IF(raw_data!AV6 = "strongly agree", 5, IF(raw_data!AV6 = "agree", 4, IF(raw_data!AV6 = "neutral", 3, IF(raw_data!AV6 = "disagree", 2, 1))))</f>
        <v>5</v>
      </c>
      <c r="AW6">
        <f>IF(raw_data!AW6 = "strongly agree", 5, IF(raw_data!AW6 = "agree", 4, IF(raw_data!AW6 = "neutral", 3, IF(raw_data!AW6 = "disagree", 2, 1))))</f>
        <v>4</v>
      </c>
      <c r="AX6">
        <f>IF(raw_data!AX6 = "strongly agree", 5, IF(raw_data!AX6 = "agree", 4, IF(raw_data!AX6 = "neutral", 3, IF(raw_data!AX6 = "disagree", 2, 1))))</f>
        <v>4</v>
      </c>
      <c r="AY6">
        <f>IF(raw_data!AY6 = "strongly agree", 5, IF(raw_data!AY6 = "agree", 4, IF(raw_data!AY6 = "neutral", 3, IF(raw_data!AY6 = "disagree", 2, 1))))</f>
        <v>5</v>
      </c>
      <c r="AZ6">
        <f>IF(raw_data!AZ6 = "strongly agree", 5, IF(raw_data!AZ6 = "agree", 4, IF(raw_data!AZ6 = "neutral", 3, IF(raw_data!AZ6 = "disagree", 2, 1))))</f>
        <v>5</v>
      </c>
      <c r="BA6">
        <f>IF(raw_data!BA6 = "strongly agree", 5, IF(raw_data!BA6 = "agree", 4, IF(raw_data!BA6 = "neutral", 3, IF(raw_data!BA6 = "disagree", 2, 1))))</f>
        <v>5</v>
      </c>
      <c r="BB6">
        <f>IF(raw_data!BB6 = "strongly agree", 5, IF(raw_data!BB6 = "agree", 4, IF(raw_data!BB6 = "neutral", 3, IF(raw_data!BB6 = "disagree", 2, 1))))</f>
        <v>2</v>
      </c>
      <c r="BC6">
        <f>IF(raw_data!BC6 = "strongly agree", 5, IF(raw_data!BC6 = "agree", 4, IF(raw_data!BC6 = "neutral", 3, IF(raw_data!BC6 = "disagree", 2, 1))))</f>
        <v>4</v>
      </c>
      <c r="BD6">
        <f>IF(raw_data!BD6 = "strongly agree", 5, IF(raw_data!BD6 = "agree", 4, IF(raw_data!BD6 = "neutral", 3, IF(raw_data!BD6 = "disagree", 2, 1))))</f>
        <v>5</v>
      </c>
      <c r="BE6">
        <f>IF(raw_data!BE6 = "strongly agree", 5, IF(raw_data!BE6 = "agree", 4, IF(raw_data!BE6 = "neutral", 3, IF(raw_data!BE6 = "disagree", 2, 1))))</f>
        <v>5</v>
      </c>
      <c r="BF6">
        <f>IF(raw_data!BF6 = "strongly agree", 5, IF(raw_data!BF6 = "agree", 4, IF(raw_data!BF6 = "neutral", 3, IF(raw_data!BF6 = "disagree", 2, 1))))</f>
        <v>4</v>
      </c>
      <c r="BG6">
        <f>IF(raw_data!BG6 = "very strong", 5, IF(raw_data!BG6 = "substantial", 4, IF(raw_data!BG6 = "moderate", 3, IF(raw_data!BG6  = "limited", 2, 1))))</f>
        <v>1</v>
      </c>
      <c r="BH6">
        <f>IF(raw_data!BH6 = "very strong", 5, IF(raw_data!BH6 = "substantial", 4, IF(raw_data!BH6 = "moderate", 3, IF(raw_data!BH6  = "limited", 2, 1))))</f>
        <v>5</v>
      </c>
      <c r="BI6">
        <f>IF(raw_data!BI6 = "very strong", 5, IF(raw_data!BI6 = "substantial", 4, IF(raw_data!BI6 = "moderate", 3, IF(raw_data!BI6  = "limited", 2, 1))))</f>
        <v>4</v>
      </c>
      <c r="BJ6">
        <f>IF(raw_data!BJ6 = "very strong", 5, IF(raw_data!BJ6 = "substantial", 4, IF(raw_data!BJ6 = "moderate", 3, IF(raw_data!BJ6 = "limited", 2, 1))))</f>
        <v>3</v>
      </c>
      <c r="BK6">
        <f>IF(raw_data!BK6 = "very strong", 5, IF(raw_data!BK6 = "substantial", 4, IF(raw_data!BK6 = "moderate", 3, IF(raw_data!BK6 = "limited", 2, 1))))</f>
        <v>5</v>
      </c>
      <c r="BL6">
        <f>IF(raw_data!BL6 = "very strong", 5, IF(raw_data!BL6 = "substantial", 4, IF(raw_data!BL6 = "moderate", 3, IF(raw_data!BL6 = "limited", 2, 1))))</f>
        <v>4</v>
      </c>
      <c r="BM6">
        <f>IF(raw_data!BM6 = "very strong", 5, IF(raw_data!BM6 = "substantial", 4, IF(raw_data!BM6 = "moderate", 3, IF(raw_data!BM6 = "limited", 2, 1))))</f>
        <v>4</v>
      </c>
      <c r="BN6">
        <f>IF(raw_data!BN6 = "very strong", 5, IF(raw_data!BN6 = "substantial", 4, IF(raw_data!BN6 = "moderate", 3, IF(raw_data!BN6 = "limited", 2, 1))))</f>
        <v>4</v>
      </c>
      <c r="BO6">
        <f>IF(raw_data!BO6 = "very strong", 5, IF(raw_data!BO6 = "substantial", 4, IF(raw_data!BO6 = "moderate", 3, IF(raw_data!BO6 = "limited", 2, 1))))</f>
        <v>5</v>
      </c>
      <c r="BP6">
        <f>IF(raw_data!BP6 = "very strong", 5, IF(raw_data!BP6 = "substantial", 4, IF(raw_data!BP6 = "moderate", 3, IF(raw_data!BP6 = "limited", 2, 1))))</f>
        <v>5</v>
      </c>
      <c r="BQ6">
        <f>IF(raw_data!BQ6 = "very strong", 5, IF(raw_data!BQ6 = "substantial", 4, IF(raw_data!BQ6 = "moderate", 3, IF(raw_data!BQ6 = "limited", 2, 1))))</f>
        <v>5</v>
      </c>
      <c r="BR6">
        <f>IF(raw_data!BR6 = "very strong", 5, IF(raw_data!BR6 = "substantial", 4, IF(raw_data!BR6 = "moderate", 3, IF(raw_data!BR6 = "limited", 2, 1))))</f>
        <v>5</v>
      </c>
      <c r="BS6" s="60">
        <f>IF(raw_data!BS6 = "can't remember", 0, 1)</f>
        <v>1</v>
      </c>
      <c r="BT6" s="60">
        <f>IF(raw_data!BT6 = "can't remember", 0, 1)</f>
        <v>1</v>
      </c>
      <c r="BU6" s="60">
        <f>IF(raw_data!BU6 = "can't remember", 0, 1)</f>
        <v>1</v>
      </c>
      <c r="BV6" s="60">
        <f>IF(raw_data!BV6 = "can't remember", 0, 1)</f>
        <v>1</v>
      </c>
      <c r="BW6" s="60">
        <f>IF(raw_data!BW6 = "can't remember", 0, 1)</f>
        <v>1</v>
      </c>
      <c r="BX6" s="60">
        <f>IF(raw_data!BX6 = "can't remember", 0, 1)</f>
        <v>1</v>
      </c>
      <c r="BY6">
        <f>IF(raw_data!BY6 ="no", 0, 1)</f>
        <v>1</v>
      </c>
      <c r="BZ6">
        <f>IF(raw_data!BZ6 ="no", 0, 1)</f>
        <v>1</v>
      </c>
      <c r="CA6">
        <f>IF(raw_data!CA6 ="no", 0, 1)</f>
        <v>1</v>
      </c>
      <c r="CB6" s="60">
        <f>IF(raw_data!CB6 ="no", 1, 0)</f>
        <v>1</v>
      </c>
      <c r="CC6">
        <f>IF(raw_data!CC6 ="no", 0, 1)</f>
        <v>1</v>
      </c>
      <c r="CD6">
        <f>IF(raw_data!CD6 ="no", 0, 1)</f>
        <v>1</v>
      </c>
      <c r="CE6">
        <f>IF(raw_data!CE6 ="no", 0, 1)</f>
        <v>1</v>
      </c>
      <c r="CF6">
        <f>IF(raw_data!CF6 ="no", 0, 1)</f>
        <v>1</v>
      </c>
      <c r="CG6">
        <f>IF(raw_data!CG6 = "yes", 1, 0)</f>
        <v>0</v>
      </c>
      <c r="CH6">
        <f>IF(raw_data!CH6 = "yes", 1, 0)</f>
        <v>0</v>
      </c>
      <c r="CI6">
        <f>IF(raw_data!CI6 = "yes", 1, 0)</f>
        <v>0</v>
      </c>
      <c r="CJ6">
        <f>IF(raw_data!CJ6 = "yes", 1, 0)</f>
        <v>0</v>
      </c>
      <c r="CK6">
        <f>IF(raw_data!CK6 = "yes", 1, 0)</f>
        <v>0</v>
      </c>
      <c r="CL6">
        <f>IF(raw_data!CL6 = "yes", 1, 0)</f>
        <v>0</v>
      </c>
      <c r="CM6">
        <f>IF(raw_data!CM6 = "yes", 1, 0)</f>
        <v>1</v>
      </c>
      <c r="CN6">
        <f>IF(raw_data!CN6 = "yes", 1, 0)</f>
        <v>0</v>
      </c>
      <c r="CO6">
        <f>IF(raw_data!CO6 = "yes", 1, 0)</f>
        <v>1</v>
      </c>
      <c r="CP6">
        <f>IF(raw_data!CP6 = "yes", 1, 0)</f>
        <v>0</v>
      </c>
      <c r="CQ6">
        <f>IF(raw_data!CQ6 = "yes", 1, 0)</f>
        <v>1</v>
      </c>
      <c r="CR6">
        <f>IF(raw_data!CR6 = "yes", 1, 0)</f>
        <v>0</v>
      </c>
      <c r="CS6">
        <f>IF(raw_data!CS6 = "yes", 1, 0)</f>
        <v>0</v>
      </c>
      <c r="CT6">
        <f>IF(raw_data!CT6 = "yes", 1, 0)</f>
        <v>0</v>
      </c>
      <c r="CU6">
        <f>IF(raw_data!CU6 = "yes", 1, 0)</f>
        <v>0</v>
      </c>
      <c r="CV6">
        <f>IF(raw_data!CV6 = "yes", 1, 0)</f>
        <v>0</v>
      </c>
      <c r="CW6">
        <f>IF(raw_data!CW6="na",0,IF(raw_data!CW6="no",0,1))</f>
        <v>0</v>
      </c>
      <c r="CX6">
        <f>IF(raw_data!CX6 = "yes", 1, 0)</f>
        <v>1</v>
      </c>
      <c r="CY6">
        <f>IF(raw_data!CY6 = "yes", 1, 0)</f>
        <v>0</v>
      </c>
      <c r="CZ6">
        <f>IF(raw_data!CZ6 = "yes", 0, 1)</f>
        <v>0</v>
      </c>
      <c r="DA6">
        <f>IF(raw_data!DA6 = "yes", 1, 0)</f>
        <v>1</v>
      </c>
      <c r="DB6">
        <f>IF(raw_data!DB6 = "as prescribed", 1, 0)</f>
        <v>1</v>
      </c>
      <c r="DC6">
        <f>IF(raw_data!DC6 = "yes", 1, 0)</f>
        <v>1</v>
      </c>
      <c r="DD6">
        <f>IF(raw_data!DD6 = "yes", 1, 0)</f>
        <v>1</v>
      </c>
      <c r="DE6">
        <f>IF(raw_data!DE6 = "yes", 1, 0)</f>
        <v>1</v>
      </c>
      <c r="DF6">
        <f>IF(raw_data!DF6 = "yes", 1, 0)</f>
        <v>1</v>
      </c>
      <c r="DG6">
        <f>IF(raw_data!DG6 = "yes", 1, 0)</f>
        <v>1</v>
      </c>
      <c r="DH6">
        <f>IF(raw_data!DH6 = "no", 0, 1)</f>
        <v>1</v>
      </c>
      <c r="DI6">
        <f>IF(raw_data!DI6 = "yes", 1, 0)</f>
        <v>1</v>
      </c>
      <c r="DJ6">
        <f>IF(raw_data!DJ6 = "yes", 1, 0)</f>
        <v>1</v>
      </c>
      <c r="DK6">
        <f>IF(raw_data!DK6 = "yes", 1, 0)</f>
        <v>1</v>
      </c>
      <c r="DL6">
        <f>IF(raw_data!DL6 = "yes", 0, 1)</f>
        <v>1</v>
      </c>
      <c r="DM6">
        <f>IF(raw_data!DM6 = "yes", 0, 1)</f>
        <v>1</v>
      </c>
      <c r="DN6">
        <f>IF(raw_data!DN6="na",0,IF(raw_data!DN6="no",0,1))</f>
        <v>0</v>
      </c>
      <c r="DO6">
        <f>IF(raw_data!DO6 = "yes", 1, 0)</f>
        <v>1</v>
      </c>
      <c r="DP6">
        <f>IF(raw_data!DP6 = "yes", 1, 0)</f>
        <v>1</v>
      </c>
      <c r="DQ6">
        <f>IF(raw_data!DQ6 = "yes", 1, 0)</f>
        <v>1</v>
      </c>
      <c r="DR6">
        <f>IF(raw_data!DR6 = "yes", 0, 1)</f>
        <v>1</v>
      </c>
      <c r="DS6">
        <f>IF(raw_data!DS6 = "yes", 0, 1)</f>
        <v>1</v>
      </c>
      <c r="DT6">
        <f>IF(raw_data!DT6 = "na", 0, IF(raw_data!DT6 = "no", 0, 1))</f>
        <v>1</v>
      </c>
      <c r="DU6">
        <f>IF(raw_data!DU6 = "yes", 1, 0)</f>
        <v>1</v>
      </c>
      <c r="DV6">
        <f>IF(raw_data!DV6 = "yes", 0, 1)</f>
        <v>1</v>
      </c>
      <c r="DW6">
        <f>IF(raw_data!DW6 = "yes", 1, 0)</f>
        <v>0</v>
      </c>
      <c r="DX6">
        <f>IF(raw_data!DX6 = "yes", 0, 1)</f>
        <v>1</v>
      </c>
      <c r="DY6">
        <f>IF(raw_data!DY6 = "yes", 1, 0)</f>
        <v>1</v>
      </c>
      <c r="DZ6">
        <f>IF(raw_data!DZ6="na",0,IF(raw_data!DZ6="no",0,1))</f>
        <v>0</v>
      </c>
      <c r="EA6">
        <f>IF(raw_data!EA6 = "don't check", 0, 1)</f>
        <v>1</v>
      </c>
      <c r="EB6">
        <f>IF(raw_data!EB6 = "pull out", 1, 0)</f>
        <v>1</v>
      </c>
      <c r="EC6" s="1">
        <f>IF(raw_data!EC6 = "yes", 1, 0)</f>
        <v>0</v>
      </c>
      <c r="ED6">
        <f>IF(raw_data!ED6 = "yes", 1, 0)</f>
        <v>1</v>
      </c>
      <c r="EE6" s="60">
        <f>IF(raw_data!EE6="don't know",0,IF(raw_data!EE6="na",0,1))</f>
        <v>1</v>
      </c>
      <c r="EF6" s="60">
        <f>IF(raw_data!EF6="don't know",0,IF(raw_data!EF6="na",0,1))</f>
        <v>1</v>
      </c>
      <c r="EG6">
        <f>IF(raw_data!EG6 = "yes", 1, 0)</f>
        <v>1</v>
      </c>
      <c r="EH6" s="60">
        <f>IF(raw_data!EH6="don't know",0,IF(raw_data!EH6="na",0,1))</f>
        <v>1</v>
      </c>
      <c r="EI6" s="60">
        <f>IF(raw_data!EI6="don't know",0,IF(raw_data!EI6="na",0,1))</f>
        <v>1</v>
      </c>
      <c r="EJ6">
        <f>IF(raw_data!EJ6 = "yes", 1, 0)</f>
        <v>1</v>
      </c>
      <c r="EK6" s="60">
        <f>IF(raw_data!EK6="don't know",0,IF(raw_data!EK6="na",0,1))</f>
        <v>0</v>
      </c>
      <c r="EL6" s="60">
        <f>IF(raw_data!EL6="don't know",0,IF(raw_data!EL6="na",0,1))</f>
        <v>0</v>
      </c>
      <c r="EM6">
        <f>IF(raw_data!EM6 = "yes", 1, 0)</f>
        <v>1</v>
      </c>
      <c r="EN6" s="60">
        <f>IF(raw_data!EN6="don't know",0,IF(raw_data!EN6="na",0,1))</f>
        <v>1</v>
      </c>
      <c r="EO6" s="60">
        <f>IF(raw_data!EO6="don't know",0,IF(raw_data!EO6="na",0,1))</f>
        <v>1</v>
      </c>
      <c r="EP6" s="60">
        <f>IF(raw_data!EP6="don't know",0,IF(raw_data!EP6="na",0,1))</f>
        <v>0</v>
      </c>
      <c r="EQ6">
        <f>IF(raw_data!EQ6 = "yes", 1, 0)</f>
        <v>0</v>
      </c>
      <c r="ER6" s="60">
        <f>IF(raw_data!ER6="don't know",0,IF(raw_data!ER6="na",0,1))</f>
        <v>0</v>
      </c>
      <c r="ES6" s="60">
        <f>IF(raw_data!ES6="don't know",0,IF(raw_data!ES6="na",0,1))</f>
        <v>0</v>
      </c>
      <c r="ET6" s="60">
        <f>IF(raw_data!ET6="don't know",0,IF(raw_data!ET6="na",0,1))</f>
        <v>0</v>
      </c>
      <c r="EU6">
        <f>IF(raw_data!EU6 = "yes", 1, 0)</f>
        <v>1</v>
      </c>
      <c r="EV6">
        <f>IF(raw_data!EV6 = "all the time", 2, IF(raw_data!EV6 = "often", 1, 0))</f>
        <v>2</v>
      </c>
      <c r="EW6" s="1">
        <f>IF(raw_data!EW6 = "yes", 1, 0)</f>
        <v>1</v>
      </c>
      <c r="EX6">
        <f>IF(raw_data!EX6 = "interested", 2, IF(raw_data!EX6 = "neutral", 1, 0))</f>
        <v>2</v>
      </c>
      <c r="EY6" s="60">
        <f>IF(raw_data!EY6 = "don't know", 0, 1)</f>
        <v>1</v>
      </c>
      <c r="EZ6" s="60">
        <f>IF(raw_data!EZ6 = "don't know", 0, 1)</f>
        <v>1</v>
      </c>
      <c r="FA6" s="60">
        <f>IF(raw_data!FA6 = "no", 0, 1)</f>
        <v>1</v>
      </c>
      <c r="FB6" s="60">
        <f>IF(raw_data!FB6 = "no", 0, 1)</f>
        <v>0</v>
      </c>
      <c r="FC6" s="1">
        <f>IF(raw_data!FC6 = "no", 0, 1)</f>
        <v>1</v>
      </c>
      <c r="FD6" s="60">
        <f>IF(raw_data!FD6="tv",1,IF(raw_data!FD6="radio",1,IF(raw_data!FD6="newspaper",1,IF(raw_data!FD6="internet",1,IF(raw_data!FD6="sns",1,IF(raw_data!FD6="na",0,2))))))</f>
        <v>1</v>
      </c>
      <c r="FE6" s="60">
        <f>IF(raw_data!FE6="tv",1,IF(raw_data!FE6="radio",1,IF(raw_data!FE6="newspaper",1,IF(raw_data!FE6="internet",1,IF(raw_data!FE6="sns",1,IF(raw_data!FE6="na",0,2))))))</f>
        <v>1</v>
      </c>
      <c r="FF6" s="60">
        <f>IF(raw_data!FF6="tv",1,IF(raw_data!FF6="radio",1,IF(raw_data!FF6="newspaper",1,IF(raw_data!FF6="internet",1,IF(raw_data!FF6="sns",1,IF(raw_data!FF6="na",0,2))))))</f>
        <v>0</v>
      </c>
      <c r="FG6">
        <f>IF(raw_data!FG6 = "4+ hrs", 4, IF(raw_data!FG6 = "2-4 hrs", 3, IF(raw_data!FG6 = "1-2 hrs", 2, IF(raw_data!FG6 = "less than 1 hr", 1, 0))))</f>
        <v>4</v>
      </c>
      <c r="FH6">
        <f>IF(raw_data!FH6 = "4+ hrs", 4, IF(raw_data!FH6 = "2-4 hrs", 3, IF(raw_data!FH6 = "1-2 hrs", 2, IF(raw_data!FH6 = "less than 1 hr", 1, 0))))</f>
        <v>2</v>
      </c>
      <c r="FI6">
        <f>IF(raw_data!FI6 = "4+ hrs", 4, IF(raw_data!FI6 = "2-4 hrs", 3, IF(raw_data!FI6 = "1-2 hrs", 2, IF(raw_data!FI6 = "less than 1 hr", 1, 0))))</f>
        <v>0</v>
      </c>
      <c r="FJ6" s="60">
        <f>IF(raw_data!FJ6="tv",1,IF(raw_data!FJ6="radio",1,IF(raw_data!FJ6="newspaper",1,IF(raw_data!FJ6="internet",1,IF(raw_data!FJ6="sns",1,IF(raw_data!FJ6="na",0,2))))))</f>
        <v>1</v>
      </c>
      <c r="FK6" s="60">
        <f>IF(raw_data!FK6="tv",1,IF(raw_data!FK6="radio",1,IF(raw_data!FK6="newspaper",1,IF(raw_data!FK6="internet",1,IF(raw_data!FK6="sns",1,IF(raw_data!FK6="na",0,2))))))</f>
        <v>1</v>
      </c>
      <c r="FL6" s="60">
        <f>IF(raw_data!FL6="tv",1,IF(raw_data!FL6="radio",1,IF(raw_data!FL6="newspaper",1,IF(raw_data!FL6="internet",1,IF(raw_data!FL6="sns",1,IF(raw_data!FL6="na",0,2))))))</f>
        <v>0</v>
      </c>
      <c r="FM6">
        <f>IF(raw_data!FM6 = "4+ hrs", 4, IF(raw_data!FM6 = "2-4 hrs", 3, IF(raw_data!FM6 = "1-2 hrs", 2, IF(raw_data!FM6 = "less than 1 hr", 1, 0))))</f>
        <v>4</v>
      </c>
      <c r="FN6">
        <f>IF(raw_data!FN6 = "4+ hrs", 4, IF(raw_data!FN6 = "2-4 hrs", 3, IF(raw_data!FN6 = "1-2 hrs", 2, IF(raw_data!FN6 = "less than 1 hr", 1, 0))))</f>
        <v>2</v>
      </c>
      <c r="FO6">
        <f>IF(raw_data!FO6 = "4+ hrs", 4, IF(raw_data!FO6 = "2-4 hrs", 3, IF(raw_data!FO6 = "1-2 hrs", 2, IF(raw_data!FO6 = "less than 1 hr", 1, 0))))</f>
        <v>0</v>
      </c>
      <c r="FP6">
        <f>IF(raw_data!FP6="only news",1,IF(raw_data!FP6="mostly news",2,IF(raw_data!FP6="balanced",3,IF(raw_data!FP6="mostly entertainment",2,1))))</f>
        <v>2</v>
      </c>
      <c r="FQ6">
        <f>IF(raw_data!FQ6 = "yes", 1, 0)</f>
        <v>1</v>
      </c>
      <c r="FR6">
        <f>IF(raw_data!FR6 = "yes", 1, 0)</f>
        <v>0</v>
      </c>
      <c r="FS6">
        <f>IF(raw_data!FS6 = "yes", 1, 0)</f>
        <v>1</v>
      </c>
      <c r="FT6">
        <f>IF(raw_data!FT6 = "yes", 1, 0)</f>
        <v>0</v>
      </c>
      <c r="FU6">
        <f>IF(raw_data!FU6 = "yes", 1, 0)</f>
        <v>1</v>
      </c>
      <c r="FV6">
        <f>IF(raw_data!FV6="na",0,IF(raw_data!FV6="no",0,1))</f>
        <v>1</v>
      </c>
      <c r="FW6" s="60">
        <f>IF(raw_data!FW6="vet school", 1, IF(raw_data!FW6="symposia", 1, IF(raw_data!FW6="conferences", 1, IF(raw_data!FW6="online course", 1, IF(raw_data!FW6="websites", 1, IF(raw_data!FW6="documentary", 1, IF(raw_data!FW6="tv", 1, IF(raw_data!FW6="newspaper", 1, IF(raw_data!FW6="blogs", 1, IF(raw_data!FW6="sns", 1, IF(raw_data!FW6="na", 0, 2)))))))))))</f>
        <v>1</v>
      </c>
      <c r="FX6" s="60">
        <f>IF(raw_data!FX6="vet school", 1, IF(raw_data!FX6="symposia", 1, IF(raw_data!FX6="conferences", 1, IF(raw_data!FX6="online course", 1, IF(raw_data!FX6="websites", 1, IF(raw_data!FX6="documentary", 1, IF(raw_data!FX6="tv", 1, IF(raw_data!FX6="newspaper", 1, IF(raw_data!FX6="blogs", 1, IF(raw_data!FX6="sns", 1, IF(raw_data!FX6="na", 0, 2)))))))))))</f>
        <v>0</v>
      </c>
      <c r="FY6" s="1">
        <f>IF(raw_data!FY6="vet school", 1, IF(raw_data!FY6="symposia", 1, IF(raw_data!FY6="conferences", 1, IF(raw_data!FY6="online course", 1, IF(raw_data!FY6="websites", 1, IF(raw_data!FY6="documentary", 1, IF(raw_data!FY6="tv", 1, IF(raw_data!FY6="newspaper", 1, IF(raw_data!FY6="blogs", 1, IF(raw_data!FY6="sns", 1, IF(raw_data!FY6="na", 0, 2)))))))))))</f>
        <v>0</v>
      </c>
    </row>
    <row r="7" spans="1:189">
      <c r="A7" s="157">
        <v>4</v>
      </c>
      <c r="B7">
        <f>IF(raw_data!B:B="post-graduate",7,IF(raw_data!B7="graduate",6,IF(raw_data!B7="college",5,IF(raw_data!B7="technical",4,IF(raw_data!B7="high school",3,IF(raw_data!B7="elementary",2,IF(raw_data!B7="some schooling",1,0)))))))</f>
        <v>2</v>
      </c>
      <c r="C7" s="60">
        <f>IF(raw_data!C7 = "proprietor", 0, IF(raw_data!C7 = "rep", 1, IF(raw_data!C7 = "staff", 2, IF(raw_data!C7 = "vet pharm", 3, 4))))</f>
        <v>2</v>
      </c>
      <c r="D7" s="60">
        <f>raw_data!D7</f>
        <v>24</v>
      </c>
      <c r="E7" s="60">
        <f>IF(raw_data!E7 = "less than 1 yr", 0, IF(raw_data!E7 = "1-2 yrs", 1, IF(raw_data!E7 = "2-5 yrs", 2, IF(raw_data!E7 = "5-10 yrs", 3, 4))))</f>
        <v>3</v>
      </c>
      <c r="F7">
        <f>IF(raw_data!F7="large-scale",2,IF(raw_data!F7="medium-scale",1,0))</f>
        <v>1</v>
      </c>
      <c r="G7">
        <f>IF(raw_data!G7="input",2,IF(raw_data!G7="not in charge",1,0))</f>
        <v>1</v>
      </c>
      <c r="H7">
        <f>IF(raw_data!H7 = "large farm owners", 6, IF(raw_data!H7 = "medium farm owners", 5, IF(raw_data!H7 = "small farm owners", 4, IF(raw_data!H7 = "large retailers", 3, IF(raw_data!H7 = "medium retailers", 2, IF(raw_data!H7 = "small retailers", 1, 0))))))</f>
        <v>1</v>
      </c>
      <c r="I7">
        <f>IF(raw_data!I7 = "male", 0, IF(raw_data!I7 = "female", 1, 2))</f>
        <v>0</v>
      </c>
      <c r="J7" s="1">
        <f>IF(raw_data!J6="yes",1,0)</f>
        <v>1</v>
      </c>
      <c r="K7">
        <f>IF(raw_data!K7 = "yes", 1, 0)</f>
        <v>0</v>
      </c>
      <c r="L7" s="60">
        <f>IF(raw_data!L7 = "treatment all", 0, IF(raw_data!L7 = "prevention all", 0, IF(raw_data!L7 = "prevention some", 0, IF(raw_data!L7 = "growth booster", 0, IF(raw_data!L7 = "don't know", 0, 1)))))</f>
        <v>0</v>
      </c>
      <c r="M7" s="60">
        <f>IF(raw_data!M7 = "can't remember", 0, 1)</f>
        <v>1</v>
      </c>
      <c r="N7" s="60">
        <f>IF(raw_data!N7 = "can't remember", 0, 1)</f>
        <v>0</v>
      </c>
      <c r="O7" s="60">
        <f>IF(raw_data!O7 = "can't remember", 0, 1)</f>
        <v>0</v>
      </c>
      <c r="P7">
        <f>IF(raw_data!P7 = "yes", 1, 0)</f>
        <v>0</v>
      </c>
      <c r="Q7">
        <f>IF(raw_data!Q7 = "bacteria develop resistance", 1, 0)</f>
        <v>0</v>
      </c>
      <c r="R7">
        <f>IF(raw_data!R7 = "yes", 1, 0)</f>
        <v>0</v>
      </c>
      <c r="S7">
        <f>IF(raw_data!S7 = "yes", 1, 0)</f>
        <v>0</v>
      </c>
      <c r="T7">
        <f>IF(raw_data!T7 = "yes", 1, 0)</f>
        <v>0</v>
      </c>
      <c r="U7">
        <f>IF(raw_data!U7 = "yes", 1, 0)</f>
        <v>0</v>
      </c>
      <c r="V7">
        <f>IF(raw_data!V7 = "yes", 1, 0)</f>
        <v>0</v>
      </c>
      <c r="W7">
        <f>IF(raw_data!W7 = "yes", 1, 0)</f>
        <v>0</v>
      </c>
      <c r="X7" s="60">
        <f>IF(raw_data!X7 = "no", 0, 1)</f>
        <v>1</v>
      </c>
      <c r="Y7">
        <f>IF(raw_data!Y7 = "yes", 1, 0)</f>
        <v>0</v>
      </c>
      <c r="Z7" s="60">
        <f>IF(raw_data!Z7 = "can't remember", 0, 1)</f>
        <v>0</v>
      </c>
      <c r="AA7" s="60">
        <f>IF(raw_data!AA7 = "can't remember", 0, 1)</f>
        <v>0</v>
      </c>
      <c r="AB7" s="60">
        <f>IF(raw_data!AB7 = "can't remember", 0, 1)</f>
        <v>0</v>
      </c>
      <c r="AC7" s="60">
        <f>IF(raw_data!AC7 = "4 correct", 4, IF(raw_data!AC7 = "3 correct", 3, IF(raw_data!AC7 = "2 correct", 2, IF(raw_data!AC7 = "1 correct", 1, 0))))</f>
        <v>1</v>
      </c>
      <c r="AD7">
        <f>IF(raw_data!AD7="basic info",1,IF(raw_data!AD7="etiology",1,IF(raw_data!AD7="advanced understanding",1,0)))</f>
        <v>0</v>
      </c>
      <c r="AE7">
        <f>IF(raw_data!AE7 = "true", 0, 1)</f>
        <v>0</v>
      </c>
      <c r="AF7">
        <f>IF(raw_data!AF7 = "true", 1, 0)</f>
        <v>0</v>
      </c>
      <c r="AG7">
        <f>IF(raw_data!AG7 = "yes", 1, 0)</f>
        <v>0</v>
      </c>
      <c r="AH7">
        <f>IF(raw_data!AH:AH = "yes", 1, 0)</f>
        <v>0</v>
      </c>
      <c r="AI7">
        <f>IF(raw_data!AI:AI = "yes", 1, 0)</f>
        <v>0</v>
      </c>
      <c r="AJ7">
        <f>IF(raw_data!AJ:AJ = "yes", 1, 0)</f>
        <v>0</v>
      </c>
      <c r="AK7">
        <f>IF(raw_data!AK:AK = "yes", 1, 0)</f>
        <v>0</v>
      </c>
      <c r="AL7">
        <f>IF(raw_data!AL:AL = "yes", 1, 0)</f>
        <v>0</v>
      </c>
      <c r="AM7">
        <f>IF(raw_data!AM:AM = "yes", 1, 0)</f>
        <v>0</v>
      </c>
      <c r="AN7" s="60">
        <f>IF(raw_data!AN:AN="no",0,IF(raw_data!AN:AN="na",0,1))</f>
        <v>0</v>
      </c>
      <c r="AO7">
        <f>IF(raw_data!AO7="5 correct",5,IF(raw_data!AO7="4 correct",4,IF(raw_data!AO7="3 correct",3,IF(raw_data!AO7="2 correct", 2, IF(raw_data!AO7="1 correct",1,0)))))</f>
        <v>0</v>
      </c>
      <c r="AP7">
        <f>IF(raw_data!AP7="5 correct",5,IF(raw_data!AP7="4 correct",4,IF(raw_data!AP7="3 correct",3,IF(raw_data!AP7="2 correct", 2, IF(raw_data!AP7="1 correct",1,0)))))</f>
        <v>0</v>
      </c>
      <c r="AQ7">
        <f>IF(raw_data!AQ7="5 correct",5,IF(raw_data!AQ7="4 correct",4,IF(raw_data!AQ7="3 correct",3,IF(raw_data!AQ7="2 correct", 2, IF(raw_data!AQ7="1 correct",1,0)))))</f>
        <v>0</v>
      </c>
      <c r="AR7">
        <f>IF(raw_data!AR7="5 correct",5,IF(raw_data!AR7="4 correct",4,IF(raw_data!AR7="3 correct",3,IF(raw_data!AR7="2 correct", 2, IF(raw_data!AR7="1 correct",1,0)))))</f>
        <v>0</v>
      </c>
      <c r="AS7">
        <f>IF(raw_data!AS7 = "very serious", 5, IF(raw_data!AS7 = "serious", 4, IF(raw_data!AS7 = "moderately serious", 3, IF(raw_data!AS7 = "slightly serious", 2, 1))))</f>
        <v>4</v>
      </c>
      <c r="AT7">
        <f>IF(raw_data!AT7 = "seriously concerned", 4, IF(raw_data!AT7 = "concerned", 3, IF(raw_data!AT7 = "slightly concerned", 2, IF(raw_data!AT7 = "not concerned at all", 1, 0))))</f>
        <v>3</v>
      </c>
      <c r="AU7">
        <f>IF(raw_data!AU7 = "strongly agree", 5, IF(raw_data!AU7 = "agree", 4, IF(raw_data!AU7 = "neutral", 3, IF(raw_data!AU7 = "disagree", 2, 1))))</f>
        <v>4</v>
      </c>
      <c r="AV7">
        <f>IF(raw_data!AV7 = "strongly agree", 5, IF(raw_data!AV7 = "agree", 4, IF(raw_data!AV7 = "neutral", 3, IF(raw_data!AV7 = "disagree", 2, 1))))</f>
        <v>5</v>
      </c>
      <c r="AW7">
        <f>IF(raw_data!AW7 = "strongly agree", 5, IF(raw_data!AW7 = "agree", 4, IF(raw_data!AW7 = "neutral", 3, IF(raw_data!AW7 = "disagree", 2, 1))))</f>
        <v>4</v>
      </c>
      <c r="AX7">
        <f>IF(raw_data!AX7 = "strongly agree", 5, IF(raw_data!AX7 = "agree", 4, IF(raw_data!AX7 = "neutral", 3, IF(raw_data!AX7 = "disagree", 2, 1))))</f>
        <v>4</v>
      </c>
      <c r="AY7">
        <f>IF(raw_data!AY7 = "strongly agree", 5, IF(raw_data!AY7 = "agree", 4, IF(raw_data!AY7 = "neutral", 3, IF(raw_data!AY7 = "disagree", 2, 1))))</f>
        <v>4</v>
      </c>
      <c r="AZ7">
        <f>IF(raw_data!AZ7 = "strongly agree", 5, IF(raw_data!AZ7 = "agree", 4, IF(raw_data!AZ7 = "neutral", 3, IF(raw_data!AZ7 = "disagree", 2, 1))))</f>
        <v>2</v>
      </c>
      <c r="BA7">
        <f>IF(raw_data!BA7 = "strongly agree", 5, IF(raw_data!BA7 = "agree", 4, IF(raw_data!BA7 = "neutral", 3, IF(raw_data!BA7 = "disagree", 2, 1))))</f>
        <v>3</v>
      </c>
      <c r="BB7">
        <f>IF(raw_data!BB7 = "strongly agree", 5, IF(raw_data!BB7 = "agree", 4, IF(raw_data!BB7 = "neutral", 3, IF(raw_data!BB7 = "disagree", 2, 1))))</f>
        <v>4</v>
      </c>
      <c r="BC7">
        <f>IF(raw_data!BC7 = "strongly agree", 5, IF(raw_data!BC7 = "agree", 4, IF(raw_data!BC7 = "neutral", 3, IF(raw_data!BC7 = "disagree", 2, 1))))</f>
        <v>4</v>
      </c>
      <c r="BD7">
        <f>IF(raw_data!BD7 = "strongly agree", 5, IF(raw_data!BD7 = "agree", 4, IF(raw_data!BD7 = "neutral", 3, IF(raw_data!BD7 = "disagree", 2, 1))))</f>
        <v>5</v>
      </c>
      <c r="BE7">
        <f>IF(raw_data!BE7 = "strongly agree", 5, IF(raw_data!BE7 = "agree", 4, IF(raw_data!BE7 = "neutral", 3, IF(raw_data!BE7 = "disagree", 2, 1))))</f>
        <v>5</v>
      </c>
      <c r="BF7">
        <f>IF(raw_data!BF7 = "strongly agree", 5, IF(raw_data!BF7 = "agree", 4, IF(raw_data!BF7 = "neutral", 3, IF(raw_data!BF7 = "disagree", 2, 1))))</f>
        <v>3</v>
      </c>
      <c r="BG7">
        <f>IF(raw_data!BG7 = "very strong", 5, IF(raw_data!BG7 = "substantial", 4, IF(raw_data!BG7 = "moderate", 3, IF(raw_data!BG7  = "limited", 2, 1))))</f>
        <v>2</v>
      </c>
      <c r="BH7">
        <f>IF(raw_data!BH7 = "very strong", 5, IF(raw_data!BH7 = "substantial", 4, IF(raw_data!BH7 = "moderate", 3, IF(raw_data!BH7  = "limited", 2, 1))))</f>
        <v>3</v>
      </c>
      <c r="BI7">
        <f>IF(raw_data!BI7 = "very strong", 5, IF(raw_data!BI7 = "substantial", 4, IF(raw_data!BI7 = "moderate", 3, IF(raw_data!BI7  = "limited", 2, 1))))</f>
        <v>4</v>
      </c>
      <c r="BJ7">
        <f>IF(raw_data!BJ7 = "very strong", 5, IF(raw_data!BJ7 = "substantial", 4, IF(raw_data!BJ7 = "moderate", 3, IF(raw_data!BJ7 = "limited", 2, 1))))</f>
        <v>4</v>
      </c>
      <c r="BK7">
        <f>IF(raw_data!BK7 = "very strong", 5, IF(raw_data!BK7 = "substantial", 4, IF(raw_data!BK7 = "moderate", 3, IF(raw_data!BK7 = "limited", 2, 1))))</f>
        <v>3</v>
      </c>
      <c r="BL7">
        <f>IF(raw_data!BL7 = "very strong", 5, IF(raw_data!BL7 = "substantial", 4, IF(raw_data!BL7 = "moderate", 3, IF(raw_data!BL7 = "limited", 2, 1))))</f>
        <v>2</v>
      </c>
      <c r="BM7">
        <f>IF(raw_data!BM7 = "very strong", 5, IF(raw_data!BM7 = "substantial", 4, IF(raw_data!BM7 = "moderate", 3, IF(raw_data!BM7 = "limited", 2, 1))))</f>
        <v>4</v>
      </c>
      <c r="BN7">
        <f>IF(raw_data!BN7 = "very strong", 5, IF(raw_data!BN7 = "substantial", 4, IF(raw_data!BN7 = "moderate", 3, IF(raw_data!BN7 = "limited", 2, 1))))</f>
        <v>5</v>
      </c>
      <c r="BO7">
        <f>IF(raw_data!BO7 = "very strong", 5, IF(raw_data!BO7 = "substantial", 4, IF(raw_data!BO7 = "moderate", 3, IF(raw_data!BO7 = "limited", 2, 1))))</f>
        <v>5</v>
      </c>
      <c r="BP7">
        <f>IF(raw_data!BP7 = "very strong", 5, IF(raw_data!BP7 = "substantial", 4, IF(raw_data!BP7 = "moderate", 3, IF(raw_data!BP7 = "limited", 2, 1))))</f>
        <v>4</v>
      </c>
      <c r="BQ7">
        <f>IF(raw_data!BQ7 = "very strong", 5, IF(raw_data!BQ7 = "substantial", 4, IF(raw_data!BQ7 = "moderate", 3, IF(raw_data!BQ7 = "limited", 2, 1))))</f>
        <v>1</v>
      </c>
      <c r="BR7">
        <f>IF(raw_data!BR7 = "very strong", 5, IF(raw_data!BR7 = "substantial", 4, IF(raw_data!BR7 = "moderate", 3, IF(raw_data!BR7 = "limited", 2, 1))))</f>
        <v>1</v>
      </c>
      <c r="BS7" s="60">
        <f>IF(raw_data!BS7 = "can't remember", 0, 1)</f>
        <v>1</v>
      </c>
      <c r="BT7" s="60">
        <f>IF(raw_data!BT7 = "can't remember", 0, 1)</f>
        <v>1</v>
      </c>
      <c r="BU7" s="60">
        <f>IF(raw_data!BU7 = "can't remember", 0, 1)</f>
        <v>1</v>
      </c>
      <c r="BV7" s="60">
        <f>IF(raw_data!BV7 = "can't remember", 0, 1)</f>
        <v>1</v>
      </c>
      <c r="BW7" s="60">
        <f>IF(raw_data!BW7 = "can't remember", 0, 1)</f>
        <v>1</v>
      </c>
      <c r="BX7" s="60">
        <f>IF(raw_data!BX7 = "can't remember", 0, 1)</f>
        <v>1</v>
      </c>
      <c r="BY7">
        <f>IF(raw_data!BY7 ="no", 0, 1)</f>
        <v>0</v>
      </c>
      <c r="BZ7">
        <f>IF(raw_data!BZ7 ="no", 0, 1)</f>
        <v>0</v>
      </c>
      <c r="CA7">
        <f>IF(raw_data!CA7 ="no", 0, 1)</f>
        <v>0</v>
      </c>
      <c r="CB7" s="60">
        <f>IF(raw_data!CB7 ="no", 1, 0)</f>
        <v>0</v>
      </c>
      <c r="CC7">
        <f>IF(raw_data!CC7 ="no", 0, 1)</f>
        <v>1</v>
      </c>
      <c r="CD7">
        <f>IF(raw_data!CD7 ="no", 0, 1)</f>
        <v>0</v>
      </c>
      <c r="CE7">
        <f>IF(raw_data!CE7 ="no", 0, 1)</f>
        <v>0</v>
      </c>
      <c r="CF7">
        <f>IF(raw_data!CF7 ="no", 0, 1)</f>
        <v>0</v>
      </c>
      <c r="CG7">
        <f>IF(raw_data!CG7 = "yes", 1, 0)</f>
        <v>0</v>
      </c>
      <c r="CH7">
        <f>IF(raw_data!CH7 = "yes", 1, 0)</f>
        <v>1</v>
      </c>
      <c r="CI7">
        <f>IF(raw_data!CI7 = "yes", 1, 0)</f>
        <v>1</v>
      </c>
      <c r="CJ7">
        <f>IF(raw_data!CJ7 = "yes", 1, 0)</f>
        <v>1</v>
      </c>
      <c r="CK7">
        <f>IF(raw_data!CK7 = "yes", 1, 0)</f>
        <v>1</v>
      </c>
      <c r="CL7">
        <f>IF(raw_data!CL7 = "yes", 1, 0)</f>
        <v>0</v>
      </c>
      <c r="CM7">
        <f>IF(raw_data!CM7 = "yes", 1, 0)</f>
        <v>1</v>
      </c>
      <c r="CN7">
        <f>IF(raw_data!CN7 = "yes", 1, 0)</f>
        <v>1</v>
      </c>
      <c r="CO7">
        <f>IF(raw_data!CO7 = "yes", 1, 0)</f>
        <v>0</v>
      </c>
      <c r="CP7">
        <f>IF(raw_data!CP7 = "yes", 1, 0)</f>
        <v>0</v>
      </c>
      <c r="CQ7">
        <f>IF(raw_data!CQ7 = "yes", 1, 0)</f>
        <v>1</v>
      </c>
      <c r="CR7">
        <f>IF(raw_data!CR7 = "yes", 1, 0)</f>
        <v>0</v>
      </c>
      <c r="CS7">
        <f>IF(raw_data!CS7 = "yes", 1, 0)</f>
        <v>0</v>
      </c>
      <c r="CT7">
        <f>IF(raw_data!CT7 = "yes", 1, 0)</f>
        <v>0</v>
      </c>
      <c r="CU7">
        <f>IF(raw_data!CU7 = "yes", 1, 0)</f>
        <v>0</v>
      </c>
      <c r="CV7">
        <f>IF(raw_data!CV7 = "yes", 1, 0)</f>
        <v>0</v>
      </c>
      <c r="CW7">
        <f>IF(raw_data!CW7="na",0,IF(raw_data!CW7="no",0,1))</f>
        <v>0</v>
      </c>
      <c r="CX7">
        <f>IF(raw_data!CX7 = "yes", 1, 0)</f>
        <v>1</v>
      </c>
      <c r="CY7">
        <f>IF(raw_data!CY7 = "yes", 1, 0)</f>
        <v>0</v>
      </c>
      <c r="CZ7">
        <f>IF(raw_data!CZ7 = "yes", 0, 1)</f>
        <v>1</v>
      </c>
      <c r="DA7">
        <f>IF(raw_data!DA7 = "yes", 1, 0)</f>
        <v>1</v>
      </c>
      <c r="DB7">
        <f>IF(raw_data!DB7 = "as prescribed", 1, 0)</f>
        <v>0</v>
      </c>
      <c r="DC7">
        <f>IF(raw_data!DC7 = "yes", 1, 0)</f>
        <v>0</v>
      </c>
      <c r="DD7">
        <f>IF(raw_data!DD7 = "yes", 1, 0)</f>
        <v>1</v>
      </c>
      <c r="DE7">
        <f>IF(raw_data!DE7 = "yes", 1, 0)</f>
        <v>1</v>
      </c>
      <c r="DF7">
        <f>IF(raw_data!DF7 = "yes", 1, 0)</f>
        <v>1</v>
      </c>
      <c r="DG7">
        <f>IF(raw_data!DG7 = "yes", 1, 0)</f>
        <v>1</v>
      </c>
      <c r="DH7">
        <f>IF(raw_data!DH7 = "no", 0, 1)</f>
        <v>0</v>
      </c>
      <c r="DI7">
        <f>IF(raw_data!DI7 = "yes", 1, 0)</f>
        <v>0</v>
      </c>
      <c r="DJ7">
        <f>IF(raw_data!DJ7 = "yes", 1, 0)</f>
        <v>1</v>
      </c>
      <c r="DK7">
        <f>IF(raw_data!DK7 = "yes", 1, 0)</f>
        <v>0</v>
      </c>
      <c r="DL7">
        <f>IF(raw_data!DL7 = "yes", 0, 1)</f>
        <v>1</v>
      </c>
      <c r="DM7">
        <f>IF(raw_data!DM7 = "yes", 0, 1)</f>
        <v>1</v>
      </c>
      <c r="DN7">
        <f>IF(raw_data!DN7="na",0,IF(raw_data!DN7="no",0,1))</f>
        <v>0</v>
      </c>
      <c r="DO7">
        <f>IF(raw_data!DO7 = "yes", 1, 0)</f>
        <v>0</v>
      </c>
      <c r="DP7">
        <f>IF(raw_data!DP7 = "yes", 1, 0)</f>
        <v>1</v>
      </c>
      <c r="DQ7">
        <f>IF(raw_data!DQ7 = "yes", 1, 0)</f>
        <v>0</v>
      </c>
      <c r="DR7">
        <f>IF(raw_data!DR7 = "yes", 0, 1)</f>
        <v>1</v>
      </c>
      <c r="DS7">
        <f>IF(raw_data!DS7 = "yes", 0, 1)</f>
        <v>1</v>
      </c>
      <c r="DT7">
        <f>IF(raw_data!DT7 = "na", 0, IF(raw_data!DT7 = "no", 0, 1))</f>
        <v>0</v>
      </c>
      <c r="DU7">
        <f>IF(raw_data!DU7 = "yes", 1, 0)</f>
        <v>1</v>
      </c>
      <c r="DV7">
        <f>IF(raw_data!DV7 = "yes", 0, 1)</f>
        <v>1</v>
      </c>
      <c r="DW7">
        <f>IF(raw_data!DW7 = "yes", 1, 0)</f>
        <v>0</v>
      </c>
      <c r="DX7">
        <f>IF(raw_data!DX7 = "yes", 0, 1)</f>
        <v>1</v>
      </c>
      <c r="DY7">
        <f>IF(raw_data!DY7 = "yes", 1, 0)</f>
        <v>0</v>
      </c>
      <c r="DZ7">
        <f>IF(raw_data!DZ7="na",0,IF(raw_data!DZ7="no",0,1))</f>
        <v>0</v>
      </c>
      <c r="EA7">
        <f>IF(raw_data!EA7 = "don't check", 0, 1)</f>
        <v>1</v>
      </c>
      <c r="EB7">
        <f>IF(raw_data!EB7 = "pull out", 1, 0)</f>
        <v>1</v>
      </c>
      <c r="EC7" s="1">
        <f>IF(raw_data!EC7 = "yes", 1, 0)</f>
        <v>0</v>
      </c>
      <c r="ED7">
        <f>IF(raw_data!ED7 = "yes", 1, 0)</f>
        <v>0</v>
      </c>
      <c r="EE7" s="60">
        <f>IF(raw_data!EE7="don't know",0,IF(raw_data!EE7="na",0,1))</f>
        <v>0</v>
      </c>
      <c r="EF7" s="60">
        <f>IF(raw_data!EF7="don't know",0,IF(raw_data!EF7="na",0,1))</f>
        <v>0</v>
      </c>
      <c r="EG7">
        <f>IF(raw_data!EG7 = "yes", 1, 0)</f>
        <v>0</v>
      </c>
      <c r="EH7" s="60">
        <f>IF(raw_data!EH7="don't know",0,IF(raw_data!EH7="na",0,1))</f>
        <v>0</v>
      </c>
      <c r="EI7" s="60">
        <f>IF(raw_data!EI7="don't know",0,IF(raw_data!EI7="na",0,1))</f>
        <v>0</v>
      </c>
      <c r="EJ7">
        <f>IF(raw_data!EJ7 = "yes", 1, 0)</f>
        <v>0</v>
      </c>
      <c r="EK7" s="60">
        <f>IF(raw_data!EK7="don't know",0,IF(raw_data!EK7="na",0,1))</f>
        <v>0</v>
      </c>
      <c r="EL7" s="60">
        <f>IF(raw_data!EL7="don't know",0,IF(raw_data!EL7="na",0,1))</f>
        <v>0</v>
      </c>
      <c r="EM7">
        <f>IF(raw_data!EM7 = "yes", 1, 0)</f>
        <v>0</v>
      </c>
      <c r="EN7" s="60">
        <f>IF(raw_data!EN7="don't know",0,IF(raw_data!EN7="na",0,1))</f>
        <v>0</v>
      </c>
      <c r="EO7" s="60">
        <f>IF(raw_data!EO7="don't know",0,IF(raw_data!EO7="na",0,1))</f>
        <v>0</v>
      </c>
      <c r="EP7" s="60">
        <f>IF(raw_data!EP7="don't know",0,IF(raw_data!EP7="na",0,1))</f>
        <v>0</v>
      </c>
      <c r="EQ7">
        <f>IF(raw_data!EQ7 = "yes", 1, 0)</f>
        <v>0</v>
      </c>
      <c r="ER7" s="60">
        <f>IF(raw_data!ER7="don't know",0,IF(raw_data!ER7="na",0,1))</f>
        <v>0</v>
      </c>
      <c r="ES7" s="60">
        <f>IF(raw_data!ES7="don't know",0,IF(raw_data!ES7="na",0,1))</f>
        <v>0</v>
      </c>
      <c r="ET7" s="60">
        <f>IF(raw_data!ET7="don't know",0,IF(raw_data!ET7="na",0,1))</f>
        <v>0</v>
      </c>
      <c r="EU7">
        <f>IF(raw_data!EU7 = "yes", 1, 0)</f>
        <v>1</v>
      </c>
      <c r="EV7">
        <f>IF(raw_data!EV7 = "all the time", 2, IF(raw_data!EV7 = "often", 1, 0))</f>
        <v>1</v>
      </c>
      <c r="EW7" s="1">
        <f>IF(raw_data!EW7 = "yes", 1, 0)</f>
        <v>1</v>
      </c>
      <c r="EX7">
        <f>IF(raw_data!EX7 = "interested", 2, IF(raw_data!EX7 = "neutral", 1, 0))</f>
        <v>2</v>
      </c>
      <c r="EY7" s="60">
        <f>IF(raw_data!EY7 = "don't know", 0, 1)</f>
        <v>1</v>
      </c>
      <c r="EZ7" s="60">
        <f>IF(raw_data!EZ7 = "don't know", 0, 1)</f>
        <v>1</v>
      </c>
      <c r="FA7" s="60">
        <f>IF(raw_data!FA7 = "no", 0, 1)</f>
        <v>1</v>
      </c>
      <c r="FB7" s="60">
        <f>IF(raw_data!FB7 = "no", 0, 1)</f>
        <v>0</v>
      </c>
      <c r="FC7" s="1">
        <f>IF(raw_data!FC7 = "no", 0, 1)</f>
        <v>1</v>
      </c>
      <c r="FD7" s="60">
        <f>IF(raw_data!FD7="tv",1,IF(raw_data!FD7="radio",1,IF(raw_data!FD7="newspaper",1,IF(raw_data!FD7="internet",1,IF(raw_data!FD7="sns",1,IF(raw_data!FD7="na",0,2))))))</f>
        <v>1</v>
      </c>
      <c r="FE7" s="60">
        <f>IF(raw_data!FE7="tv",1,IF(raw_data!FE7="radio",1,IF(raw_data!FE7="newspaper",1,IF(raw_data!FE7="internet",1,IF(raw_data!FE7="sns",1,IF(raw_data!FE7="na",0,2))))))</f>
        <v>1</v>
      </c>
      <c r="FF7" s="60">
        <f>IF(raw_data!FF7="tv",1,IF(raw_data!FF7="radio",1,IF(raw_data!FF7="newspaper",1,IF(raw_data!FF7="internet",1,IF(raw_data!FF7="sns",1,IF(raw_data!FF7="na",0,2))))))</f>
        <v>0</v>
      </c>
      <c r="FG7">
        <f>IF(raw_data!FG7 = "4+ hrs", 4, IF(raw_data!FG7 = "2-4 hrs", 3, IF(raw_data!FG7 = "1-2 hrs", 2, IF(raw_data!FG7 = "less than 1 hr", 1, 0))))</f>
        <v>2</v>
      </c>
      <c r="FH7">
        <f>IF(raw_data!FH7 = "4+ hrs", 4, IF(raw_data!FH7 = "2-4 hrs", 3, IF(raw_data!FH7 = "1-2 hrs", 2, IF(raw_data!FH7 = "less than 1 hr", 1, 0))))</f>
        <v>3</v>
      </c>
      <c r="FI7">
        <f>IF(raw_data!FI7 = "4+ hrs", 4, IF(raw_data!FI7 = "2-4 hrs", 3, IF(raw_data!FI7 = "1-2 hrs", 2, IF(raw_data!FI7 = "less than 1 hr", 1, 0))))</f>
        <v>0</v>
      </c>
      <c r="FJ7" s="60">
        <f>IF(raw_data!FJ7="tv",1,IF(raw_data!FJ7="radio",1,IF(raw_data!FJ7="newspaper",1,IF(raw_data!FJ7="internet",1,IF(raw_data!FJ7="sns",1,IF(raw_data!FJ7="na",0,2))))))</f>
        <v>1</v>
      </c>
      <c r="FK7" s="60">
        <f>IF(raw_data!FK7="tv",1,IF(raw_data!FK7="radio",1,IF(raw_data!FK7="newspaper",1,IF(raw_data!FK7="internet",1,IF(raw_data!FK7="sns",1,IF(raw_data!FK7="na",0,2))))))</f>
        <v>1</v>
      </c>
      <c r="FL7" s="60">
        <f>IF(raw_data!FL7="tv",1,IF(raw_data!FL7="radio",1,IF(raw_data!FL7="newspaper",1,IF(raw_data!FL7="internet",1,IF(raw_data!FL7="sns",1,IF(raw_data!FL7="na",0,2))))))</f>
        <v>0</v>
      </c>
      <c r="FM7">
        <f>IF(raw_data!FM7 = "4+ hrs", 4, IF(raw_data!FM7 = "2-4 hrs", 3, IF(raw_data!FM7 = "1-2 hrs", 2, IF(raw_data!FM7 = "less than 1 hr", 1, 0))))</f>
        <v>3</v>
      </c>
      <c r="FN7">
        <f>IF(raw_data!FN7 = "4+ hrs", 4, IF(raw_data!FN7 = "2-4 hrs", 3, IF(raw_data!FN7 = "1-2 hrs", 2, IF(raw_data!FN7 = "less than 1 hr", 1, 0))))</f>
        <v>3</v>
      </c>
      <c r="FO7">
        <f>IF(raw_data!FO7 = "4+ hrs", 4, IF(raw_data!FO7 = "2-4 hrs", 3, IF(raw_data!FO7 = "1-2 hrs", 2, IF(raw_data!FO7 = "less than 1 hr", 1, 0))))</f>
        <v>0</v>
      </c>
      <c r="FP7">
        <f>IF(raw_data!FP7="only news",1,IF(raw_data!FP7="mostly news",2,IF(raw_data!FP7="balanced",3,IF(raw_data!FP7="mostly entertainment",2,1))))</f>
        <v>1</v>
      </c>
      <c r="FQ7">
        <f>IF(raw_data!FQ7 = "yes", 1, 0)</f>
        <v>1</v>
      </c>
      <c r="FR7">
        <f>IF(raw_data!FR7 = "yes", 1, 0)</f>
        <v>0</v>
      </c>
      <c r="FS7">
        <f>IF(raw_data!FS7 = "yes", 1, 0)</f>
        <v>0</v>
      </c>
      <c r="FT7">
        <f>IF(raw_data!FT7 = "yes", 1, 0)</f>
        <v>1</v>
      </c>
      <c r="FU7">
        <f>IF(raw_data!FU7 = "yes", 1, 0)</f>
        <v>0</v>
      </c>
      <c r="FV7">
        <f>IF(raw_data!FV7="na",0,IF(raw_data!FV7="no",0,1))</f>
        <v>1</v>
      </c>
      <c r="FW7" s="60">
        <f>IF(raw_data!FW7="vet school", 1, IF(raw_data!FW7="symposia", 1, IF(raw_data!FW7="conferences", 1, IF(raw_data!FW7="online course", 1, IF(raw_data!FW7="websites", 1, IF(raw_data!FW7="documentary", 1, IF(raw_data!FW7="tv", 1, IF(raw_data!FW7="newspaper", 1, IF(raw_data!FW7="blogs", 1, IF(raw_data!FW7="sns", 1, IF(raw_data!FW7="na", 0, 2)))))))))))</f>
        <v>1</v>
      </c>
      <c r="FX7" s="60">
        <f>IF(raw_data!FX7="vet school", 1, IF(raw_data!FX7="symposia", 1, IF(raw_data!FX7="conferences", 1, IF(raw_data!FX7="online course", 1, IF(raw_data!FX7="websites", 1, IF(raw_data!FX7="documentary", 1, IF(raw_data!FX7="tv", 1, IF(raw_data!FX7="newspaper", 1, IF(raw_data!FX7="blogs", 1, IF(raw_data!FX7="sns", 1, IF(raw_data!FX7="na", 0, 2)))))))))))</f>
        <v>1</v>
      </c>
      <c r="FY7" s="1">
        <f>IF(raw_data!FY7="vet school", 1, IF(raw_data!FY7="symposia", 1, IF(raw_data!FY7="conferences", 1, IF(raw_data!FY7="online course", 1, IF(raw_data!FY7="websites", 1, IF(raw_data!FY7="documentary", 1, IF(raw_data!FY7="tv", 1, IF(raw_data!FY7="newspaper", 1, IF(raw_data!FY7="blogs", 1, IF(raw_data!FY7="sns", 1, IF(raw_data!FY7="na", 0, 2)))))))))))</f>
        <v>0</v>
      </c>
    </row>
    <row r="8" spans="1:189">
      <c r="A8" s="157">
        <v>5</v>
      </c>
      <c r="B8">
        <f>IF(raw_data!B:B="post-graduate",7,IF(raw_data!B8="graduate",6,IF(raw_data!B8="college",5,IF(raw_data!B8="technical",4,IF(raw_data!B8="high school",3,IF(raw_data!B8="elementary",2,IF(raw_data!B8="some schooling",1,0)))))))</f>
        <v>3</v>
      </c>
      <c r="C8" s="60">
        <f>IF(raw_data!C8 = "proprietor", 0, IF(raw_data!C8 = "rep", 1, IF(raw_data!C8 = "staff", 2, IF(raw_data!C8 = "vet pharm", 3, 4))))</f>
        <v>2</v>
      </c>
      <c r="D8" s="60">
        <f>raw_data!D8</f>
        <v>27</v>
      </c>
      <c r="E8" s="60">
        <f>IF(raw_data!E8 = "less than 1 yr", 0, IF(raw_data!E8 = "1-2 yrs", 1, IF(raw_data!E8 = "2-5 yrs", 2, IF(raw_data!E8 = "5-10 yrs", 3, 4))))</f>
        <v>4</v>
      </c>
      <c r="F8">
        <f>IF(raw_data!F8="large-scale",2,IF(raw_data!F8="medium-scale",1,0))</f>
        <v>0</v>
      </c>
      <c r="G8">
        <f>IF(raw_data!G8="input",2,IF(raw_data!G8="not in charge",1,0))</f>
        <v>1</v>
      </c>
      <c r="H8">
        <f>IF(raw_data!H8 = "large farm owners", 6, IF(raw_data!H8 = "medium farm owners", 5, IF(raw_data!H8 = "small farm owners", 4, IF(raw_data!H8 = "large retailers", 3, IF(raw_data!H8 = "medium retailers", 2, IF(raw_data!H8 = "small retailers", 1, 0))))))</f>
        <v>4</v>
      </c>
      <c r="I8">
        <f>IF(raw_data!I8 = "male", 0, IF(raw_data!I8 = "female", 1, 2))</f>
        <v>0</v>
      </c>
      <c r="J8" s="1">
        <f>IF(raw_data!J7="yes",1,0)</f>
        <v>0</v>
      </c>
      <c r="K8">
        <f>IF(raw_data!K8 = "yes", 1, 0)</f>
        <v>0</v>
      </c>
      <c r="L8" s="60">
        <f>IF(raw_data!L8 = "treatment all", 0, IF(raw_data!L8 = "prevention all", 0, IF(raw_data!L8 = "prevention some", 0, IF(raw_data!L8 = "growth booster", 0, IF(raw_data!L8 = "don't know", 0, 1)))))</f>
        <v>1</v>
      </c>
      <c r="M8" s="60">
        <f>IF(raw_data!M8 = "can't remember", 0, 1)</f>
        <v>1</v>
      </c>
      <c r="N8" s="60">
        <f>IF(raw_data!N8 = "can't remember", 0, 1)</f>
        <v>0</v>
      </c>
      <c r="O8" s="60">
        <f>IF(raw_data!O8 = "can't remember", 0, 1)</f>
        <v>0</v>
      </c>
      <c r="P8">
        <f>IF(raw_data!P8 = "yes", 1, 0)</f>
        <v>0</v>
      </c>
      <c r="Q8">
        <f>IF(raw_data!Q8 = "bacteria develop resistance", 1, 0)</f>
        <v>0</v>
      </c>
      <c r="R8">
        <f>IF(raw_data!R8 = "yes", 1, 0)</f>
        <v>0</v>
      </c>
      <c r="S8">
        <f>IF(raw_data!S8 = "yes", 1, 0)</f>
        <v>0</v>
      </c>
      <c r="T8">
        <f>IF(raw_data!T8 = "yes", 1, 0)</f>
        <v>0</v>
      </c>
      <c r="U8">
        <f>IF(raw_data!U8 = "yes", 1, 0)</f>
        <v>0</v>
      </c>
      <c r="V8">
        <f>IF(raw_data!V8 = "yes", 1, 0)</f>
        <v>0</v>
      </c>
      <c r="W8">
        <f>IF(raw_data!W8 = "yes", 1, 0)</f>
        <v>0</v>
      </c>
      <c r="X8" s="60">
        <f>IF(raw_data!X8 = "no", 0, 1)</f>
        <v>0</v>
      </c>
      <c r="Y8">
        <f>IF(raw_data!Y8 = "yes", 1, 0)</f>
        <v>0</v>
      </c>
      <c r="Z8" s="60">
        <f>IF(raw_data!Z8 = "can't remember", 0, 1)</f>
        <v>0</v>
      </c>
      <c r="AA8" s="60">
        <f>IF(raw_data!AA8 = "can't remember", 0, 1)</f>
        <v>0</v>
      </c>
      <c r="AB8" s="60">
        <f>IF(raw_data!AB8 = "can't remember", 0, 1)</f>
        <v>0</v>
      </c>
      <c r="AC8" s="60">
        <f>IF(raw_data!AC8 = "4 correct", 4, IF(raw_data!AC8 = "3 correct", 3, IF(raw_data!AC8 = "2 correct", 2, IF(raw_data!AC8 = "1 correct", 1, 0))))</f>
        <v>1</v>
      </c>
      <c r="AD8">
        <f>IF(raw_data!AD8="basic info",1,IF(raw_data!AD8="etiology",1,IF(raw_data!AD8="advanced understanding",1,0)))</f>
        <v>0</v>
      </c>
      <c r="AE8">
        <f>IF(raw_data!AE8 = "true", 0, 1)</f>
        <v>0</v>
      </c>
      <c r="AF8">
        <f>IF(raw_data!AF8 = "true", 1, 0)</f>
        <v>0</v>
      </c>
      <c r="AG8">
        <f>IF(raw_data!AG8 = "yes", 1, 0)</f>
        <v>0</v>
      </c>
      <c r="AH8">
        <f>IF(raw_data!AH:AH = "yes", 1, 0)</f>
        <v>0</v>
      </c>
      <c r="AI8">
        <f>IF(raw_data!AI:AI = "yes", 1, 0)</f>
        <v>0</v>
      </c>
      <c r="AJ8">
        <f>IF(raw_data!AJ:AJ = "yes", 1, 0)</f>
        <v>0</v>
      </c>
      <c r="AK8">
        <f>IF(raw_data!AK:AK = "yes", 1, 0)</f>
        <v>0</v>
      </c>
      <c r="AL8">
        <f>IF(raw_data!AL:AL = "yes", 1, 0)</f>
        <v>0</v>
      </c>
      <c r="AM8">
        <f>IF(raw_data!AM:AM = "yes", 1, 0)</f>
        <v>0</v>
      </c>
      <c r="AN8" s="60">
        <f>IF(raw_data!AN:AN="no",0,IF(raw_data!AN:AN="na",0,1))</f>
        <v>0</v>
      </c>
      <c r="AO8">
        <f>IF(raw_data!AO8="5 correct",5,IF(raw_data!AO8="4 correct",4,IF(raw_data!AO8="3 correct",3,IF(raw_data!AO8="2 correct", 2, IF(raw_data!AO8="1 correct",1,0)))))</f>
        <v>0</v>
      </c>
      <c r="AP8">
        <f>IF(raw_data!AP8="5 correct",5,IF(raw_data!AP8="4 correct",4,IF(raw_data!AP8="3 correct",3,IF(raw_data!AP8="2 correct", 2, IF(raw_data!AP8="1 correct",1,0)))))</f>
        <v>0</v>
      </c>
      <c r="AQ8">
        <f>IF(raw_data!AQ8="5 correct",5,IF(raw_data!AQ8="4 correct",4,IF(raw_data!AQ8="3 correct",3,IF(raw_data!AQ8="2 correct", 2, IF(raw_data!AQ8="1 correct",1,0)))))</f>
        <v>0</v>
      </c>
      <c r="AR8">
        <f>IF(raw_data!AR8="5 correct",5,IF(raw_data!AR8="4 correct",4,IF(raw_data!AR8="3 correct",3,IF(raw_data!AR8="2 correct", 2, IF(raw_data!AR8="1 correct",1,0)))))</f>
        <v>0</v>
      </c>
      <c r="AS8">
        <f>IF(raw_data!AS8 = "very serious", 5, IF(raw_data!AS8 = "serious", 4, IF(raw_data!AS8 = "moderately serious", 3, IF(raw_data!AS8 = "slightly serious", 2, 1))))</f>
        <v>1</v>
      </c>
      <c r="AT8">
        <f>IF(raw_data!AT8 = "seriously concerned", 4, IF(raw_data!AT8 = "concerned", 3, IF(raw_data!AT8 = "slightly concerned", 2, IF(raw_data!AT8 = "not concerned at all", 1, 0))))</f>
        <v>3</v>
      </c>
      <c r="AU8">
        <f>IF(raw_data!AU8 = "strongly agree", 5, IF(raw_data!AU8 = "agree", 4, IF(raw_data!AU8 = "neutral", 3, IF(raw_data!AU8 = "disagree", 2, 1))))</f>
        <v>4</v>
      </c>
      <c r="AV8">
        <f>IF(raw_data!AV8 = "strongly agree", 5, IF(raw_data!AV8 = "agree", 4, IF(raw_data!AV8 = "neutral", 3, IF(raw_data!AV8 = "disagree", 2, 1))))</f>
        <v>5</v>
      </c>
      <c r="AW8">
        <f>IF(raw_data!AW8 = "strongly agree", 5, IF(raw_data!AW8 = "agree", 4, IF(raw_data!AW8 = "neutral", 3, IF(raw_data!AW8 = "disagree", 2, 1))))</f>
        <v>4</v>
      </c>
      <c r="AX8">
        <f>IF(raw_data!AX8 = "strongly agree", 5, IF(raw_data!AX8 = "agree", 4, IF(raw_data!AX8 = "neutral", 3, IF(raw_data!AX8 = "disagree", 2, 1))))</f>
        <v>4</v>
      </c>
      <c r="AY8">
        <f>IF(raw_data!AY8 = "strongly agree", 5, IF(raw_data!AY8 = "agree", 4, IF(raw_data!AY8 = "neutral", 3, IF(raw_data!AY8 = "disagree", 2, 1))))</f>
        <v>4</v>
      </c>
      <c r="AZ8">
        <f>IF(raw_data!AZ8 = "strongly agree", 5, IF(raw_data!AZ8 = "agree", 4, IF(raw_data!AZ8 = "neutral", 3, IF(raw_data!AZ8 = "disagree", 2, 1))))</f>
        <v>1</v>
      </c>
      <c r="BA8">
        <f>IF(raw_data!BA8 = "strongly agree", 5, IF(raw_data!BA8 = "agree", 4, IF(raw_data!BA8 = "neutral", 3, IF(raw_data!BA8 = "disagree", 2, 1))))</f>
        <v>3</v>
      </c>
      <c r="BB8">
        <f>IF(raw_data!BB8 = "strongly agree", 5, IF(raw_data!BB8 = "agree", 4, IF(raw_data!BB8 = "neutral", 3, IF(raw_data!BB8 = "disagree", 2, 1))))</f>
        <v>4</v>
      </c>
      <c r="BC8">
        <f>IF(raw_data!BC8 = "strongly agree", 5, IF(raw_data!BC8 = "agree", 4, IF(raw_data!BC8 = "neutral", 3, IF(raw_data!BC8 = "disagree", 2, 1))))</f>
        <v>4</v>
      </c>
      <c r="BD8">
        <f>IF(raw_data!BD8 = "strongly agree", 5, IF(raw_data!BD8 = "agree", 4, IF(raw_data!BD8 = "neutral", 3, IF(raw_data!BD8 = "disagree", 2, 1))))</f>
        <v>5</v>
      </c>
      <c r="BE8">
        <f>IF(raw_data!BE8 = "strongly agree", 5, IF(raw_data!BE8 = "agree", 4, IF(raw_data!BE8 = "neutral", 3, IF(raw_data!BE8 = "disagree", 2, 1))))</f>
        <v>5</v>
      </c>
      <c r="BF8">
        <f>IF(raw_data!BF8 = "strongly agree", 5, IF(raw_data!BF8 = "agree", 4, IF(raw_data!BF8 = "neutral", 3, IF(raw_data!BF8 = "disagree", 2, 1))))</f>
        <v>3</v>
      </c>
      <c r="BG8">
        <f>IF(raw_data!BG8 = "very strong", 5, IF(raw_data!BG8 = "substantial", 4, IF(raw_data!BG8 = "moderate", 3, IF(raw_data!BG8  = "limited", 2, 1))))</f>
        <v>2</v>
      </c>
      <c r="BH8">
        <f>IF(raw_data!BH8 = "very strong", 5, IF(raw_data!BH8 = "substantial", 4, IF(raw_data!BH8 = "moderate", 3, IF(raw_data!BH8  = "limited", 2, 1))))</f>
        <v>3</v>
      </c>
      <c r="BI8">
        <f>IF(raw_data!BI8 = "very strong", 5, IF(raw_data!BI8 = "substantial", 4, IF(raw_data!BI8 = "moderate", 3, IF(raw_data!BI8  = "limited", 2, 1))))</f>
        <v>5</v>
      </c>
      <c r="BJ8">
        <f>IF(raw_data!BJ8 = "very strong", 5, IF(raw_data!BJ8 = "substantial", 4, IF(raw_data!BJ8 = "moderate", 3, IF(raw_data!BJ8 = "limited", 2, 1))))</f>
        <v>4</v>
      </c>
      <c r="BK8">
        <f>IF(raw_data!BK8 = "very strong", 5, IF(raw_data!BK8 = "substantial", 4, IF(raw_data!BK8 = "moderate", 3, IF(raw_data!BK8 = "limited", 2, 1))))</f>
        <v>3</v>
      </c>
      <c r="BL8">
        <f>IF(raw_data!BL8 = "very strong", 5, IF(raw_data!BL8 = "substantial", 4, IF(raw_data!BL8 = "moderate", 3, IF(raw_data!BL8 = "limited", 2, 1))))</f>
        <v>2</v>
      </c>
      <c r="BM8">
        <f>IF(raw_data!BM8 = "very strong", 5, IF(raw_data!BM8 = "substantial", 4, IF(raw_data!BM8 = "moderate", 3, IF(raw_data!BM8 = "limited", 2, 1))))</f>
        <v>4</v>
      </c>
      <c r="BN8">
        <f>IF(raw_data!BN8 = "very strong", 5, IF(raw_data!BN8 = "substantial", 4, IF(raw_data!BN8 = "moderate", 3, IF(raw_data!BN8 = "limited", 2, 1))))</f>
        <v>5</v>
      </c>
      <c r="BO8">
        <f>IF(raw_data!BO8 = "very strong", 5, IF(raw_data!BO8 = "substantial", 4, IF(raw_data!BO8 = "moderate", 3, IF(raw_data!BO8 = "limited", 2, 1))))</f>
        <v>5</v>
      </c>
      <c r="BP8">
        <f>IF(raw_data!BP8 = "very strong", 5, IF(raw_data!BP8 = "substantial", 4, IF(raw_data!BP8 = "moderate", 3, IF(raw_data!BP8 = "limited", 2, 1))))</f>
        <v>4</v>
      </c>
      <c r="BQ8">
        <f>IF(raw_data!BQ8 = "very strong", 5, IF(raw_data!BQ8 = "substantial", 4, IF(raw_data!BQ8 = "moderate", 3, IF(raw_data!BQ8 = "limited", 2, 1))))</f>
        <v>1</v>
      </c>
      <c r="BR8">
        <f>IF(raw_data!BR8 = "very strong", 5, IF(raw_data!BR8 = "substantial", 4, IF(raw_data!BR8 = "moderate", 3, IF(raw_data!BR8 = "limited", 2, 1))))</f>
        <v>1</v>
      </c>
      <c r="BS8" s="60">
        <f>IF(raw_data!BS8 = "can't remember", 0, 1)</f>
        <v>1</v>
      </c>
      <c r="BT8" s="60">
        <f>IF(raw_data!BT8 = "can't remember", 0, 1)</f>
        <v>1</v>
      </c>
      <c r="BU8" s="60">
        <f>IF(raw_data!BU8 = "can't remember", 0, 1)</f>
        <v>0</v>
      </c>
      <c r="BV8" s="60">
        <f>IF(raw_data!BV8 = "can't remember", 0, 1)</f>
        <v>1</v>
      </c>
      <c r="BW8" s="60">
        <f>IF(raw_data!BW8 = "can't remember", 0, 1)</f>
        <v>1</v>
      </c>
      <c r="BX8" s="60">
        <f>IF(raw_data!BX8 = "can't remember", 0, 1)</f>
        <v>1</v>
      </c>
      <c r="BY8">
        <f>IF(raw_data!BY8 ="no", 0, 1)</f>
        <v>0</v>
      </c>
      <c r="BZ8">
        <f>IF(raw_data!BZ8 ="no", 0, 1)</f>
        <v>0</v>
      </c>
      <c r="CA8">
        <f>IF(raw_data!CA8 ="no", 0, 1)</f>
        <v>0</v>
      </c>
      <c r="CB8" s="60">
        <f>IF(raw_data!CB8 ="no", 1, 0)</f>
        <v>0</v>
      </c>
      <c r="CC8">
        <f>IF(raw_data!CC8 ="no", 0, 1)</f>
        <v>0</v>
      </c>
      <c r="CD8">
        <f>IF(raw_data!CD8 ="no", 0, 1)</f>
        <v>0</v>
      </c>
      <c r="CE8">
        <f>IF(raw_data!CE8 ="no", 0, 1)</f>
        <v>0</v>
      </c>
      <c r="CF8">
        <f>IF(raw_data!CF8 ="no", 0, 1)</f>
        <v>0</v>
      </c>
      <c r="CG8">
        <f>IF(raw_data!CG8 = "yes", 1, 0)</f>
        <v>0</v>
      </c>
      <c r="CH8">
        <f>IF(raw_data!CH8 = "yes", 1, 0)</f>
        <v>1</v>
      </c>
      <c r="CI8">
        <f>IF(raw_data!CI8 = "yes", 1, 0)</f>
        <v>1</v>
      </c>
      <c r="CJ8">
        <f>IF(raw_data!CJ8 = "yes", 1, 0)</f>
        <v>1</v>
      </c>
      <c r="CK8">
        <f>IF(raw_data!CK8 = "yes", 1, 0)</f>
        <v>1</v>
      </c>
      <c r="CL8">
        <f>IF(raw_data!CL8 = "yes", 1, 0)</f>
        <v>0</v>
      </c>
      <c r="CM8">
        <f>IF(raw_data!CM8 = "yes", 1, 0)</f>
        <v>1</v>
      </c>
      <c r="CN8">
        <f>IF(raw_data!CN8 = "yes", 1, 0)</f>
        <v>1</v>
      </c>
      <c r="CO8">
        <f>IF(raw_data!CO8 = "yes", 1, 0)</f>
        <v>0</v>
      </c>
      <c r="CP8">
        <f>IF(raw_data!CP8 = "yes", 1, 0)</f>
        <v>0</v>
      </c>
      <c r="CQ8">
        <f>IF(raw_data!CQ8 = "yes", 1, 0)</f>
        <v>0</v>
      </c>
      <c r="CR8">
        <f>IF(raw_data!CR8 = "yes", 1, 0)</f>
        <v>1</v>
      </c>
      <c r="CS8">
        <f>IF(raw_data!CS8 = "yes", 1, 0)</f>
        <v>1</v>
      </c>
      <c r="CT8">
        <f>IF(raw_data!CT8 = "yes", 1, 0)</f>
        <v>1</v>
      </c>
      <c r="CU8">
        <f>IF(raw_data!CU8 = "yes", 1, 0)</f>
        <v>1</v>
      </c>
      <c r="CV8">
        <f>IF(raw_data!CV8 = "yes", 1, 0)</f>
        <v>1</v>
      </c>
      <c r="CW8">
        <f>IF(raw_data!CW8="na",0,IF(raw_data!CW8="no",0,1))</f>
        <v>1</v>
      </c>
      <c r="CX8">
        <f>IF(raw_data!CX8 = "yes", 1, 0)</f>
        <v>0</v>
      </c>
      <c r="CY8">
        <f>IF(raw_data!CY8 = "yes", 1, 0)</f>
        <v>1</v>
      </c>
      <c r="CZ8">
        <f>IF(raw_data!CZ8 = "yes", 0, 1)</f>
        <v>1</v>
      </c>
      <c r="DA8">
        <f>IF(raw_data!DA8 = "yes", 1, 0)</f>
        <v>1</v>
      </c>
      <c r="DB8">
        <f>IF(raw_data!DB8 = "as prescribed", 1, 0)</f>
        <v>0</v>
      </c>
      <c r="DC8">
        <f>IF(raw_data!DC8 = "yes", 1, 0)</f>
        <v>0</v>
      </c>
      <c r="DD8">
        <f>IF(raw_data!DD8 = "yes", 1, 0)</f>
        <v>0</v>
      </c>
      <c r="DE8">
        <f>IF(raw_data!DE8 = "yes", 1, 0)</f>
        <v>0</v>
      </c>
      <c r="DF8">
        <f>IF(raw_data!DF8 = "yes", 1, 0)</f>
        <v>1</v>
      </c>
      <c r="DG8">
        <f>IF(raw_data!DG8 = "yes", 1, 0)</f>
        <v>1</v>
      </c>
      <c r="DH8">
        <f>IF(raw_data!DH8 = "no", 0, 1)</f>
        <v>0</v>
      </c>
      <c r="DI8">
        <f>IF(raw_data!DI8 = "yes", 1, 0)</f>
        <v>0</v>
      </c>
      <c r="DJ8">
        <f>IF(raw_data!DJ8 = "yes", 1, 0)</f>
        <v>1</v>
      </c>
      <c r="DK8">
        <f>IF(raw_data!DK8 = "yes", 1, 0)</f>
        <v>0</v>
      </c>
      <c r="DL8">
        <f>IF(raw_data!DL8 = "yes", 0, 1)</f>
        <v>1</v>
      </c>
      <c r="DM8">
        <f>IF(raw_data!DM8 = "yes", 0, 1)</f>
        <v>1</v>
      </c>
      <c r="DN8">
        <f>IF(raw_data!DN8="na",0,IF(raw_data!DN8="no",0,1))</f>
        <v>0</v>
      </c>
      <c r="DO8">
        <f>IF(raw_data!DO8 = "yes", 1, 0)</f>
        <v>0</v>
      </c>
      <c r="DP8">
        <f>IF(raw_data!DP8 = "yes", 1, 0)</f>
        <v>1</v>
      </c>
      <c r="DQ8">
        <f>IF(raw_data!DQ8 = "yes", 1, 0)</f>
        <v>0</v>
      </c>
      <c r="DR8">
        <f>IF(raw_data!DR8 = "yes", 0, 1)</f>
        <v>1</v>
      </c>
      <c r="DS8">
        <f>IF(raw_data!DS8 = "yes", 0, 1)</f>
        <v>1</v>
      </c>
      <c r="DT8">
        <f>IF(raw_data!DT8 = "na", 0, IF(raw_data!DT8 = "no", 0, 1))</f>
        <v>0</v>
      </c>
      <c r="DU8">
        <f>IF(raw_data!DU8 = "yes", 1, 0)</f>
        <v>1</v>
      </c>
      <c r="DV8">
        <f>IF(raw_data!DV8 = "yes", 0, 1)</f>
        <v>1</v>
      </c>
      <c r="DW8">
        <f>IF(raw_data!DW8 = "yes", 1, 0)</f>
        <v>0</v>
      </c>
      <c r="DX8">
        <f>IF(raw_data!DX8 = "yes", 0, 1)</f>
        <v>1</v>
      </c>
      <c r="DY8">
        <f>IF(raw_data!DY8 = "yes", 1, 0)</f>
        <v>0</v>
      </c>
      <c r="DZ8">
        <f>IF(raw_data!DZ8="na",0,IF(raw_data!DZ8="no",0,1))</f>
        <v>0</v>
      </c>
      <c r="EA8">
        <f>IF(raw_data!EA8 = "don't check", 0, 1)</f>
        <v>1</v>
      </c>
      <c r="EB8">
        <f>IF(raw_data!EB8 = "pull out", 1, 0)</f>
        <v>1</v>
      </c>
      <c r="EC8" s="1">
        <f>IF(raw_data!EC8 = "yes", 1, 0)</f>
        <v>0</v>
      </c>
      <c r="ED8">
        <f>IF(raw_data!ED8 = "yes", 1, 0)</f>
        <v>0</v>
      </c>
      <c r="EE8" s="60">
        <f>IF(raw_data!EE8="don't know",0,IF(raw_data!EE8="na",0,1))</f>
        <v>0</v>
      </c>
      <c r="EF8" s="60">
        <f>IF(raw_data!EF8="don't know",0,IF(raw_data!EF8="na",0,1))</f>
        <v>0</v>
      </c>
      <c r="EG8">
        <f>IF(raw_data!EG8 = "yes", 1, 0)</f>
        <v>0</v>
      </c>
      <c r="EH8" s="60">
        <f>IF(raw_data!EH8="don't know",0,IF(raw_data!EH8="na",0,1))</f>
        <v>0</v>
      </c>
      <c r="EI8" s="60">
        <f>IF(raw_data!EI8="don't know",0,IF(raw_data!EI8="na",0,1))</f>
        <v>0</v>
      </c>
      <c r="EJ8">
        <f>IF(raw_data!EJ8 = "yes", 1, 0)</f>
        <v>1</v>
      </c>
      <c r="EK8" s="60">
        <f>IF(raw_data!EK8="don't know",0,IF(raw_data!EK8="na",0,1))</f>
        <v>0</v>
      </c>
      <c r="EL8" s="60">
        <f>IF(raw_data!EL8="don't know",0,IF(raw_data!EL8="na",0,1))</f>
        <v>0</v>
      </c>
      <c r="EM8">
        <f>IF(raw_data!EM8 = "yes", 1, 0)</f>
        <v>1</v>
      </c>
      <c r="EN8" s="60">
        <f>IF(raw_data!EN8="don't know",0,IF(raw_data!EN8="na",0,1))</f>
        <v>1</v>
      </c>
      <c r="EO8" s="60">
        <f>IF(raw_data!EO8="don't know",0,IF(raw_data!EO8="na",0,1))</f>
        <v>1</v>
      </c>
      <c r="EP8" s="60">
        <f>IF(raw_data!EP8="don't know",0,IF(raw_data!EP8="na",0,1))</f>
        <v>0</v>
      </c>
      <c r="EQ8">
        <f>IF(raw_data!EQ8 = "yes", 1, 0)</f>
        <v>0</v>
      </c>
      <c r="ER8" s="60">
        <f>IF(raw_data!ER8="don't know",0,IF(raw_data!ER8="na",0,1))</f>
        <v>0</v>
      </c>
      <c r="ES8" s="60">
        <f>IF(raw_data!ES8="don't know",0,IF(raw_data!ES8="na",0,1))</f>
        <v>0</v>
      </c>
      <c r="ET8" s="60">
        <f>IF(raw_data!ET8="don't know",0,IF(raw_data!ET8="na",0,1))</f>
        <v>0</v>
      </c>
      <c r="EU8">
        <f>IF(raw_data!EU8 = "yes", 1, 0)</f>
        <v>0</v>
      </c>
      <c r="EV8">
        <f>IF(raw_data!EV8 = "all the time", 2, IF(raw_data!EV8 = "often", 1, 0))</f>
        <v>0</v>
      </c>
      <c r="EW8" s="1">
        <f>IF(raw_data!EW8 = "yes", 1, 0)</f>
        <v>1</v>
      </c>
      <c r="EX8">
        <f>IF(raw_data!EX8 = "interested", 2, IF(raw_data!EX8 = "neutral", 1, 0))</f>
        <v>1</v>
      </c>
      <c r="EY8" s="60">
        <f>IF(raw_data!EY8 = "don't know", 0, 1)</f>
        <v>1</v>
      </c>
      <c r="EZ8" s="60">
        <f>IF(raw_data!EZ8 = "don't know", 0, 1)</f>
        <v>0</v>
      </c>
      <c r="FA8" s="60">
        <f>IF(raw_data!FA8 = "no", 0, 1)</f>
        <v>1</v>
      </c>
      <c r="FB8" s="60">
        <f>IF(raw_data!FB8 = "no", 0, 1)</f>
        <v>0</v>
      </c>
      <c r="FC8" s="1">
        <f>IF(raw_data!FC8 = "no", 0, 1)</f>
        <v>0</v>
      </c>
      <c r="FD8" s="60">
        <f>IF(raw_data!FD8="tv",1,IF(raw_data!FD8="radio",1,IF(raw_data!FD8="newspaper",1,IF(raw_data!FD8="internet",1,IF(raw_data!FD8="sns",1,IF(raw_data!FD8="na",0,2))))))</f>
        <v>1</v>
      </c>
      <c r="FE8" s="60">
        <f>IF(raw_data!FE8="tv",1,IF(raw_data!FE8="radio",1,IF(raw_data!FE8="newspaper",1,IF(raw_data!FE8="internet",1,IF(raw_data!FE8="sns",1,IF(raw_data!FE8="na",0,2))))))</f>
        <v>1</v>
      </c>
      <c r="FF8" s="60">
        <f>IF(raw_data!FF8="tv",1,IF(raw_data!FF8="radio",1,IF(raw_data!FF8="newspaper",1,IF(raw_data!FF8="internet",1,IF(raw_data!FF8="sns",1,IF(raw_data!FF8="na",0,2))))))</f>
        <v>0</v>
      </c>
      <c r="FG8">
        <f>IF(raw_data!FG8 = "4+ hrs", 4, IF(raw_data!FG8 = "2-4 hrs", 3, IF(raw_data!FG8 = "1-2 hrs", 2, IF(raw_data!FG8 = "less than 1 hr", 1, 0))))</f>
        <v>2</v>
      </c>
      <c r="FH8">
        <f>IF(raw_data!FH8 = "4+ hrs", 4, IF(raw_data!FH8 = "2-4 hrs", 3, IF(raw_data!FH8 = "1-2 hrs", 2, IF(raw_data!FH8 = "less than 1 hr", 1, 0))))</f>
        <v>3</v>
      </c>
      <c r="FI8">
        <f>IF(raw_data!FI8 = "4+ hrs", 4, IF(raw_data!FI8 = "2-4 hrs", 3, IF(raw_data!FI8 = "1-2 hrs", 2, IF(raw_data!FI8 = "less than 1 hr", 1, 0))))</f>
        <v>0</v>
      </c>
      <c r="FJ8" s="60">
        <f>IF(raw_data!FJ8="tv",1,IF(raw_data!FJ8="radio",1,IF(raw_data!FJ8="newspaper",1,IF(raw_data!FJ8="internet",1,IF(raw_data!FJ8="sns",1,IF(raw_data!FJ8="na",0,2))))))</f>
        <v>1</v>
      </c>
      <c r="FK8" s="60">
        <f>IF(raw_data!FK8="tv",1,IF(raw_data!FK8="radio",1,IF(raw_data!FK8="newspaper",1,IF(raw_data!FK8="internet",1,IF(raw_data!FK8="sns",1,IF(raw_data!FK8="na",0,2))))))</f>
        <v>1</v>
      </c>
      <c r="FL8" s="60">
        <f>IF(raw_data!FL8="tv",1,IF(raw_data!FL8="radio",1,IF(raw_data!FL8="newspaper",1,IF(raw_data!FL8="internet",1,IF(raw_data!FL8="sns",1,IF(raw_data!FL8="na",0,2))))))</f>
        <v>0</v>
      </c>
      <c r="FM8">
        <f>IF(raw_data!FM8 = "4+ hrs", 4, IF(raw_data!FM8 = "2-4 hrs", 3, IF(raw_data!FM8 = "1-2 hrs", 2, IF(raw_data!FM8 = "less than 1 hr", 1, 0))))</f>
        <v>3</v>
      </c>
      <c r="FN8">
        <f>IF(raw_data!FN8 = "4+ hrs", 4, IF(raw_data!FN8 = "2-4 hrs", 3, IF(raw_data!FN8 = "1-2 hrs", 2, IF(raw_data!FN8 = "less than 1 hr", 1, 0))))</f>
        <v>2</v>
      </c>
      <c r="FO8">
        <f>IF(raw_data!FO8 = "4+ hrs", 4, IF(raw_data!FO8 = "2-4 hrs", 3, IF(raw_data!FO8 = "1-2 hrs", 2, IF(raw_data!FO8 = "less than 1 hr", 1, 0))))</f>
        <v>0</v>
      </c>
      <c r="FP8">
        <f>IF(raw_data!FP8="only news",1,IF(raw_data!FP8="mostly news",2,IF(raw_data!FP8="balanced",3,IF(raw_data!FP8="mostly entertainment",2,1))))</f>
        <v>2</v>
      </c>
      <c r="FQ8">
        <f>IF(raw_data!FQ8 = "yes", 1, 0)</f>
        <v>1</v>
      </c>
      <c r="FR8">
        <f>IF(raw_data!FR8 = "yes", 1, 0)</f>
        <v>1</v>
      </c>
      <c r="FS8">
        <f>IF(raw_data!FS8 = "yes", 1, 0)</f>
        <v>0</v>
      </c>
      <c r="FT8">
        <f>IF(raw_data!FT8 = "yes", 1, 0)</f>
        <v>1</v>
      </c>
      <c r="FU8">
        <f>IF(raw_data!FU8 = "yes", 1, 0)</f>
        <v>0</v>
      </c>
      <c r="FV8">
        <f>IF(raw_data!FV8="na",0,IF(raw_data!FV8="no",0,1))</f>
        <v>0</v>
      </c>
      <c r="FW8" s="60">
        <f>IF(raw_data!FW8="vet school", 1, IF(raw_data!FW8="symposia", 1, IF(raw_data!FW8="conferences", 1, IF(raw_data!FW8="online course", 1, IF(raw_data!FW8="websites", 1, IF(raw_data!FW8="documentary", 1, IF(raw_data!FW8="tv", 1, IF(raw_data!FW8="newspaper", 1, IF(raw_data!FW8="blogs", 1, IF(raw_data!FW8="sns", 1, IF(raw_data!FW8="na", 0, 2)))))))))))</f>
        <v>1</v>
      </c>
      <c r="FX8" s="60">
        <f>IF(raw_data!FX8="vet school", 1, IF(raw_data!FX8="symposia", 1, IF(raw_data!FX8="conferences", 1, IF(raw_data!FX8="online course", 1, IF(raw_data!FX8="websites", 1, IF(raw_data!FX8="documentary", 1, IF(raw_data!FX8="tv", 1, IF(raw_data!FX8="newspaper", 1, IF(raw_data!FX8="blogs", 1, IF(raw_data!FX8="sns", 1, IF(raw_data!FX8="na", 0, 2)))))))))))</f>
        <v>2</v>
      </c>
      <c r="FY8" s="1">
        <f>IF(raw_data!FY8="vet school", 1, IF(raw_data!FY8="symposia", 1, IF(raw_data!FY8="conferences", 1, IF(raw_data!FY8="online course", 1, IF(raw_data!FY8="websites", 1, IF(raw_data!FY8="documentary", 1, IF(raw_data!FY8="tv", 1, IF(raw_data!FY8="newspaper", 1, IF(raw_data!FY8="blogs", 1, IF(raw_data!FY8="sns", 1, IF(raw_data!FY8="na", 0, 2)))))))))))</f>
        <v>0</v>
      </c>
    </row>
    <row r="9" spans="1:189">
      <c r="A9" s="157">
        <v>6</v>
      </c>
      <c r="B9">
        <f>IF(raw_data!B:B="post-graduate",7,IF(raw_data!B9="graduate",6,IF(raw_data!B9="college",5,IF(raw_data!B9="technical",4,IF(raw_data!B9="high school",3,IF(raw_data!B9="elementary",2,IF(raw_data!B9="some schooling",1,0)))))))</f>
        <v>3</v>
      </c>
      <c r="C9" s="60">
        <f>IF(raw_data!C9 = "proprietor", 0, IF(raw_data!C9 = "rep", 1, IF(raw_data!C9 = "staff", 2, IF(raw_data!C9 = "vet pharm", 3, 4))))</f>
        <v>2</v>
      </c>
      <c r="D9" s="60">
        <f>raw_data!D9</f>
        <v>27</v>
      </c>
      <c r="E9" s="60">
        <f>IF(raw_data!E9 = "less than 1 yr", 0, IF(raw_data!E9 = "1-2 yrs", 1, IF(raw_data!E9 = "2-5 yrs", 2, IF(raw_data!E9 = "5-10 yrs", 3, 4))))</f>
        <v>1</v>
      </c>
      <c r="F9">
        <f>IF(raw_data!F9="large-scale",2,IF(raw_data!F9="medium-scale",1,0))</f>
        <v>0</v>
      </c>
      <c r="G9">
        <f>IF(raw_data!G9="input",2,IF(raw_data!G9="not in charge",1,0))</f>
        <v>1</v>
      </c>
      <c r="H9">
        <f>IF(raw_data!H9 = "large farm owners", 6, IF(raw_data!H9 = "medium farm owners", 5, IF(raw_data!H9 = "small farm owners", 4, IF(raw_data!H9 = "large retailers", 3, IF(raw_data!H9 = "medium retailers", 2, IF(raw_data!H9 = "small retailers", 1, 0))))))</f>
        <v>5</v>
      </c>
      <c r="I9">
        <f>IF(raw_data!I9 = "male", 0, IF(raw_data!I9 = "female", 1, 2))</f>
        <v>0</v>
      </c>
      <c r="J9" s="1">
        <f>IF(raw_data!J8="yes",1,0)</f>
        <v>1</v>
      </c>
      <c r="K9">
        <f>IF(raw_data!K9 = "yes", 1, 0)</f>
        <v>0</v>
      </c>
      <c r="L9" s="60">
        <f>IF(raw_data!L9 = "treatment all", 0, IF(raw_data!L9 = "prevention all", 0, IF(raw_data!L9 = "prevention some", 0, IF(raw_data!L9 = "growth booster", 0, IF(raw_data!L9 = "don't know", 0, 1)))))</f>
        <v>1</v>
      </c>
      <c r="M9" s="60">
        <f>IF(raw_data!M9 = "can't remember", 0, 1)</f>
        <v>1</v>
      </c>
      <c r="N9" s="60">
        <f>IF(raw_data!N9 = "can't remember", 0, 1)</f>
        <v>0</v>
      </c>
      <c r="O9" s="60">
        <f>IF(raw_data!O9 = "can't remember", 0, 1)</f>
        <v>0</v>
      </c>
      <c r="P9">
        <f>IF(raw_data!P9 = "yes", 1, 0)</f>
        <v>0</v>
      </c>
      <c r="Q9">
        <f>IF(raw_data!Q9 = "bacteria develop resistance", 1, 0)</f>
        <v>0</v>
      </c>
      <c r="R9">
        <f>IF(raw_data!R9 = "yes", 1, 0)</f>
        <v>0</v>
      </c>
      <c r="S9">
        <f>IF(raw_data!S9 = "yes", 1, 0)</f>
        <v>0</v>
      </c>
      <c r="T9">
        <f>IF(raw_data!T9 = "yes", 1, 0)</f>
        <v>0</v>
      </c>
      <c r="U9">
        <f>IF(raw_data!U9 = "yes", 1, 0)</f>
        <v>0</v>
      </c>
      <c r="V9">
        <f>IF(raw_data!V9 = "yes", 1, 0)</f>
        <v>0</v>
      </c>
      <c r="W9">
        <f>IF(raw_data!W9 = "yes", 1, 0)</f>
        <v>0</v>
      </c>
      <c r="X9" s="60">
        <f>IF(raw_data!X9 = "no", 0, 1)</f>
        <v>0</v>
      </c>
      <c r="Y9">
        <f>IF(raw_data!Y9 = "yes", 1, 0)</f>
        <v>0</v>
      </c>
      <c r="Z9" s="60">
        <f>IF(raw_data!Z9 = "can't remember", 0, 1)</f>
        <v>0</v>
      </c>
      <c r="AA9" s="60">
        <f>IF(raw_data!AA9 = "can't remember", 0, 1)</f>
        <v>0</v>
      </c>
      <c r="AB9" s="60">
        <f>IF(raw_data!AB9 = "can't remember", 0, 1)</f>
        <v>0</v>
      </c>
      <c r="AC9" s="60">
        <f>IF(raw_data!AC9 = "4 correct", 4, IF(raw_data!AC9 = "3 correct", 3, IF(raw_data!AC9 = "2 correct", 2, IF(raw_data!AC9 = "1 correct", 1, 0))))</f>
        <v>2</v>
      </c>
      <c r="AD9">
        <f>IF(raw_data!AD9="basic info",1,IF(raw_data!AD9="etiology",1,IF(raw_data!AD9="advanced understanding",1,0)))</f>
        <v>0</v>
      </c>
      <c r="AE9">
        <f>IF(raw_data!AE9 = "true", 0, 1)</f>
        <v>0</v>
      </c>
      <c r="AF9">
        <f>IF(raw_data!AF9 = "true", 1, 0)</f>
        <v>0</v>
      </c>
      <c r="AG9">
        <f>IF(raw_data!AG9 = "yes", 1, 0)</f>
        <v>0</v>
      </c>
      <c r="AH9">
        <f>IF(raw_data!AH:AH = "yes", 1, 0)</f>
        <v>0</v>
      </c>
      <c r="AI9">
        <f>IF(raw_data!AI:AI = "yes", 1, 0)</f>
        <v>0</v>
      </c>
      <c r="AJ9">
        <f>IF(raw_data!AJ:AJ = "yes", 1, 0)</f>
        <v>0</v>
      </c>
      <c r="AK9">
        <f>IF(raw_data!AK:AK = "yes", 1, 0)</f>
        <v>0</v>
      </c>
      <c r="AL9">
        <f>IF(raw_data!AL:AL = "yes", 1, 0)</f>
        <v>0</v>
      </c>
      <c r="AM9">
        <f>IF(raw_data!AM:AM = "yes", 1, 0)</f>
        <v>0</v>
      </c>
      <c r="AN9" s="60">
        <f>IF(raw_data!AN:AN="no",0,IF(raw_data!AN:AN="na",0,1))</f>
        <v>0</v>
      </c>
      <c r="AO9">
        <f>IF(raw_data!AO9="5 correct",5,IF(raw_data!AO9="4 correct",4,IF(raw_data!AO9="3 correct",3,IF(raw_data!AO9="2 correct", 2, IF(raw_data!AO9="1 correct",1,0)))))</f>
        <v>0</v>
      </c>
      <c r="AP9">
        <f>IF(raw_data!AP9="5 correct",5,IF(raw_data!AP9="4 correct",4,IF(raw_data!AP9="3 correct",3,IF(raw_data!AP9="2 correct", 2, IF(raw_data!AP9="1 correct",1,0)))))</f>
        <v>0</v>
      </c>
      <c r="AQ9">
        <f>IF(raw_data!AQ9="5 correct",5,IF(raw_data!AQ9="4 correct",4,IF(raw_data!AQ9="3 correct",3,IF(raw_data!AQ9="2 correct", 2, IF(raw_data!AQ9="1 correct",1,0)))))</f>
        <v>0</v>
      </c>
      <c r="AR9">
        <f>IF(raw_data!AR9="5 correct",5,IF(raw_data!AR9="4 correct",4,IF(raw_data!AR9="3 correct",3,IF(raw_data!AR9="2 correct", 2, IF(raw_data!AR9="1 correct",1,0)))))</f>
        <v>0</v>
      </c>
      <c r="AS9">
        <f>IF(raw_data!AS9 = "very serious", 5, IF(raw_data!AS9 = "serious", 4, IF(raw_data!AS9 = "moderately serious", 3, IF(raw_data!AS9 = "slightly serious", 2, 1))))</f>
        <v>2</v>
      </c>
      <c r="AT9">
        <f>IF(raw_data!AT9 = "seriously concerned", 4, IF(raw_data!AT9 = "concerned", 3, IF(raw_data!AT9 = "slightly concerned", 2, IF(raw_data!AT9 = "not concerned at all", 1, 0))))</f>
        <v>3</v>
      </c>
      <c r="AU9">
        <f>IF(raw_data!AU9 = "strongly agree", 5, IF(raw_data!AU9 = "agree", 4, IF(raw_data!AU9 = "neutral", 3, IF(raw_data!AU9 = "disagree", 2, 1))))</f>
        <v>4</v>
      </c>
      <c r="AV9">
        <f>IF(raw_data!AV9 = "strongly agree", 5, IF(raw_data!AV9 = "agree", 4, IF(raw_data!AV9 = "neutral", 3, IF(raw_data!AV9 = "disagree", 2, 1))))</f>
        <v>5</v>
      </c>
      <c r="AW9">
        <f>IF(raw_data!AW9 = "strongly agree", 5, IF(raw_data!AW9 = "agree", 4, IF(raw_data!AW9 = "neutral", 3, IF(raw_data!AW9 = "disagree", 2, 1))))</f>
        <v>4</v>
      </c>
      <c r="AX9">
        <f>IF(raw_data!AX9 = "strongly agree", 5, IF(raw_data!AX9 = "agree", 4, IF(raw_data!AX9 = "neutral", 3, IF(raw_data!AX9 = "disagree", 2, 1))))</f>
        <v>4</v>
      </c>
      <c r="AY9">
        <f>IF(raw_data!AY9 = "strongly agree", 5, IF(raw_data!AY9 = "agree", 4, IF(raw_data!AY9 = "neutral", 3, IF(raw_data!AY9 = "disagree", 2, 1))))</f>
        <v>4</v>
      </c>
      <c r="AZ9">
        <f>IF(raw_data!AZ9 = "strongly agree", 5, IF(raw_data!AZ9 = "agree", 4, IF(raw_data!AZ9 = "neutral", 3, IF(raw_data!AZ9 = "disagree", 2, 1))))</f>
        <v>3</v>
      </c>
      <c r="BA9">
        <f>IF(raw_data!BA9 = "strongly agree", 5, IF(raw_data!BA9 = "agree", 4, IF(raw_data!BA9 = "neutral", 3, IF(raw_data!BA9 = "disagree", 2, 1))))</f>
        <v>3</v>
      </c>
      <c r="BB9">
        <f>IF(raw_data!BB9 = "strongly agree", 5, IF(raw_data!BB9 = "agree", 4, IF(raw_data!BB9 = "neutral", 3, IF(raw_data!BB9 = "disagree", 2, 1))))</f>
        <v>4</v>
      </c>
      <c r="BC9">
        <f>IF(raw_data!BC9 = "strongly agree", 5, IF(raw_data!BC9 = "agree", 4, IF(raw_data!BC9 = "neutral", 3, IF(raw_data!BC9 = "disagree", 2, 1))))</f>
        <v>4</v>
      </c>
      <c r="BD9">
        <f>IF(raw_data!BD9 = "strongly agree", 5, IF(raw_data!BD9 = "agree", 4, IF(raw_data!BD9 = "neutral", 3, IF(raw_data!BD9 = "disagree", 2, 1))))</f>
        <v>5</v>
      </c>
      <c r="BE9">
        <f>IF(raw_data!BE9 = "strongly agree", 5, IF(raw_data!BE9 = "agree", 4, IF(raw_data!BE9 = "neutral", 3, IF(raw_data!BE9 = "disagree", 2, 1))))</f>
        <v>5</v>
      </c>
      <c r="BF9">
        <f>IF(raw_data!BF9 = "strongly agree", 5, IF(raw_data!BF9 = "agree", 4, IF(raw_data!BF9 = "neutral", 3, IF(raw_data!BF9 = "disagree", 2, 1))))</f>
        <v>3</v>
      </c>
      <c r="BG9">
        <f>IF(raw_data!BG9 = "very strong", 5, IF(raw_data!BG9 = "substantial", 4, IF(raw_data!BG9 = "moderate", 3, IF(raw_data!BG9  = "limited", 2, 1))))</f>
        <v>3</v>
      </c>
      <c r="BH9">
        <f>IF(raw_data!BH9 = "very strong", 5, IF(raw_data!BH9 = "substantial", 4, IF(raw_data!BH9 = "moderate", 3, IF(raw_data!BH9  = "limited", 2, 1))))</f>
        <v>3</v>
      </c>
      <c r="BI9">
        <f>IF(raw_data!BI9 = "very strong", 5, IF(raw_data!BI9 = "substantial", 4, IF(raw_data!BI9 = "moderate", 3, IF(raw_data!BI9  = "limited", 2, 1))))</f>
        <v>5</v>
      </c>
      <c r="BJ9">
        <f>IF(raw_data!BJ9 = "very strong", 5, IF(raw_data!BJ9 = "substantial", 4, IF(raw_data!BJ9 = "moderate", 3, IF(raw_data!BJ9 = "limited", 2, 1))))</f>
        <v>4</v>
      </c>
      <c r="BK9">
        <f>IF(raw_data!BK9 = "very strong", 5, IF(raw_data!BK9 = "substantial", 4, IF(raw_data!BK9 = "moderate", 3, IF(raw_data!BK9 = "limited", 2, 1))))</f>
        <v>3</v>
      </c>
      <c r="BL9">
        <f>IF(raw_data!BL9 = "very strong", 5, IF(raw_data!BL9 = "substantial", 4, IF(raw_data!BL9 = "moderate", 3, IF(raw_data!BL9 = "limited", 2, 1))))</f>
        <v>1</v>
      </c>
      <c r="BM9">
        <f>IF(raw_data!BM9 = "very strong", 5, IF(raw_data!BM9 = "substantial", 4, IF(raw_data!BM9 = "moderate", 3, IF(raw_data!BM9 = "limited", 2, 1))))</f>
        <v>3</v>
      </c>
      <c r="BN9">
        <f>IF(raw_data!BN9 = "very strong", 5, IF(raw_data!BN9 = "substantial", 4, IF(raw_data!BN9 = "moderate", 3, IF(raw_data!BN9 = "limited", 2, 1))))</f>
        <v>5</v>
      </c>
      <c r="BO9">
        <f>IF(raw_data!BO9 = "very strong", 5, IF(raw_data!BO9 = "substantial", 4, IF(raw_data!BO9 = "moderate", 3, IF(raw_data!BO9 = "limited", 2, 1))))</f>
        <v>5</v>
      </c>
      <c r="BP9">
        <f>IF(raw_data!BP9 = "very strong", 5, IF(raw_data!BP9 = "substantial", 4, IF(raw_data!BP9 = "moderate", 3, IF(raw_data!BP9 = "limited", 2, 1))))</f>
        <v>4</v>
      </c>
      <c r="BQ9">
        <f>IF(raw_data!BQ9 = "very strong", 5, IF(raw_data!BQ9 = "substantial", 4, IF(raw_data!BQ9 = "moderate", 3, IF(raw_data!BQ9 = "limited", 2, 1))))</f>
        <v>1</v>
      </c>
      <c r="BR9">
        <f>IF(raw_data!BR9 = "very strong", 5, IF(raw_data!BR9 = "substantial", 4, IF(raw_data!BR9 = "moderate", 3, IF(raw_data!BR9 = "limited", 2, 1))))</f>
        <v>1</v>
      </c>
      <c r="BS9" s="60">
        <f>IF(raw_data!BS9 = "can't remember", 0, 1)</f>
        <v>1</v>
      </c>
      <c r="BT9" s="60">
        <f>IF(raw_data!BT9 = "can't remember", 0, 1)</f>
        <v>1</v>
      </c>
      <c r="BU9" s="60">
        <f>IF(raw_data!BU9 = "can't remember", 0, 1)</f>
        <v>0</v>
      </c>
      <c r="BV9" s="60">
        <f>IF(raw_data!BV9 = "can't remember", 0, 1)</f>
        <v>1</v>
      </c>
      <c r="BW9" s="60">
        <f>IF(raw_data!BW9 = "can't remember", 0, 1)</f>
        <v>1</v>
      </c>
      <c r="BX9" s="60">
        <f>IF(raw_data!BX9 = "can't remember", 0, 1)</f>
        <v>0</v>
      </c>
      <c r="BY9">
        <f>IF(raw_data!BY9 ="no", 0, 1)</f>
        <v>0</v>
      </c>
      <c r="BZ9">
        <f>IF(raw_data!BZ9 ="no", 0, 1)</f>
        <v>0</v>
      </c>
      <c r="CA9">
        <f>IF(raw_data!CA9 ="no", 0, 1)</f>
        <v>0</v>
      </c>
      <c r="CB9" s="60">
        <f>IF(raw_data!CB9 ="no", 1, 0)</f>
        <v>0</v>
      </c>
      <c r="CC9">
        <f>IF(raw_data!CC9 ="no", 0, 1)</f>
        <v>0</v>
      </c>
      <c r="CD9">
        <f>IF(raw_data!CD9 ="no", 0, 1)</f>
        <v>0</v>
      </c>
      <c r="CE9">
        <f>IF(raw_data!CE9 ="no", 0, 1)</f>
        <v>0</v>
      </c>
      <c r="CF9">
        <f>IF(raw_data!CF9 ="no", 0, 1)</f>
        <v>0</v>
      </c>
      <c r="CG9">
        <f>IF(raw_data!CG9 = "yes", 1, 0)</f>
        <v>0</v>
      </c>
      <c r="CH9">
        <f>IF(raw_data!CH9 = "yes", 1, 0)</f>
        <v>1</v>
      </c>
      <c r="CI9">
        <f>IF(raw_data!CI9 = "yes", 1, 0)</f>
        <v>1</v>
      </c>
      <c r="CJ9">
        <f>IF(raw_data!CJ9 = "yes", 1, 0)</f>
        <v>1</v>
      </c>
      <c r="CK9">
        <f>IF(raw_data!CK9 = "yes", 1, 0)</f>
        <v>1</v>
      </c>
      <c r="CL9">
        <f>IF(raw_data!CL9 = "yes", 1, 0)</f>
        <v>0</v>
      </c>
      <c r="CM9">
        <f>IF(raw_data!CM9 = "yes", 1, 0)</f>
        <v>1</v>
      </c>
      <c r="CN9">
        <f>IF(raw_data!CN9 = "yes", 1, 0)</f>
        <v>0</v>
      </c>
      <c r="CO9">
        <f>IF(raw_data!CO9 = "yes", 1, 0)</f>
        <v>0</v>
      </c>
      <c r="CP9">
        <f>IF(raw_data!CP9 = "yes", 1, 0)</f>
        <v>0</v>
      </c>
      <c r="CQ9">
        <f>IF(raw_data!CQ9 = "yes", 1, 0)</f>
        <v>0</v>
      </c>
      <c r="CR9">
        <f>IF(raw_data!CR9 = "yes", 1, 0)</f>
        <v>0</v>
      </c>
      <c r="CS9">
        <f>IF(raw_data!CS9 = "yes", 1, 0)</f>
        <v>1</v>
      </c>
      <c r="CT9">
        <f>IF(raw_data!CT9 = "yes", 1, 0)</f>
        <v>1</v>
      </c>
      <c r="CU9">
        <f>IF(raw_data!CU9 = "yes", 1, 0)</f>
        <v>0</v>
      </c>
      <c r="CV9">
        <f>IF(raw_data!CV9 = "yes", 1, 0)</f>
        <v>1</v>
      </c>
      <c r="CW9">
        <f>IF(raw_data!CW9="na",0,IF(raw_data!CW9="no",0,1))</f>
        <v>1</v>
      </c>
      <c r="CX9">
        <f>IF(raw_data!CX9 = "yes", 1, 0)</f>
        <v>0</v>
      </c>
      <c r="CY9">
        <f>IF(raw_data!CY9 = "yes", 1, 0)</f>
        <v>0</v>
      </c>
      <c r="CZ9">
        <f>IF(raw_data!CZ9 = "yes", 0, 1)</f>
        <v>1</v>
      </c>
      <c r="DA9">
        <f>IF(raw_data!DA9 = "yes", 1, 0)</f>
        <v>0</v>
      </c>
      <c r="DB9">
        <f>IF(raw_data!DB9 = "as prescribed", 1, 0)</f>
        <v>0</v>
      </c>
      <c r="DC9">
        <f>IF(raw_data!DC9 = "yes", 1, 0)</f>
        <v>1</v>
      </c>
      <c r="DD9">
        <f>IF(raw_data!DD9 = "yes", 1, 0)</f>
        <v>1</v>
      </c>
      <c r="DE9">
        <f>IF(raw_data!DE9 = "yes", 1, 0)</f>
        <v>1</v>
      </c>
      <c r="DF9">
        <f>IF(raw_data!DF9 = "yes", 1, 0)</f>
        <v>1</v>
      </c>
      <c r="DG9">
        <f>IF(raw_data!DG9 = "yes", 1, 0)</f>
        <v>0</v>
      </c>
      <c r="DH9">
        <f>IF(raw_data!DH9 = "no", 0, 1)</f>
        <v>0</v>
      </c>
      <c r="DI9">
        <f>IF(raw_data!DI9 = "yes", 1, 0)</f>
        <v>0</v>
      </c>
      <c r="DJ9">
        <f>IF(raw_data!DJ9 = "yes", 1, 0)</f>
        <v>1</v>
      </c>
      <c r="DK9">
        <f>IF(raw_data!DK9 = "yes", 1, 0)</f>
        <v>0</v>
      </c>
      <c r="DL9">
        <f>IF(raw_data!DL9 = "yes", 0, 1)</f>
        <v>1</v>
      </c>
      <c r="DM9">
        <f>IF(raw_data!DM9 = "yes", 0, 1)</f>
        <v>0</v>
      </c>
      <c r="DN9">
        <f>IF(raw_data!DN9="na",0,IF(raw_data!DN9="no",0,1))</f>
        <v>0</v>
      </c>
      <c r="DO9">
        <f>IF(raw_data!DO9 = "yes", 1, 0)</f>
        <v>0</v>
      </c>
      <c r="DP9">
        <f>IF(raw_data!DP9 = "yes", 1, 0)</f>
        <v>1</v>
      </c>
      <c r="DQ9">
        <f>IF(raw_data!DQ9 = "yes", 1, 0)</f>
        <v>0</v>
      </c>
      <c r="DR9">
        <f>IF(raw_data!DR9 = "yes", 0, 1)</f>
        <v>1</v>
      </c>
      <c r="DS9">
        <f>IF(raw_data!DS9 = "yes", 0, 1)</f>
        <v>0</v>
      </c>
      <c r="DT9">
        <f>IF(raw_data!DT9 = "na", 0, IF(raw_data!DT9 = "no", 0, 1))</f>
        <v>1</v>
      </c>
      <c r="DU9">
        <f>IF(raw_data!DU9 = "yes", 1, 0)</f>
        <v>1</v>
      </c>
      <c r="DV9">
        <f>IF(raw_data!DV9 = "yes", 0, 1)</f>
        <v>1</v>
      </c>
      <c r="DW9">
        <f>IF(raw_data!DW9 = "yes", 1, 0)</f>
        <v>0</v>
      </c>
      <c r="DX9">
        <f>IF(raw_data!DX9 = "yes", 0, 1)</f>
        <v>1</v>
      </c>
      <c r="DY9">
        <f>IF(raw_data!DY9 = "yes", 1, 0)</f>
        <v>0</v>
      </c>
      <c r="DZ9">
        <f>IF(raw_data!DZ9="na",0,IF(raw_data!DZ9="no",0,1))</f>
        <v>0</v>
      </c>
      <c r="EA9">
        <f>IF(raw_data!EA9 = "don't check", 0, 1)</f>
        <v>0</v>
      </c>
      <c r="EB9">
        <f>IF(raw_data!EB9 = "pull out", 1, 0)</f>
        <v>1</v>
      </c>
      <c r="EC9" s="1">
        <f>IF(raw_data!EC9 = "yes", 1, 0)</f>
        <v>0</v>
      </c>
      <c r="ED9">
        <f>IF(raw_data!ED9 = "yes", 1, 0)</f>
        <v>1</v>
      </c>
      <c r="EE9" s="60">
        <f>IF(raw_data!EE9="don't know",0,IF(raw_data!EE9="na",0,1))</f>
        <v>0</v>
      </c>
      <c r="EF9" s="60">
        <f>IF(raw_data!EF9="don't know",0,IF(raw_data!EF9="na",0,1))</f>
        <v>0</v>
      </c>
      <c r="EG9">
        <f>IF(raw_data!EG9 = "yes", 1, 0)</f>
        <v>1</v>
      </c>
      <c r="EH9" s="60">
        <f>IF(raw_data!EH9="don't know",0,IF(raw_data!EH9="na",0,1))</f>
        <v>0</v>
      </c>
      <c r="EI9" s="60">
        <f>IF(raw_data!EI9="don't know",0,IF(raw_data!EI9="na",0,1))</f>
        <v>0</v>
      </c>
      <c r="EJ9">
        <f>IF(raw_data!EJ9 = "yes", 1, 0)</f>
        <v>1</v>
      </c>
      <c r="EK9" s="60">
        <f>IF(raw_data!EK9="don't know",0,IF(raw_data!EK9="na",0,1))</f>
        <v>0</v>
      </c>
      <c r="EL9" s="60">
        <f>IF(raw_data!EL9="don't know",0,IF(raw_data!EL9="na",0,1))</f>
        <v>0</v>
      </c>
      <c r="EM9">
        <f>IF(raw_data!EM9 = "yes", 1, 0)</f>
        <v>0</v>
      </c>
      <c r="EN9" s="60">
        <f>IF(raw_data!EN9="don't know",0,IF(raw_data!EN9="na",0,1))</f>
        <v>0</v>
      </c>
      <c r="EO9" s="60">
        <f>IF(raw_data!EO9="don't know",0,IF(raw_data!EO9="na",0,1))</f>
        <v>0</v>
      </c>
      <c r="EP9" s="60">
        <f>IF(raw_data!EP9="don't know",0,IF(raw_data!EP9="na",0,1))</f>
        <v>0</v>
      </c>
      <c r="EQ9">
        <f>IF(raw_data!EQ9 = "yes", 1, 0)</f>
        <v>0</v>
      </c>
      <c r="ER9" s="60">
        <f>IF(raw_data!ER9="don't know",0,IF(raw_data!ER9="na",0,1))</f>
        <v>0</v>
      </c>
      <c r="ES9" s="60">
        <f>IF(raw_data!ES9="don't know",0,IF(raw_data!ES9="na",0,1))</f>
        <v>0</v>
      </c>
      <c r="ET9" s="60">
        <f>IF(raw_data!ET9="don't know",0,IF(raw_data!ET9="na",0,1))</f>
        <v>0</v>
      </c>
      <c r="EU9">
        <f>IF(raw_data!EU9 = "yes", 1, 0)</f>
        <v>1</v>
      </c>
      <c r="EV9">
        <f>IF(raw_data!EV9 = "all the time", 2, IF(raw_data!EV9 = "often", 1, 0))</f>
        <v>0</v>
      </c>
      <c r="EW9" s="1">
        <f>IF(raw_data!EW9 = "yes", 1, 0)</f>
        <v>0</v>
      </c>
      <c r="EX9">
        <f>IF(raw_data!EX9 = "interested", 2, IF(raw_data!EX9 = "neutral", 1, 0))</f>
        <v>0</v>
      </c>
      <c r="EY9" s="60">
        <f>IF(raw_data!EY9 = "don't know", 0, 1)</f>
        <v>0</v>
      </c>
      <c r="EZ9" s="60">
        <f>IF(raw_data!EZ9 = "don't know", 0, 1)</f>
        <v>0</v>
      </c>
      <c r="FA9" s="60">
        <f>IF(raw_data!FA9 = "no", 0, 1)</f>
        <v>1</v>
      </c>
      <c r="FB9" s="60">
        <f>IF(raw_data!FB9 = "no", 0, 1)</f>
        <v>1</v>
      </c>
      <c r="FC9" s="1">
        <f>IF(raw_data!FC9 = "no", 0, 1)</f>
        <v>0</v>
      </c>
      <c r="FD9" s="60">
        <f>IF(raw_data!FD9="tv",1,IF(raw_data!FD9="radio",1,IF(raw_data!FD9="newspaper",1,IF(raw_data!FD9="internet",1,IF(raw_data!FD9="sns",1,IF(raw_data!FD9="na",0,2))))))</f>
        <v>1</v>
      </c>
      <c r="FE9" s="60">
        <f>IF(raw_data!FE9="tv",1,IF(raw_data!FE9="radio",1,IF(raw_data!FE9="newspaper",1,IF(raw_data!FE9="internet",1,IF(raw_data!FE9="sns",1,IF(raw_data!FE9="na",0,2))))))</f>
        <v>1</v>
      </c>
      <c r="FF9" s="60">
        <f>IF(raw_data!FF9="tv",1,IF(raw_data!FF9="radio",1,IF(raw_data!FF9="newspaper",1,IF(raw_data!FF9="internet",1,IF(raw_data!FF9="sns",1,IF(raw_data!FF9="na",0,2))))))</f>
        <v>1</v>
      </c>
      <c r="FG9">
        <f>IF(raw_data!FG9 = "4+ hrs", 4, IF(raw_data!FG9 = "2-4 hrs", 3, IF(raw_data!FG9 = "1-2 hrs", 2, IF(raw_data!FG9 = "less than 1 hr", 1, 0))))</f>
        <v>3</v>
      </c>
      <c r="FH9">
        <f>IF(raw_data!FH9 = "4+ hrs", 4, IF(raw_data!FH9 = "2-4 hrs", 3, IF(raw_data!FH9 = "1-2 hrs", 2, IF(raw_data!FH9 = "less than 1 hr", 1, 0))))</f>
        <v>2</v>
      </c>
      <c r="FI9">
        <f>IF(raw_data!FI9 = "4+ hrs", 4, IF(raw_data!FI9 = "2-4 hrs", 3, IF(raw_data!FI9 = "1-2 hrs", 2, IF(raw_data!FI9 = "less than 1 hr", 1, 0))))</f>
        <v>2</v>
      </c>
      <c r="FJ9" s="60">
        <f>IF(raw_data!FJ9="tv",1,IF(raw_data!FJ9="radio",1,IF(raw_data!FJ9="newspaper",1,IF(raw_data!FJ9="internet",1,IF(raw_data!FJ9="sns",1,IF(raw_data!FJ9="na",0,2))))))</f>
        <v>1</v>
      </c>
      <c r="FK9" s="60">
        <f>IF(raw_data!FK9="tv",1,IF(raw_data!FK9="radio",1,IF(raw_data!FK9="newspaper",1,IF(raw_data!FK9="internet",1,IF(raw_data!FK9="sns",1,IF(raw_data!FK9="na",0,2))))))</f>
        <v>1</v>
      </c>
      <c r="FL9" s="60">
        <f>IF(raw_data!FL9="tv",1,IF(raw_data!FL9="radio",1,IF(raw_data!FL9="newspaper",1,IF(raw_data!FL9="internet",1,IF(raw_data!FL9="sns",1,IF(raw_data!FL9="na",0,2))))))</f>
        <v>1</v>
      </c>
      <c r="FM9">
        <f>IF(raw_data!FM9 = "4+ hrs", 4, IF(raw_data!FM9 = "2-4 hrs", 3, IF(raw_data!FM9 = "1-2 hrs", 2, IF(raw_data!FM9 = "less than 1 hr", 1, 0))))</f>
        <v>4</v>
      </c>
      <c r="FN9">
        <f>IF(raw_data!FN9 = "4+ hrs", 4, IF(raw_data!FN9 = "2-4 hrs", 3, IF(raw_data!FN9 = "1-2 hrs", 2, IF(raw_data!FN9 = "less than 1 hr", 1, 0))))</f>
        <v>3</v>
      </c>
      <c r="FO9">
        <f>IF(raw_data!FO9 = "4+ hrs", 4, IF(raw_data!FO9 = "2-4 hrs", 3, IF(raw_data!FO9 = "1-2 hrs", 2, IF(raw_data!FO9 = "less than 1 hr", 1, 0))))</f>
        <v>3</v>
      </c>
      <c r="FP9">
        <f>IF(raw_data!FP9="only news",1,IF(raw_data!FP9="mostly news",2,IF(raw_data!FP9="balanced",3,IF(raw_data!FP9="mostly entertainment",2,1))))</f>
        <v>3</v>
      </c>
      <c r="FQ9">
        <f>IF(raw_data!FQ9 = "yes", 1, 0)</f>
        <v>1</v>
      </c>
      <c r="FR9">
        <f>IF(raw_data!FR9 = "yes", 1, 0)</f>
        <v>1</v>
      </c>
      <c r="FS9">
        <f>IF(raw_data!FS9 = "yes", 1, 0)</f>
        <v>0</v>
      </c>
      <c r="FT9">
        <f>IF(raw_data!FT9 = "yes", 1, 0)</f>
        <v>1</v>
      </c>
      <c r="FU9">
        <f>IF(raw_data!FU9 = "yes", 1, 0)</f>
        <v>1</v>
      </c>
      <c r="FV9">
        <f>IF(raw_data!FV9="na",0,IF(raw_data!FV9="no",0,1))</f>
        <v>0</v>
      </c>
      <c r="FW9" s="60">
        <f>IF(raw_data!FW9="vet school", 1, IF(raw_data!FW9="symposia", 1, IF(raw_data!FW9="conferences", 1, IF(raw_data!FW9="online course", 1, IF(raw_data!FW9="websites", 1, IF(raw_data!FW9="documentary", 1, IF(raw_data!FW9="tv", 1, IF(raw_data!FW9="newspaper", 1, IF(raw_data!FW9="blogs", 1, IF(raw_data!FW9="sns", 1, IF(raw_data!FW9="na", 0, 2)))))))))))</f>
        <v>2</v>
      </c>
      <c r="FX9" s="60">
        <f>IF(raw_data!FX9="vet school", 1, IF(raw_data!FX9="symposia", 1, IF(raw_data!FX9="conferences", 1, IF(raw_data!FX9="online course", 1, IF(raw_data!FX9="websites", 1, IF(raw_data!FX9="documentary", 1, IF(raw_data!FX9="tv", 1, IF(raw_data!FX9="newspaper", 1, IF(raw_data!FX9="blogs", 1, IF(raw_data!FX9="sns", 1, IF(raw_data!FX9="na", 0, 2)))))))))))</f>
        <v>1</v>
      </c>
      <c r="FY9" s="1">
        <f>IF(raw_data!FY9="vet school", 1, IF(raw_data!FY9="symposia", 1, IF(raw_data!FY9="conferences", 1, IF(raw_data!FY9="online course", 1, IF(raw_data!FY9="websites", 1, IF(raw_data!FY9="documentary", 1, IF(raw_data!FY9="tv", 1, IF(raw_data!FY9="newspaper", 1, IF(raw_data!FY9="blogs", 1, IF(raw_data!FY9="sns", 1, IF(raw_data!FY9="na", 0, 2)))))))))))</f>
        <v>1</v>
      </c>
    </row>
    <row r="10" spans="1:189">
      <c r="A10" s="157">
        <v>7</v>
      </c>
      <c r="B10">
        <f>IF(raw_data!B:B="post-graduate",7,IF(raw_data!B10="graduate",6,IF(raw_data!B10="college",5,IF(raw_data!B10="technical",4,IF(raw_data!B10="high school",3,IF(raw_data!B10="elementary",2,IF(raw_data!B10="some schooling",1,0)))))))</f>
        <v>2</v>
      </c>
      <c r="C10" s="60">
        <f>IF(raw_data!C10 = "proprietor", 0, IF(raw_data!C10 = "rep", 1, IF(raw_data!C10 = "staff", 2, IF(raw_data!C10 = "vet pharm", 3, 4))))</f>
        <v>0</v>
      </c>
      <c r="D10" s="60">
        <f>raw_data!D10</f>
        <v>30</v>
      </c>
      <c r="E10" s="60">
        <f>IF(raw_data!E10 = "less than 1 yr", 0, IF(raw_data!E10 = "1-2 yrs", 1, IF(raw_data!E10 = "2-5 yrs", 2, IF(raw_data!E10 = "5-10 yrs", 3, 4))))</f>
        <v>1</v>
      </c>
      <c r="F10">
        <f>IF(raw_data!F10="large-scale",2,IF(raw_data!F10="medium-scale",1,0))</f>
        <v>1</v>
      </c>
      <c r="G10">
        <f>IF(raw_data!G10="input",2,IF(raw_data!G10="not in charge",1,0))</f>
        <v>2</v>
      </c>
      <c r="H10">
        <f>IF(raw_data!H10 = "large farm owners", 6, IF(raw_data!H10 = "medium farm owners", 5, IF(raw_data!H10 = "small farm owners", 4, IF(raw_data!H10 = "large retailers", 3, IF(raw_data!H10 = "medium retailers", 2, IF(raw_data!H10 = "small retailers", 1, 0))))))</f>
        <v>4</v>
      </c>
      <c r="I10">
        <f>IF(raw_data!I10 = "male", 0, IF(raw_data!I10 = "female", 1, 2))</f>
        <v>0</v>
      </c>
      <c r="J10" s="1">
        <f>IF(raw_data!J9="yes",1,0)</f>
        <v>0</v>
      </c>
      <c r="K10">
        <f>IF(raw_data!K10 = "yes", 1, 0)</f>
        <v>1</v>
      </c>
      <c r="L10" s="60">
        <f>IF(raw_data!L10 = "treatment all", 0, IF(raw_data!L10 = "prevention all", 0, IF(raw_data!L10 = "prevention some", 0, IF(raw_data!L10 = "growth booster", 0, IF(raw_data!L10 = "don't know", 0, 1)))))</f>
        <v>0</v>
      </c>
      <c r="M10" s="60">
        <f>IF(raw_data!M10 = "can't remember", 0, 1)</f>
        <v>1</v>
      </c>
      <c r="N10" s="60">
        <f>IF(raw_data!N10 = "can't remember", 0, 1)</f>
        <v>1</v>
      </c>
      <c r="O10" s="60">
        <f>IF(raw_data!O10 = "can't remember", 0, 1)</f>
        <v>0</v>
      </c>
      <c r="P10">
        <f>IF(raw_data!P10 = "yes", 1, 0)</f>
        <v>0</v>
      </c>
      <c r="Q10">
        <f>IF(raw_data!Q10 = "bacteria develop resistance", 1, 0)</f>
        <v>0</v>
      </c>
      <c r="R10">
        <f>IF(raw_data!R10 = "yes", 1, 0)</f>
        <v>0</v>
      </c>
      <c r="S10">
        <f>IF(raw_data!S10 = "yes", 1, 0)</f>
        <v>0</v>
      </c>
      <c r="T10">
        <f>IF(raw_data!T10 = "yes", 1, 0)</f>
        <v>0</v>
      </c>
      <c r="U10">
        <f>IF(raw_data!U10 = "yes", 1, 0)</f>
        <v>0</v>
      </c>
      <c r="V10">
        <f>IF(raw_data!V10 = "yes", 1, 0)</f>
        <v>0</v>
      </c>
      <c r="W10">
        <f>IF(raw_data!W10 = "yes", 1, 0)</f>
        <v>0</v>
      </c>
      <c r="X10" s="60">
        <f>IF(raw_data!X10 = "no", 0, 1)</f>
        <v>0</v>
      </c>
      <c r="Y10">
        <f>IF(raw_data!Y10 = "yes", 1, 0)</f>
        <v>0</v>
      </c>
      <c r="Z10" s="60">
        <f>IF(raw_data!Z10 = "can't remember", 0, 1)</f>
        <v>0</v>
      </c>
      <c r="AA10" s="60">
        <f>IF(raw_data!AA10 = "can't remember", 0, 1)</f>
        <v>0</v>
      </c>
      <c r="AB10" s="60">
        <f>IF(raw_data!AB10 = "can't remember", 0, 1)</f>
        <v>0</v>
      </c>
      <c r="AC10" s="60">
        <f>IF(raw_data!AC10 = "4 correct", 4, IF(raw_data!AC10 = "3 correct", 3, IF(raw_data!AC10 = "2 correct", 2, IF(raw_data!AC10 = "1 correct", 1, 0))))</f>
        <v>2</v>
      </c>
      <c r="AD10">
        <f>IF(raw_data!AD10="basic info",1,IF(raw_data!AD10="etiology",1,IF(raw_data!AD10="advanced understanding",1,0)))</f>
        <v>0</v>
      </c>
      <c r="AE10">
        <f>IF(raw_data!AE10 = "true", 0, 1)</f>
        <v>0</v>
      </c>
      <c r="AF10">
        <f>IF(raw_data!AF10 = "true", 1, 0)</f>
        <v>0</v>
      </c>
      <c r="AG10">
        <f>IF(raw_data!AG10 = "yes", 1, 0)</f>
        <v>0</v>
      </c>
      <c r="AH10">
        <f>IF(raw_data!AH:AH = "yes", 1, 0)</f>
        <v>0</v>
      </c>
      <c r="AI10">
        <f>IF(raw_data!AI:AI = "yes", 1, 0)</f>
        <v>0</v>
      </c>
      <c r="AJ10">
        <f>IF(raw_data!AJ:AJ = "yes", 1, 0)</f>
        <v>0</v>
      </c>
      <c r="AK10">
        <f>IF(raw_data!AK:AK = "yes", 1, 0)</f>
        <v>0</v>
      </c>
      <c r="AL10">
        <f>IF(raw_data!AL:AL = "yes", 1, 0)</f>
        <v>0</v>
      </c>
      <c r="AM10">
        <f>IF(raw_data!AM:AM = "yes", 1, 0)</f>
        <v>0</v>
      </c>
      <c r="AN10" s="60">
        <f>IF(raw_data!AN:AN="no",0,IF(raw_data!AN:AN="na",0,1))</f>
        <v>0</v>
      </c>
      <c r="AO10">
        <f>IF(raw_data!AO10="5 correct",5,IF(raw_data!AO10="4 correct",4,IF(raw_data!AO10="3 correct",3,IF(raw_data!AO10="2 correct", 2, IF(raw_data!AO10="1 correct",1,0)))))</f>
        <v>0</v>
      </c>
      <c r="AP10">
        <f>IF(raw_data!AP10="5 correct",5,IF(raw_data!AP10="4 correct",4,IF(raw_data!AP10="3 correct",3,IF(raw_data!AP10="2 correct", 2, IF(raw_data!AP10="1 correct",1,0)))))</f>
        <v>0</v>
      </c>
      <c r="AQ10">
        <f>IF(raw_data!AQ10="5 correct",5,IF(raw_data!AQ10="4 correct",4,IF(raw_data!AQ10="3 correct",3,IF(raw_data!AQ10="2 correct", 2, IF(raw_data!AQ10="1 correct",1,0)))))</f>
        <v>0</v>
      </c>
      <c r="AR10">
        <f>IF(raw_data!AR10="5 correct",5,IF(raw_data!AR10="4 correct",4,IF(raw_data!AR10="3 correct",3,IF(raw_data!AR10="2 correct", 2, IF(raw_data!AR10="1 correct",1,0)))))</f>
        <v>0</v>
      </c>
      <c r="AS10">
        <f>IF(raw_data!AS10 = "very serious", 5, IF(raw_data!AS10 = "serious", 4, IF(raw_data!AS10 = "moderately serious", 3, IF(raw_data!AS10 = "slightly serious", 2, 1))))</f>
        <v>1</v>
      </c>
      <c r="AT10">
        <f>IF(raw_data!AT10 = "seriously concerned", 4, IF(raw_data!AT10 = "concerned", 3, IF(raw_data!AT10 = "slightly concerned", 2, IF(raw_data!AT10 = "not concerned at all", 1, 0))))</f>
        <v>0</v>
      </c>
      <c r="AU10">
        <f>IF(raw_data!AU10 = "strongly agree", 5, IF(raw_data!AU10 = "agree", 4, IF(raw_data!AU10 = "neutral", 3, IF(raw_data!AU10 = "disagree", 2, 1))))</f>
        <v>4</v>
      </c>
      <c r="AV10">
        <f>IF(raw_data!AV10 = "strongly agree", 5, IF(raw_data!AV10 = "agree", 4, IF(raw_data!AV10 = "neutral", 3, IF(raw_data!AV10 = "disagree", 2, 1))))</f>
        <v>5</v>
      </c>
      <c r="AW10">
        <f>IF(raw_data!AW10 = "strongly agree", 5, IF(raw_data!AW10 = "agree", 4, IF(raw_data!AW10 = "neutral", 3, IF(raw_data!AW10 = "disagree", 2, 1))))</f>
        <v>4</v>
      </c>
      <c r="AX10">
        <f>IF(raw_data!AX10 = "strongly agree", 5, IF(raw_data!AX10 = "agree", 4, IF(raw_data!AX10 = "neutral", 3, IF(raw_data!AX10 = "disagree", 2, 1))))</f>
        <v>4</v>
      </c>
      <c r="AY10">
        <f>IF(raw_data!AY10 = "strongly agree", 5, IF(raw_data!AY10 = "agree", 4, IF(raw_data!AY10 = "neutral", 3, IF(raw_data!AY10 = "disagree", 2, 1))))</f>
        <v>4</v>
      </c>
      <c r="AZ10">
        <f>IF(raw_data!AZ10 = "strongly agree", 5, IF(raw_data!AZ10 = "agree", 4, IF(raw_data!AZ10 = "neutral", 3, IF(raw_data!AZ10 = "disagree", 2, 1))))</f>
        <v>3</v>
      </c>
      <c r="BA10">
        <f>IF(raw_data!BA10 = "strongly agree", 5, IF(raw_data!BA10 = "agree", 4, IF(raw_data!BA10 = "neutral", 3, IF(raw_data!BA10 = "disagree", 2, 1))))</f>
        <v>3</v>
      </c>
      <c r="BB10">
        <f>IF(raw_data!BB10 = "strongly agree", 5, IF(raw_data!BB10 = "agree", 4, IF(raw_data!BB10 = "neutral", 3, IF(raw_data!BB10 = "disagree", 2, 1))))</f>
        <v>4</v>
      </c>
      <c r="BC10">
        <f>IF(raw_data!BC10 = "strongly agree", 5, IF(raw_data!BC10 = "agree", 4, IF(raw_data!BC10 = "neutral", 3, IF(raw_data!BC10 = "disagree", 2, 1))))</f>
        <v>4</v>
      </c>
      <c r="BD10">
        <f>IF(raw_data!BD10 = "strongly agree", 5, IF(raw_data!BD10 = "agree", 4, IF(raw_data!BD10 = "neutral", 3, IF(raw_data!BD10 = "disagree", 2, 1))))</f>
        <v>5</v>
      </c>
      <c r="BE10">
        <f>IF(raw_data!BE10 = "strongly agree", 5, IF(raw_data!BE10 = "agree", 4, IF(raw_data!BE10 = "neutral", 3, IF(raw_data!BE10 = "disagree", 2, 1))))</f>
        <v>5</v>
      </c>
      <c r="BF10">
        <f>IF(raw_data!BF10 = "strongly agree", 5, IF(raw_data!BF10 = "agree", 4, IF(raw_data!BF10 = "neutral", 3, IF(raw_data!BF10 = "disagree", 2, 1))))</f>
        <v>3</v>
      </c>
      <c r="BG10">
        <f>IF(raw_data!BG10 = "very strong", 5, IF(raw_data!BG10 = "substantial", 4, IF(raw_data!BG10 = "moderate", 3, IF(raw_data!BG10  = "limited", 2, 1))))</f>
        <v>3</v>
      </c>
      <c r="BH10">
        <f>IF(raw_data!BH10 = "very strong", 5, IF(raw_data!BH10 = "substantial", 4, IF(raw_data!BH10 = "moderate", 3, IF(raw_data!BH10  = "limited", 2, 1))))</f>
        <v>3</v>
      </c>
      <c r="BI10">
        <f>IF(raw_data!BI10 = "very strong", 5, IF(raw_data!BI10 = "substantial", 4, IF(raw_data!BI10 = "moderate", 3, IF(raw_data!BI10  = "limited", 2, 1))))</f>
        <v>5</v>
      </c>
      <c r="BJ10">
        <f>IF(raw_data!BJ10 = "very strong", 5, IF(raw_data!BJ10 = "substantial", 4, IF(raw_data!BJ10 = "moderate", 3, IF(raw_data!BJ10 = "limited", 2, 1))))</f>
        <v>4</v>
      </c>
      <c r="BK10">
        <f>IF(raw_data!BK10 = "very strong", 5, IF(raw_data!BK10 = "substantial", 4, IF(raw_data!BK10 = "moderate", 3, IF(raw_data!BK10 = "limited", 2, 1))))</f>
        <v>3</v>
      </c>
      <c r="BL10">
        <f>IF(raw_data!BL10 = "very strong", 5, IF(raw_data!BL10 = "substantial", 4, IF(raw_data!BL10 = "moderate", 3, IF(raw_data!BL10 = "limited", 2, 1))))</f>
        <v>1</v>
      </c>
      <c r="BM10">
        <f>IF(raw_data!BM10 = "very strong", 5, IF(raw_data!BM10 = "substantial", 4, IF(raw_data!BM10 = "moderate", 3, IF(raw_data!BM10 = "limited", 2, 1))))</f>
        <v>3</v>
      </c>
      <c r="BN10">
        <f>IF(raw_data!BN10 = "very strong", 5, IF(raw_data!BN10 = "substantial", 4, IF(raw_data!BN10 = "moderate", 3, IF(raw_data!BN10 = "limited", 2, 1))))</f>
        <v>5</v>
      </c>
      <c r="BO10">
        <f>IF(raw_data!BO10 = "very strong", 5, IF(raw_data!BO10 = "substantial", 4, IF(raw_data!BO10 = "moderate", 3, IF(raw_data!BO10 = "limited", 2, 1))))</f>
        <v>5</v>
      </c>
      <c r="BP10">
        <f>IF(raw_data!BP10 = "very strong", 5, IF(raw_data!BP10 = "substantial", 4, IF(raw_data!BP10 = "moderate", 3, IF(raw_data!BP10 = "limited", 2, 1))))</f>
        <v>4</v>
      </c>
      <c r="BQ10">
        <f>IF(raw_data!BQ10 = "very strong", 5, IF(raw_data!BQ10 = "substantial", 4, IF(raw_data!BQ10 = "moderate", 3, IF(raw_data!BQ10 = "limited", 2, 1))))</f>
        <v>1</v>
      </c>
      <c r="BR10">
        <f>IF(raw_data!BR10 = "very strong", 5, IF(raw_data!BR10 = "substantial", 4, IF(raw_data!BR10 = "moderate", 3, IF(raw_data!BR10 = "limited", 2, 1))))</f>
        <v>1</v>
      </c>
      <c r="BS10" s="60">
        <f>IF(raw_data!BS10 = "can't remember", 0, 1)</f>
        <v>1</v>
      </c>
      <c r="BT10" s="60">
        <f>IF(raw_data!BT10 = "can't remember", 0, 1)</f>
        <v>1</v>
      </c>
      <c r="BU10" s="60">
        <f>IF(raw_data!BU10 = "can't remember", 0, 1)</f>
        <v>1</v>
      </c>
      <c r="BV10" s="60">
        <f>IF(raw_data!BV10 = "can't remember", 0, 1)</f>
        <v>1</v>
      </c>
      <c r="BW10" s="60">
        <f>IF(raw_data!BW10 = "can't remember", 0, 1)</f>
        <v>1</v>
      </c>
      <c r="BX10" s="60">
        <f>IF(raw_data!BX10 = "can't remember", 0, 1)</f>
        <v>0</v>
      </c>
      <c r="BY10">
        <f>IF(raw_data!BY10 ="no", 0, 1)</f>
        <v>1</v>
      </c>
      <c r="BZ10">
        <f>IF(raw_data!BZ10 ="no", 0, 1)</f>
        <v>0</v>
      </c>
      <c r="CA10">
        <f>IF(raw_data!CA10 ="no", 0, 1)</f>
        <v>1</v>
      </c>
      <c r="CB10" s="60">
        <f>IF(raw_data!CB10 ="no", 1, 0)</f>
        <v>1</v>
      </c>
      <c r="CC10">
        <f>IF(raw_data!CC10 ="no", 0, 1)</f>
        <v>1</v>
      </c>
      <c r="CD10">
        <f>IF(raw_data!CD10 ="no", 0, 1)</f>
        <v>0</v>
      </c>
      <c r="CE10">
        <f>IF(raw_data!CE10 ="no", 0, 1)</f>
        <v>0</v>
      </c>
      <c r="CF10">
        <f>IF(raw_data!CF10 ="no", 0, 1)</f>
        <v>0</v>
      </c>
      <c r="CG10">
        <f>IF(raw_data!CG10 = "yes", 1, 0)</f>
        <v>0</v>
      </c>
      <c r="CH10">
        <f>IF(raw_data!CH10 = "yes", 1, 0)</f>
        <v>0</v>
      </c>
      <c r="CI10">
        <f>IF(raw_data!CI10 = "yes", 1, 0)</f>
        <v>0</v>
      </c>
      <c r="CJ10">
        <f>IF(raw_data!CJ10 = "yes", 1, 0)</f>
        <v>0</v>
      </c>
      <c r="CK10">
        <f>IF(raw_data!CK10 = "yes", 1, 0)</f>
        <v>0</v>
      </c>
      <c r="CL10">
        <f>IF(raw_data!CL10 = "yes", 1, 0)</f>
        <v>0</v>
      </c>
      <c r="CM10">
        <f>IF(raw_data!CM10 = "yes", 1, 0)</f>
        <v>1</v>
      </c>
      <c r="CN10">
        <f>IF(raw_data!CN10 = "yes", 1, 0)</f>
        <v>1</v>
      </c>
      <c r="CO10">
        <f>IF(raw_data!CO10 = "yes", 1, 0)</f>
        <v>0</v>
      </c>
      <c r="CP10">
        <f>IF(raw_data!CP10 = "yes", 1, 0)</f>
        <v>0</v>
      </c>
      <c r="CQ10">
        <f>IF(raw_data!CQ10 = "yes", 1, 0)</f>
        <v>1</v>
      </c>
      <c r="CR10">
        <f>IF(raw_data!CR10 = "yes", 1, 0)</f>
        <v>0</v>
      </c>
      <c r="CS10">
        <f>IF(raw_data!CS10 = "yes", 1, 0)</f>
        <v>0</v>
      </c>
      <c r="CT10">
        <f>IF(raw_data!CT10 = "yes", 1, 0)</f>
        <v>0</v>
      </c>
      <c r="CU10">
        <f>IF(raw_data!CU10 = "yes", 1, 0)</f>
        <v>0</v>
      </c>
      <c r="CV10">
        <f>IF(raw_data!CV10 = "yes", 1, 0)</f>
        <v>0</v>
      </c>
      <c r="CW10">
        <f>IF(raw_data!CW10="na",0,IF(raw_data!CW10="no",0,1))</f>
        <v>0</v>
      </c>
      <c r="CX10">
        <f>IF(raw_data!CX10 = "yes", 1, 0)</f>
        <v>1</v>
      </c>
      <c r="CY10">
        <f>IF(raw_data!CY10 = "yes", 1, 0)</f>
        <v>1</v>
      </c>
      <c r="CZ10">
        <f>IF(raw_data!CZ10 = "yes", 0, 1)</f>
        <v>0</v>
      </c>
      <c r="DA10">
        <f>IF(raw_data!DA10 = "yes", 1, 0)</f>
        <v>1</v>
      </c>
      <c r="DB10">
        <f>IF(raw_data!DB10 = "as prescribed", 1, 0)</f>
        <v>0</v>
      </c>
      <c r="DC10">
        <f>IF(raw_data!DC10 = "yes", 1, 0)</f>
        <v>0</v>
      </c>
      <c r="DD10">
        <f>IF(raw_data!DD10 = "yes", 1, 0)</f>
        <v>0</v>
      </c>
      <c r="DE10">
        <f>IF(raw_data!DE10 = "yes", 1, 0)</f>
        <v>0</v>
      </c>
      <c r="DF10">
        <f>IF(raw_data!DF10 = "yes", 1, 0)</f>
        <v>1</v>
      </c>
      <c r="DG10">
        <f>IF(raw_data!DG10 = "yes", 1, 0)</f>
        <v>1</v>
      </c>
      <c r="DH10">
        <f>IF(raw_data!DH10 = "no", 0, 1)</f>
        <v>0</v>
      </c>
      <c r="DI10">
        <f>IF(raw_data!DI10 = "yes", 1, 0)</f>
        <v>1</v>
      </c>
      <c r="DJ10">
        <f>IF(raw_data!DJ10 = "yes", 1, 0)</f>
        <v>0</v>
      </c>
      <c r="DK10">
        <f>IF(raw_data!DK10 = "yes", 1, 0)</f>
        <v>0</v>
      </c>
      <c r="DL10">
        <f>IF(raw_data!DL10 = "yes", 0, 1)</f>
        <v>1</v>
      </c>
      <c r="DM10">
        <f>IF(raw_data!DM10 = "yes", 0, 1)</f>
        <v>0</v>
      </c>
      <c r="DN10">
        <f>IF(raw_data!DN10="na",0,IF(raw_data!DN10="no",0,1))</f>
        <v>0</v>
      </c>
      <c r="DO10">
        <f>IF(raw_data!DO10 = "yes", 1, 0)</f>
        <v>1</v>
      </c>
      <c r="DP10">
        <f>IF(raw_data!DP10 = "yes", 1, 0)</f>
        <v>0</v>
      </c>
      <c r="DQ10">
        <f>IF(raw_data!DQ10 = "yes", 1, 0)</f>
        <v>0</v>
      </c>
      <c r="DR10">
        <f>IF(raw_data!DR10 = "yes", 0, 1)</f>
        <v>1</v>
      </c>
      <c r="DS10">
        <f>IF(raw_data!DS10 = "yes", 0, 1)</f>
        <v>0</v>
      </c>
      <c r="DT10">
        <f>IF(raw_data!DT10 = "na", 0, IF(raw_data!DT10 = "no", 0, 1))</f>
        <v>0</v>
      </c>
      <c r="DU10">
        <f>IF(raw_data!DU10 = "yes", 1, 0)</f>
        <v>1</v>
      </c>
      <c r="DV10">
        <f>IF(raw_data!DV10 = "yes", 0, 1)</f>
        <v>0</v>
      </c>
      <c r="DW10">
        <f>IF(raw_data!DW10 = "yes", 1, 0)</f>
        <v>1</v>
      </c>
      <c r="DX10">
        <f>IF(raw_data!DX10 = "yes", 0, 1)</f>
        <v>1</v>
      </c>
      <c r="DY10">
        <f>IF(raw_data!DY10 = "yes", 1, 0)</f>
        <v>0</v>
      </c>
      <c r="DZ10">
        <f>IF(raw_data!DZ10="na",0,IF(raw_data!DZ10="no",0,1))</f>
        <v>0</v>
      </c>
      <c r="EA10">
        <f>IF(raw_data!EA10 = "don't check", 0, 1)</f>
        <v>1</v>
      </c>
      <c r="EB10">
        <f>IF(raw_data!EB10 = "pull out", 1, 0)</f>
        <v>0</v>
      </c>
      <c r="EC10" s="1">
        <f>IF(raw_data!EC10 = "yes", 1, 0)</f>
        <v>0</v>
      </c>
      <c r="ED10">
        <f>IF(raw_data!ED10 = "yes", 1, 0)</f>
        <v>0</v>
      </c>
      <c r="EE10" s="60">
        <f>IF(raw_data!EE10="don't know",0,IF(raw_data!EE10="na",0,1))</f>
        <v>0</v>
      </c>
      <c r="EF10" s="60">
        <f>IF(raw_data!EF10="don't know",0,IF(raw_data!EF10="na",0,1))</f>
        <v>0</v>
      </c>
      <c r="EG10">
        <f>IF(raw_data!EG10 = "yes", 1, 0)</f>
        <v>0</v>
      </c>
      <c r="EH10" s="60">
        <f>IF(raw_data!EH10="don't know",0,IF(raw_data!EH10="na",0,1))</f>
        <v>0</v>
      </c>
      <c r="EI10" s="60">
        <f>IF(raw_data!EI10="don't know",0,IF(raw_data!EI10="na",0,1))</f>
        <v>0</v>
      </c>
      <c r="EJ10">
        <f>IF(raw_data!EJ10 = "yes", 1, 0)</f>
        <v>1</v>
      </c>
      <c r="EK10" s="60">
        <f>IF(raw_data!EK10="don't know",0,IF(raw_data!EK10="na",0,1))</f>
        <v>0</v>
      </c>
      <c r="EL10" s="60">
        <f>IF(raw_data!EL10="don't know",0,IF(raw_data!EL10="na",0,1))</f>
        <v>0</v>
      </c>
      <c r="EM10">
        <f>IF(raw_data!EM10 = "yes", 1, 0)</f>
        <v>1</v>
      </c>
      <c r="EN10" s="60">
        <f>IF(raw_data!EN10="don't know",0,IF(raw_data!EN10="na",0,1))</f>
        <v>0</v>
      </c>
      <c r="EO10" s="60">
        <f>IF(raw_data!EO10="don't know",0,IF(raw_data!EO10="na",0,1))</f>
        <v>0</v>
      </c>
      <c r="EP10" s="60">
        <f>IF(raw_data!EP10="don't know",0,IF(raw_data!EP10="na",0,1))</f>
        <v>0</v>
      </c>
      <c r="EQ10">
        <f>IF(raw_data!EQ10 = "yes", 1, 0)</f>
        <v>0</v>
      </c>
      <c r="ER10" s="60">
        <f>IF(raw_data!ER10="don't know",0,IF(raw_data!ER10="na",0,1))</f>
        <v>0</v>
      </c>
      <c r="ES10" s="60">
        <f>IF(raw_data!ES10="don't know",0,IF(raw_data!ES10="na",0,1))</f>
        <v>0</v>
      </c>
      <c r="ET10" s="60">
        <f>IF(raw_data!ET10="don't know",0,IF(raw_data!ET10="na",0,1))</f>
        <v>0</v>
      </c>
      <c r="EU10">
        <f>IF(raw_data!EU10 = "yes", 1, 0)</f>
        <v>1</v>
      </c>
      <c r="EV10">
        <f>IF(raw_data!EV10 = "all the time", 2, IF(raw_data!EV10 = "often", 1, 0))</f>
        <v>0</v>
      </c>
      <c r="EW10" s="1">
        <f>IF(raw_data!EW10 = "yes", 1, 0)</f>
        <v>1</v>
      </c>
      <c r="EX10">
        <f>IF(raw_data!EX10 = "interested", 2, IF(raw_data!EX10 = "neutral", 1, 0))</f>
        <v>0</v>
      </c>
      <c r="EY10" s="60">
        <f>IF(raw_data!EY10 = "don't know", 0, 1)</f>
        <v>0</v>
      </c>
      <c r="EZ10" s="60">
        <f>IF(raw_data!EZ10 = "don't know", 0, 1)</f>
        <v>0</v>
      </c>
      <c r="FA10" s="60">
        <f>IF(raw_data!FA10 = "no", 0, 1)</f>
        <v>1</v>
      </c>
      <c r="FB10" s="60">
        <f>IF(raw_data!FB10 = "no", 0, 1)</f>
        <v>0</v>
      </c>
      <c r="FC10" s="1">
        <f>IF(raw_data!FC10 = "no", 0, 1)</f>
        <v>1</v>
      </c>
      <c r="FD10" s="60">
        <f>IF(raw_data!FD10="tv",1,IF(raw_data!FD10="radio",1,IF(raw_data!FD10="newspaper",1,IF(raw_data!FD10="internet",1,IF(raw_data!FD10="sns",1,IF(raw_data!FD10="na",0,2))))))</f>
        <v>1</v>
      </c>
      <c r="FE10" s="60">
        <f>IF(raw_data!FE10="tv",1,IF(raw_data!FE10="radio",1,IF(raw_data!FE10="newspaper",1,IF(raw_data!FE10="internet",1,IF(raw_data!FE10="sns",1,IF(raw_data!FE10="na",0,2))))))</f>
        <v>1</v>
      </c>
      <c r="FF10" s="60">
        <f>IF(raw_data!FF10="tv",1,IF(raw_data!FF10="radio",1,IF(raw_data!FF10="newspaper",1,IF(raw_data!FF10="internet",1,IF(raw_data!FF10="sns",1,IF(raw_data!FF10="na",0,2))))))</f>
        <v>1</v>
      </c>
      <c r="FG10">
        <f>IF(raw_data!FG10 = "4+ hrs", 4, IF(raw_data!FG10 = "2-4 hrs", 3, IF(raw_data!FG10 = "1-2 hrs", 2, IF(raw_data!FG10 = "less than 1 hr", 1, 0))))</f>
        <v>4</v>
      </c>
      <c r="FH10">
        <f>IF(raw_data!FH10 = "4+ hrs", 4, IF(raw_data!FH10 = "2-4 hrs", 3, IF(raw_data!FH10 = "1-2 hrs", 2, IF(raw_data!FH10 = "less than 1 hr", 1, 0))))</f>
        <v>4</v>
      </c>
      <c r="FI10">
        <f>IF(raw_data!FI10 = "4+ hrs", 4, IF(raw_data!FI10 = "2-4 hrs", 3, IF(raw_data!FI10 = "1-2 hrs", 2, IF(raw_data!FI10 = "less than 1 hr", 1, 0))))</f>
        <v>2</v>
      </c>
      <c r="FJ10" s="60">
        <f>IF(raw_data!FJ10="tv",1,IF(raw_data!FJ10="radio",1,IF(raw_data!FJ10="newspaper",1,IF(raw_data!FJ10="internet",1,IF(raw_data!FJ10="sns",1,IF(raw_data!FJ10="na",0,2))))))</f>
        <v>1</v>
      </c>
      <c r="FK10" s="60">
        <f>IF(raw_data!FK10="tv",1,IF(raw_data!FK10="radio",1,IF(raw_data!FK10="newspaper",1,IF(raw_data!FK10="internet",1,IF(raw_data!FK10="sns",1,IF(raw_data!FK10="na",0,2))))))</f>
        <v>1</v>
      </c>
      <c r="FL10" s="60">
        <f>IF(raw_data!FL10="tv",1,IF(raw_data!FL10="radio",1,IF(raw_data!FL10="newspaper",1,IF(raw_data!FL10="internet",1,IF(raw_data!FL10="sns",1,IF(raw_data!FL10="na",0,2))))))</f>
        <v>1</v>
      </c>
      <c r="FM10">
        <f>IF(raw_data!FM10 = "4+ hrs", 4, IF(raw_data!FM10 = "2-4 hrs", 3, IF(raw_data!FM10 = "1-2 hrs", 2, IF(raw_data!FM10 = "less than 1 hr", 1, 0))))</f>
        <v>3</v>
      </c>
      <c r="FN10">
        <f>IF(raw_data!FN10 = "4+ hrs", 4, IF(raw_data!FN10 = "2-4 hrs", 3, IF(raw_data!FN10 = "1-2 hrs", 2, IF(raw_data!FN10 = "less than 1 hr", 1, 0))))</f>
        <v>3</v>
      </c>
      <c r="FO10">
        <f>IF(raw_data!FO10 = "4+ hrs", 4, IF(raw_data!FO10 = "2-4 hrs", 3, IF(raw_data!FO10 = "1-2 hrs", 2, IF(raw_data!FO10 = "less than 1 hr", 1, 0))))</f>
        <v>2</v>
      </c>
      <c r="FP10">
        <f>IF(raw_data!FP10="only news",1,IF(raw_data!FP10="mostly news",2,IF(raw_data!FP10="balanced",3,IF(raw_data!FP10="mostly entertainment",2,1))))</f>
        <v>3</v>
      </c>
      <c r="FQ10">
        <f>IF(raw_data!FQ10 = "yes", 1, 0)</f>
        <v>1</v>
      </c>
      <c r="FR10">
        <f>IF(raw_data!FR10 = "yes", 1, 0)</f>
        <v>0</v>
      </c>
      <c r="FS10">
        <f>IF(raw_data!FS10 = "yes", 1, 0)</f>
        <v>0</v>
      </c>
      <c r="FT10">
        <f>IF(raw_data!FT10 = "yes", 1, 0)</f>
        <v>0</v>
      </c>
      <c r="FU10">
        <f>IF(raw_data!FU10 = "yes", 1, 0)</f>
        <v>0</v>
      </c>
      <c r="FV10">
        <f>IF(raw_data!FV10="na",0,IF(raw_data!FV10="no",0,1))</f>
        <v>0</v>
      </c>
      <c r="FW10" s="60">
        <f>IF(raw_data!FW10="vet school", 1, IF(raw_data!FW10="symposia", 1, IF(raw_data!FW10="conferences", 1, IF(raw_data!FW10="online course", 1, IF(raw_data!FW10="websites", 1, IF(raw_data!FW10="documentary", 1, IF(raw_data!FW10="tv", 1, IF(raw_data!FW10="newspaper", 1, IF(raw_data!FW10="blogs", 1, IF(raw_data!FW10="sns", 1, IF(raw_data!FW10="na", 0, 2)))))))))))</f>
        <v>2</v>
      </c>
      <c r="FX10" s="60">
        <f>IF(raw_data!FX10="vet school", 1, IF(raw_data!FX10="symposia", 1, IF(raw_data!FX10="conferences", 1, IF(raw_data!FX10="online course", 1, IF(raw_data!FX10="websites", 1, IF(raw_data!FX10="documentary", 1, IF(raw_data!FX10="tv", 1, IF(raw_data!FX10="newspaper", 1, IF(raw_data!FX10="blogs", 1, IF(raw_data!FX10="sns", 1, IF(raw_data!FX10="na", 0, 2)))))))))))</f>
        <v>1</v>
      </c>
      <c r="FY10" s="1">
        <f>IF(raw_data!FY10="vet school", 1, IF(raw_data!FY10="symposia", 1, IF(raw_data!FY10="conferences", 1, IF(raw_data!FY10="online course", 1, IF(raw_data!FY10="websites", 1, IF(raw_data!FY10="documentary", 1, IF(raw_data!FY10="tv", 1, IF(raw_data!FY10="newspaper", 1, IF(raw_data!FY10="blogs", 1, IF(raw_data!FY10="sns", 1, IF(raw_data!FY10="na", 0, 2)))))))))))</f>
        <v>1</v>
      </c>
    </row>
    <row r="11" spans="1:189">
      <c r="A11" s="157">
        <v>8</v>
      </c>
      <c r="B11">
        <f>IF(raw_data!B:B="post-graduate",7,IF(raw_data!B11="graduate",6,IF(raw_data!B11="college",5,IF(raw_data!B11="technical",4,IF(raw_data!B11="high school",3,IF(raw_data!B11="elementary",2,IF(raw_data!B11="some schooling",1,0)))))))</f>
        <v>0</v>
      </c>
      <c r="C11" s="60">
        <f>IF(raw_data!C11 = "proprietor", 0, IF(raw_data!C11 = "rep", 1, IF(raw_data!C11 = "staff", 2, IF(raw_data!C11 = "vet pharm", 3, 4))))</f>
        <v>2</v>
      </c>
      <c r="D11" s="60">
        <f>raw_data!D11</f>
        <v>39</v>
      </c>
      <c r="E11" s="60">
        <f>IF(raw_data!E11 = "less than 1 yr", 0, IF(raw_data!E11 = "1-2 yrs", 1, IF(raw_data!E11 = "2-5 yrs", 2, IF(raw_data!E11 = "5-10 yrs", 3, 4))))</f>
        <v>2</v>
      </c>
      <c r="F11">
        <f>IF(raw_data!F11="large-scale",2,IF(raw_data!F11="medium-scale",1,0))</f>
        <v>0</v>
      </c>
      <c r="G11">
        <f>IF(raw_data!G11="input",2,IF(raw_data!G11="not in charge",1,0))</f>
        <v>1</v>
      </c>
      <c r="H11">
        <f>IF(raw_data!H11 = "large farm owners", 6, IF(raw_data!H11 = "medium farm owners", 5, IF(raw_data!H11 = "small farm owners", 4, IF(raw_data!H11 = "large retailers", 3, IF(raw_data!H11 = "medium retailers", 2, IF(raw_data!H11 = "small retailers", 1, 0))))))</f>
        <v>5</v>
      </c>
      <c r="I11">
        <f>IF(raw_data!I11 = "male", 0, IF(raw_data!I11 = "female", 1, 2))</f>
        <v>0</v>
      </c>
      <c r="J11" s="1">
        <f>IF(raw_data!J10="yes",1,0)</f>
        <v>0</v>
      </c>
      <c r="K11">
        <f>IF(raw_data!K11 = "yes", 1, 0)</f>
        <v>1</v>
      </c>
      <c r="L11" s="60">
        <f>IF(raw_data!L11 = "treatment all", 0, IF(raw_data!L11 = "prevention all", 0, IF(raw_data!L11 = "prevention some", 0, IF(raw_data!L11 = "growth booster", 0, IF(raw_data!L11 = "don't know", 0, 1)))))</f>
        <v>0</v>
      </c>
      <c r="M11" s="60">
        <f>IF(raw_data!M11 = "can't remember", 0, 1)</f>
        <v>1</v>
      </c>
      <c r="N11" s="60">
        <f>IF(raw_data!N11 = "can't remember", 0, 1)</f>
        <v>0</v>
      </c>
      <c r="O11" s="60">
        <f>IF(raw_data!O11 = "can't remember", 0, 1)</f>
        <v>0</v>
      </c>
      <c r="P11">
        <f>IF(raw_data!P11 = "yes", 1, 0)</f>
        <v>0</v>
      </c>
      <c r="Q11">
        <f>IF(raw_data!Q11 = "bacteria develop resistance", 1, 0)</f>
        <v>0</v>
      </c>
      <c r="R11">
        <f>IF(raw_data!R11 = "yes", 1, 0)</f>
        <v>0</v>
      </c>
      <c r="S11">
        <f>IF(raw_data!S11 = "yes", 1, 0)</f>
        <v>0</v>
      </c>
      <c r="T11">
        <f>IF(raw_data!T11 = "yes", 1, 0)</f>
        <v>0</v>
      </c>
      <c r="U11">
        <f>IF(raw_data!U11 = "yes", 1, 0)</f>
        <v>0</v>
      </c>
      <c r="V11">
        <f>IF(raw_data!V11 = "yes", 1, 0)</f>
        <v>0</v>
      </c>
      <c r="W11">
        <f>IF(raw_data!W11 = "yes", 1, 0)</f>
        <v>0</v>
      </c>
      <c r="X11" s="60">
        <f>IF(raw_data!X11 = "no", 0, 1)</f>
        <v>0</v>
      </c>
      <c r="Y11">
        <f>IF(raw_data!Y11 = "yes", 1, 0)</f>
        <v>0</v>
      </c>
      <c r="Z11" s="60">
        <f>IF(raw_data!Z11 = "can't remember", 0, 1)</f>
        <v>0</v>
      </c>
      <c r="AA11" s="60">
        <f>IF(raw_data!AA11 = "can't remember", 0, 1)</f>
        <v>0</v>
      </c>
      <c r="AB11" s="60">
        <f>IF(raw_data!AB11 = "can't remember", 0, 1)</f>
        <v>0</v>
      </c>
      <c r="AC11" s="60">
        <f>IF(raw_data!AC11 = "4 correct", 4, IF(raw_data!AC11 = "3 correct", 3, IF(raw_data!AC11 = "2 correct", 2, IF(raw_data!AC11 = "1 correct", 1, 0))))</f>
        <v>1</v>
      </c>
      <c r="AD11">
        <f>IF(raw_data!AD11="basic info",1,IF(raw_data!AD11="etiology",1,IF(raw_data!AD11="advanced understanding",1,0)))</f>
        <v>0</v>
      </c>
      <c r="AE11">
        <f>IF(raw_data!AE11 = "true", 0, 1)</f>
        <v>0</v>
      </c>
      <c r="AF11">
        <f>IF(raw_data!AF11 = "true", 1, 0)</f>
        <v>0</v>
      </c>
      <c r="AG11">
        <f>IF(raw_data!AG11 = "yes", 1, 0)</f>
        <v>0</v>
      </c>
      <c r="AH11">
        <f>IF(raw_data!AH:AH = "yes", 1, 0)</f>
        <v>0</v>
      </c>
      <c r="AI11">
        <f>IF(raw_data!AI:AI = "yes", 1, 0)</f>
        <v>0</v>
      </c>
      <c r="AJ11">
        <f>IF(raw_data!AJ:AJ = "yes", 1, 0)</f>
        <v>0</v>
      </c>
      <c r="AK11">
        <f>IF(raw_data!AK:AK = "yes", 1, 0)</f>
        <v>0</v>
      </c>
      <c r="AL11">
        <f>IF(raw_data!AL:AL = "yes", 1, 0)</f>
        <v>0</v>
      </c>
      <c r="AM11">
        <f>IF(raw_data!AM:AM = "yes", 1, 0)</f>
        <v>0</v>
      </c>
      <c r="AN11" s="60">
        <f>IF(raw_data!AN:AN="no",0,IF(raw_data!AN:AN="na",0,1))</f>
        <v>0</v>
      </c>
      <c r="AO11">
        <f>IF(raw_data!AO11="5 correct",5,IF(raw_data!AO11="4 correct",4,IF(raw_data!AO11="3 correct",3,IF(raw_data!AO11="2 correct", 2, IF(raw_data!AO11="1 correct",1,0)))))</f>
        <v>0</v>
      </c>
      <c r="AP11">
        <f>IF(raw_data!AP11="5 correct",5,IF(raw_data!AP11="4 correct",4,IF(raw_data!AP11="3 correct",3,IF(raw_data!AP11="2 correct", 2, IF(raw_data!AP11="1 correct",1,0)))))</f>
        <v>0</v>
      </c>
      <c r="AQ11">
        <f>IF(raw_data!AQ11="5 correct",5,IF(raw_data!AQ11="4 correct",4,IF(raw_data!AQ11="3 correct",3,IF(raw_data!AQ11="2 correct", 2, IF(raw_data!AQ11="1 correct",1,0)))))</f>
        <v>0</v>
      </c>
      <c r="AR11">
        <f>IF(raw_data!AR11="5 correct",5,IF(raw_data!AR11="4 correct",4,IF(raw_data!AR11="3 correct",3,IF(raw_data!AR11="2 correct", 2, IF(raw_data!AR11="1 correct",1,0)))))</f>
        <v>0</v>
      </c>
      <c r="AS11">
        <f>IF(raw_data!AS11 = "very serious", 5, IF(raw_data!AS11 = "serious", 4, IF(raw_data!AS11 = "moderately serious", 3, IF(raw_data!AS11 = "slightly serious", 2, 1))))</f>
        <v>1</v>
      </c>
      <c r="AT11">
        <f>IF(raw_data!AT11 = "seriously concerned", 4, IF(raw_data!AT11 = "concerned", 3, IF(raw_data!AT11 = "slightly concerned", 2, IF(raw_data!AT11 = "not concerned at all", 1, 0))))</f>
        <v>2</v>
      </c>
      <c r="AU11">
        <f>IF(raw_data!AU11 = "strongly agree", 5, IF(raw_data!AU11 = "agree", 4, IF(raw_data!AU11 = "neutral", 3, IF(raw_data!AU11 = "disagree", 2, 1))))</f>
        <v>4</v>
      </c>
      <c r="AV11">
        <f>IF(raw_data!AV11 = "strongly agree", 5, IF(raw_data!AV11 = "agree", 4, IF(raw_data!AV11 = "neutral", 3, IF(raw_data!AV11 = "disagree", 2, 1))))</f>
        <v>5</v>
      </c>
      <c r="AW11">
        <f>IF(raw_data!AW11 = "strongly agree", 5, IF(raw_data!AW11 = "agree", 4, IF(raw_data!AW11 = "neutral", 3, IF(raw_data!AW11 = "disagree", 2, 1))))</f>
        <v>4</v>
      </c>
      <c r="AX11">
        <f>IF(raw_data!AX11 = "strongly agree", 5, IF(raw_data!AX11 = "agree", 4, IF(raw_data!AX11 = "neutral", 3, IF(raw_data!AX11 = "disagree", 2, 1))))</f>
        <v>4</v>
      </c>
      <c r="AY11">
        <f>IF(raw_data!AY11 = "strongly agree", 5, IF(raw_data!AY11 = "agree", 4, IF(raw_data!AY11 = "neutral", 3, IF(raw_data!AY11 = "disagree", 2, 1))))</f>
        <v>4</v>
      </c>
      <c r="AZ11">
        <f>IF(raw_data!AZ11 = "strongly agree", 5, IF(raw_data!AZ11 = "agree", 4, IF(raw_data!AZ11 = "neutral", 3, IF(raw_data!AZ11 = "disagree", 2, 1))))</f>
        <v>3</v>
      </c>
      <c r="BA11">
        <f>IF(raw_data!BA11 = "strongly agree", 5, IF(raw_data!BA11 = "agree", 4, IF(raw_data!BA11 = "neutral", 3, IF(raw_data!BA11 = "disagree", 2, 1))))</f>
        <v>3</v>
      </c>
      <c r="BB11">
        <f>IF(raw_data!BB11 = "strongly agree", 5, IF(raw_data!BB11 = "agree", 4, IF(raw_data!BB11 = "neutral", 3, IF(raw_data!BB11 = "disagree", 2, 1))))</f>
        <v>4</v>
      </c>
      <c r="BC11">
        <f>IF(raw_data!BC11 = "strongly agree", 5, IF(raw_data!BC11 = "agree", 4, IF(raw_data!BC11 = "neutral", 3, IF(raw_data!BC11 = "disagree", 2, 1))))</f>
        <v>4</v>
      </c>
      <c r="BD11">
        <f>IF(raw_data!BD11 = "strongly agree", 5, IF(raw_data!BD11 = "agree", 4, IF(raw_data!BD11 = "neutral", 3, IF(raw_data!BD11 = "disagree", 2, 1))))</f>
        <v>5</v>
      </c>
      <c r="BE11">
        <f>IF(raw_data!BE11 = "strongly agree", 5, IF(raw_data!BE11 = "agree", 4, IF(raw_data!BE11 = "neutral", 3, IF(raw_data!BE11 = "disagree", 2, 1))))</f>
        <v>5</v>
      </c>
      <c r="BF11">
        <f>IF(raw_data!BF11 = "strongly agree", 5, IF(raw_data!BF11 = "agree", 4, IF(raw_data!BF11 = "neutral", 3, IF(raw_data!BF11 = "disagree", 2, 1))))</f>
        <v>3</v>
      </c>
      <c r="BG11">
        <f>IF(raw_data!BG11 = "very strong", 5, IF(raw_data!BG11 = "substantial", 4, IF(raw_data!BG11 = "moderate", 3, IF(raw_data!BG11  = "limited", 2, 1))))</f>
        <v>2</v>
      </c>
      <c r="BH11">
        <f>IF(raw_data!BH11 = "very strong", 5, IF(raw_data!BH11 = "substantial", 4, IF(raw_data!BH11 = "moderate", 3, IF(raw_data!BH11  = "limited", 2, 1))))</f>
        <v>3</v>
      </c>
      <c r="BI11">
        <f>IF(raw_data!BI11 = "very strong", 5, IF(raw_data!BI11 = "substantial", 4, IF(raw_data!BI11 = "moderate", 3, IF(raw_data!BI11  = "limited", 2, 1))))</f>
        <v>5</v>
      </c>
      <c r="BJ11">
        <f>IF(raw_data!BJ11 = "very strong", 5, IF(raw_data!BJ11 = "substantial", 4, IF(raw_data!BJ11 = "moderate", 3, IF(raw_data!BJ11 = "limited", 2, 1))))</f>
        <v>4</v>
      </c>
      <c r="BK11">
        <f>IF(raw_data!BK11 = "very strong", 5, IF(raw_data!BK11 = "substantial", 4, IF(raw_data!BK11 = "moderate", 3, IF(raw_data!BK11 = "limited", 2, 1))))</f>
        <v>3</v>
      </c>
      <c r="BL11">
        <f>IF(raw_data!BL11 = "very strong", 5, IF(raw_data!BL11 = "substantial", 4, IF(raw_data!BL11 = "moderate", 3, IF(raw_data!BL11 = "limited", 2, 1))))</f>
        <v>1</v>
      </c>
      <c r="BM11">
        <f>IF(raw_data!BM11 = "very strong", 5, IF(raw_data!BM11 = "substantial", 4, IF(raw_data!BM11 = "moderate", 3, IF(raw_data!BM11 = "limited", 2, 1))))</f>
        <v>3</v>
      </c>
      <c r="BN11">
        <f>IF(raw_data!BN11 = "very strong", 5, IF(raw_data!BN11 = "substantial", 4, IF(raw_data!BN11 = "moderate", 3, IF(raw_data!BN11 = "limited", 2, 1))))</f>
        <v>5</v>
      </c>
      <c r="BO11">
        <f>IF(raw_data!BO11 = "very strong", 5, IF(raw_data!BO11 = "substantial", 4, IF(raw_data!BO11 = "moderate", 3, IF(raw_data!BO11 = "limited", 2, 1))))</f>
        <v>5</v>
      </c>
      <c r="BP11">
        <f>IF(raw_data!BP11 = "very strong", 5, IF(raw_data!BP11 = "substantial", 4, IF(raw_data!BP11 = "moderate", 3, IF(raw_data!BP11 = "limited", 2, 1))))</f>
        <v>3</v>
      </c>
      <c r="BQ11">
        <f>IF(raw_data!BQ11 = "very strong", 5, IF(raw_data!BQ11 = "substantial", 4, IF(raw_data!BQ11 = "moderate", 3, IF(raw_data!BQ11 = "limited", 2, 1))))</f>
        <v>1</v>
      </c>
      <c r="BR11">
        <f>IF(raw_data!BR11 = "very strong", 5, IF(raw_data!BR11 = "substantial", 4, IF(raw_data!BR11 = "moderate", 3, IF(raw_data!BR11 = "limited", 2, 1))))</f>
        <v>1</v>
      </c>
      <c r="BS11" s="60">
        <f>IF(raw_data!BS11 = "can't remember", 0, 1)</f>
        <v>1</v>
      </c>
      <c r="BT11" s="60">
        <f>IF(raw_data!BT11 = "can't remember", 0, 1)</f>
        <v>1</v>
      </c>
      <c r="BU11" s="60">
        <f>IF(raw_data!BU11 = "can't remember", 0, 1)</f>
        <v>1</v>
      </c>
      <c r="BV11" s="60">
        <f>IF(raw_data!BV11 = "can't remember", 0, 1)</f>
        <v>1</v>
      </c>
      <c r="BW11" s="60">
        <f>IF(raw_data!BW11 = "can't remember", 0, 1)</f>
        <v>1</v>
      </c>
      <c r="BX11" s="60">
        <f>IF(raw_data!BX11 = "can't remember", 0, 1)</f>
        <v>0</v>
      </c>
      <c r="BY11">
        <f>IF(raw_data!BY11 ="no", 0, 1)</f>
        <v>0</v>
      </c>
      <c r="BZ11">
        <f>IF(raw_data!BZ11 ="no", 0, 1)</f>
        <v>0</v>
      </c>
      <c r="CA11">
        <f>IF(raw_data!CA11 ="no", 0, 1)</f>
        <v>0</v>
      </c>
      <c r="CB11" s="60">
        <f>IF(raw_data!CB11 ="no", 1, 0)</f>
        <v>0</v>
      </c>
      <c r="CC11">
        <f>IF(raw_data!CC11 ="no", 0, 1)</f>
        <v>1</v>
      </c>
      <c r="CD11">
        <f>IF(raw_data!CD11 ="no", 0, 1)</f>
        <v>0</v>
      </c>
      <c r="CE11">
        <f>IF(raw_data!CE11 ="no", 0, 1)</f>
        <v>0</v>
      </c>
      <c r="CF11">
        <f>IF(raw_data!CF11 ="no", 0, 1)</f>
        <v>0</v>
      </c>
      <c r="CG11">
        <f>IF(raw_data!CG11 = "yes", 1, 0)</f>
        <v>1</v>
      </c>
      <c r="CH11">
        <f>IF(raw_data!CH11 = "yes", 1, 0)</f>
        <v>1</v>
      </c>
      <c r="CI11">
        <f>IF(raw_data!CI11 = "yes", 1, 0)</f>
        <v>1</v>
      </c>
      <c r="CJ11">
        <f>IF(raw_data!CJ11 = "yes", 1, 0)</f>
        <v>1</v>
      </c>
      <c r="CK11">
        <f>IF(raw_data!CK11 = "yes", 1, 0)</f>
        <v>1</v>
      </c>
      <c r="CL11">
        <f>IF(raw_data!CL11 = "yes", 1, 0)</f>
        <v>0</v>
      </c>
      <c r="CM11">
        <f>IF(raw_data!CM11 = "yes", 1, 0)</f>
        <v>0</v>
      </c>
      <c r="CN11">
        <f>IF(raw_data!CN11 = "yes", 1, 0)</f>
        <v>1</v>
      </c>
      <c r="CO11">
        <f>IF(raw_data!CO11 = "yes", 1, 0)</f>
        <v>0</v>
      </c>
      <c r="CP11">
        <f>IF(raw_data!CP11 = "yes", 1, 0)</f>
        <v>0</v>
      </c>
      <c r="CQ11">
        <f>IF(raw_data!CQ11 = "yes", 1, 0)</f>
        <v>0</v>
      </c>
      <c r="CR11">
        <f>IF(raw_data!CR11 = "yes", 1, 0)</f>
        <v>0</v>
      </c>
      <c r="CS11">
        <f>IF(raw_data!CS11 = "yes", 1, 0)</f>
        <v>1</v>
      </c>
      <c r="CT11">
        <f>IF(raw_data!CT11 = "yes", 1, 0)</f>
        <v>1</v>
      </c>
      <c r="CU11">
        <f>IF(raw_data!CU11 = "yes", 1, 0)</f>
        <v>0</v>
      </c>
      <c r="CV11">
        <f>IF(raw_data!CV11 = "yes", 1, 0)</f>
        <v>1</v>
      </c>
      <c r="CW11">
        <f>IF(raw_data!CW11="na",0,IF(raw_data!CW11="no",0,1))</f>
        <v>0</v>
      </c>
      <c r="CX11">
        <f>IF(raw_data!CX11 = "yes", 1, 0)</f>
        <v>0</v>
      </c>
      <c r="CY11">
        <f>IF(raw_data!CY11 = "yes", 1, 0)</f>
        <v>1</v>
      </c>
      <c r="CZ11">
        <f>IF(raw_data!CZ11 = "yes", 0, 1)</f>
        <v>0</v>
      </c>
      <c r="DA11">
        <f>IF(raw_data!DA11 = "yes", 1, 0)</f>
        <v>1</v>
      </c>
      <c r="DB11">
        <f>IF(raw_data!DB11 = "as prescribed", 1, 0)</f>
        <v>0</v>
      </c>
      <c r="DC11">
        <f>IF(raw_data!DC11 = "yes", 1, 0)</f>
        <v>0</v>
      </c>
      <c r="DD11">
        <f>IF(raw_data!DD11 = "yes", 1, 0)</f>
        <v>1</v>
      </c>
      <c r="DE11">
        <f>IF(raw_data!DE11 = "yes", 1, 0)</f>
        <v>1</v>
      </c>
      <c r="DF11">
        <f>IF(raw_data!DF11 = "yes", 1, 0)</f>
        <v>1</v>
      </c>
      <c r="DG11">
        <f>IF(raw_data!DG11 = "yes", 1, 0)</f>
        <v>1</v>
      </c>
      <c r="DH11">
        <f>IF(raw_data!DH11 = "no", 0, 1)</f>
        <v>0</v>
      </c>
      <c r="DI11">
        <f>IF(raw_data!DI11 = "yes", 1, 0)</f>
        <v>0</v>
      </c>
      <c r="DJ11">
        <f>IF(raw_data!DJ11 = "yes", 1, 0)</f>
        <v>0</v>
      </c>
      <c r="DK11">
        <f>IF(raw_data!DK11 = "yes", 1, 0)</f>
        <v>0</v>
      </c>
      <c r="DL11">
        <f>IF(raw_data!DL11 = "yes", 0, 1)</f>
        <v>0</v>
      </c>
      <c r="DM11">
        <f>IF(raw_data!DM11 = "yes", 0, 1)</f>
        <v>0</v>
      </c>
      <c r="DN11">
        <f>IF(raw_data!DN11="na",0,IF(raw_data!DN11="no",0,1))</f>
        <v>0</v>
      </c>
      <c r="DO11">
        <f>IF(raw_data!DO11 = "yes", 1, 0)</f>
        <v>0</v>
      </c>
      <c r="DP11">
        <f>IF(raw_data!DP11 = "yes", 1, 0)</f>
        <v>0</v>
      </c>
      <c r="DQ11">
        <f>IF(raw_data!DQ11 = "yes", 1, 0)</f>
        <v>0</v>
      </c>
      <c r="DR11">
        <f>IF(raw_data!DR11 = "yes", 0, 1)</f>
        <v>0</v>
      </c>
      <c r="DS11">
        <f>IF(raw_data!DS11 = "yes", 0, 1)</f>
        <v>0</v>
      </c>
      <c r="DT11">
        <f>IF(raw_data!DT11 = "na", 0, IF(raw_data!DT11 = "no", 0, 1))</f>
        <v>0</v>
      </c>
      <c r="DU11">
        <f>IF(raw_data!DU11 = "yes", 1, 0)</f>
        <v>0</v>
      </c>
      <c r="DV11">
        <f>IF(raw_data!DV11 = "yes", 0, 1)</f>
        <v>1</v>
      </c>
      <c r="DW11">
        <f>IF(raw_data!DW11 = "yes", 1, 0)</f>
        <v>1</v>
      </c>
      <c r="DX11">
        <f>IF(raw_data!DX11 = "yes", 0, 1)</f>
        <v>0</v>
      </c>
      <c r="DY11">
        <f>IF(raw_data!DY11 = "yes", 1, 0)</f>
        <v>0</v>
      </c>
      <c r="DZ11">
        <f>IF(raw_data!DZ11="na",0,IF(raw_data!DZ11="no",0,1))</f>
        <v>1</v>
      </c>
      <c r="EA11">
        <f>IF(raw_data!EA11 = "don't check", 0, 1)</f>
        <v>1</v>
      </c>
      <c r="EB11">
        <f>IF(raw_data!EB11 = "pull out", 1, 0)</f>
        <v>0</v>
      </c>
      <c r="EC11" s="1">
        <f>IF(raw_data!EC11 = "yes", 1, 0)</f>
        <v>0</v>
      </c>
      <c r="ED11">
        <f>IF(raw_data!ED11 = "yes", 1, 0)</f>
        <v>0</v>
      </c>
      <c r="EE11" s="60">
        <f>IF(raw_data!EE11="don't know",0,IF(raw_data!EE11="na",0,1))</f>
        <v>0</v>
      </c>
      <c r="EF11" s="60">
        <f>IF(raw_data!EF11="don't know",0,IF(raw_data!EF11="na",0,1))</f>
        <v>0</v>
      </c>
      <c r="EG11">
        <f>IF(raw_data!EG11 = "yes", 1, 0)</f>
        <v>0</v>
      </c>
      <c r="EH11" s="60">
        <f>IF(raw_data!EH11="don't know",0,IF(raw_data!EH11="na",0,1))</f>
        <v>0</v>
      </c>
      <c r="EI11" s="60">
        <f>IF(raw_data!EI11="don't know",0,IF(raw_data!EI11="na",0,1))</f>
        <v>0</v>
      </c>
      <c r="EJ11">
        <f>IF(raw_data!EJ11 = "yes", 1, 0)</f>
        <v>0</v>
      </c>
      <c r="EK11" s="60">
        <f>IF(raw_data!EK11="don't know",0,IF(raw_data!EK11="na",0,1))</f>
        <v>0</v>
      </c>
      <c r="EL11" s="60">
        <f>IF(raw_data!EL11="don't know",0,IF(raw_data!EL11="na",0,1))</f>
        <v>0</v>
      </c>
      <c r="EM11">
        <f>IF(raw_data!EM11 = "yes", 1, 0)</f>
        <v>0</v>
      </c>
      <c r="EN11" s="60">
        <f>IF(raw_data!EN11="don't know",0,IF(raw_data!EN11="na",0,1))</f>
        <v>0</v>
      </c>
      <c r="EO11" s="60">
        <f>IF(raw_data!EO11="don't know",0,IF(raw_data!EO11="na",0,1))</f>
        <v>0</v>
      </c>
      <c r="EP11" s="60">
        <f>IF(raw_data!EP11="don't know",0,IF(raw_data!EP11="na",0,1))</f>
        <v>0</v>
      </c>
      <c r="EQ11">
        <f>IF(raw_data!EQ11 = "yes", 1, 0)</f>
        <v>0</v>
      </c>
      <c r="ER11" s="60">
        <f>IF(raw_data!ER11="don't know",0,IF(raw_data!ER11="na",0,1))</f>
        <v>0</v>
      </c>
      <c r="ES11" s="60">
        <f>IF(raw_data!ES11="don't know",0,IF(raw_data!ES11="na",0,1))</f>
        <v>0</v>
      </c>
      <c r="ET11" s="60">
        <f>IF(raw_data!ET11="don't know",0,IF(raw_data!ET11="na",0,1))</f>
        <v>0</v>
      </c>
      <c r="EU11">
        <f>IF(raw_data!EU11 = "yes", 1, 0)</f>
        <v>1</v>
      </c>
      <c r="EV11">
        <f>IF(raw_data!EV11 = "all the time", 2, IF(raw_data!EV11 = "often", 1, 0))</f>
        <v>0</v>
      </c>
      <c r="EW11" s="1">
        <f>IF(raw_data!EW11 = "yes", 1, 0)</f>
        <v>1</v>
      </c>
      <c r="EX11">
        <f>IF(raw_data!EX11 = "interested", 2, IF(raw_data!EX11 = "neutral", 1, 0))</f>
        <v>2</v>
      </c>
      <c r="EY11" s="60">
        <f>IF(raw_data!EY11 = "don't know", 0, 1)</f>
        <v>1</v>
      </c>
      <c r="EZ11" s="60">
        <f>IF(raw_data!EZ11 = "don't know", 0, 1)</f>
        <v>1</v>
      </c>
      <c r="FA11" s="60">
        <f>IF(raw_data!FA11 = "no", 0, 1)</f>
        <v>1</v>
      </c>
      <c r="FB11" s="60">
        <f>IF(raw_data!FB11 = "no", 0, 1)</f>
        <v>1</v>
      </c>
      <c r="FC11" s="1">
        <f>IF(raw_data!FC11 = "no", 0, 1)</f>
        <v>0</v>
      </c>
      <c r="FD11" s="60">
        <f>IF(raw_data!FD11="tv",1,IF(raw_data!FD11="radio",1,IF(raw_data!FD11="newspaper",1,IF(raw_data!FD11="internet",1,IF(raw_data!FD11="sns",1,IF(raw_data!FD11="na",0,2))))))</f>
        <v>1</v>
      </c>
      <c r="FE11" s="60">
        <f>IF(raw_data!FE11="tv",1,IF(raw_data!FE11="radio",1,IF(raw_data!FE11="newspaper",1,IF(raw_data!FE11="internet",1,IF(raw_data!FE11="sns",1,IF(raw_data!FE11="na",0,2))))))</f>
        <v>1</v>
      </c>
      <c r="FF11" s="60">
        <f>IF(raw_data!FF11="tv",1,IF(raw_data!FF11="radio",1,IF(raw_data!FF11="newspaper",1,IF(raw_data!FF11="internet",1,IF(raw_data!FF11="sns",1,IF(raw_data!FF11="na",0,2))))))</f>
        <v>2</v>
      </c>
      <c r="FG11">
        <f>IF(raw_data!FG11 = "4+ hrs", 4, IF(raw_data!FG11 = "2-4 hrs", 3, IF(raw_data!FG11 = "1-2 hrs", 2, IF(raw_data!FG11 = "less than 1 hr", 1, 0))))</f>
        <v>3</v>
      </c>
      <c r="FH11">
        <f>IF(raw_data!FH11 = "4+ hrs", 4, IF(raw_data!FH11 = "2-4 hrs", 3, IF(raw_data!FH11 = "1-2 hrs", 2, IF(raw_data!FH11 = "less than 1 hr", 1, 0))))</f>
        <v>4</v>
      </c>
      <c r="FI11">
        <f>IF(raw_data!FI11 = "4+ hrs", 4, IF(raw_data!FI11 = "2-4 hrs", 3, IF(raw_data!FI11 = "1-2 hrs", 2, IF(raw_data!FI11 = "less than 1 hr", 1, 0))))</f>
        <v>2</v>
      </c>
      <c r="FJ11" s="60">
        <f>IF(raw_data!FJ11="tv",1,IF(raw_data!FJ11="radio",1,IF(raw_data!FJ11="newspaper",1,IF(raw_data!FJ11="internet",1,IF(raw_data!FJ11="sns",1,IF(raw_data!FJ11="na",0,2))))))</f>
        <v>1</v>
      </c>
      <c r="FK11" s="60">
        <f>IF(raw_data!FK11="tv",1,IF(raw_data!FK11="radio",1,IF(raw_data!FK11="newspaper",1,IF(raw_data!FK11="internet",1,IF(raw_data!FK11="sns",1,IF(raw_data!FK11="na",0,2))))))</f>
        <v>1</v>
      </c>
      <c r="FL11" s="60">
        <f>IF(raw_data!FL11="tv",1,IF(raw_data!FL11="radio",1,IF(raw_data!FL11="newspaper",1,IF(raw_data!FL11="internet",1,IF(raw_data!FL11="sns",1,IF(raw_data!FL11="na",0,2))))))</f>
        <v>1</v>
      </c>
      <c r="FM11">
        <f>IF(raw_data!FM11 = "4+ hrs", 4, IF(raw_data!FM11 = "2-4 hrs", 3, IF(raw_data!FM11 = "1-2 hrs", 2, IF(raw_data!FM11 = "less than 1 hr", 1, 0))))</f>
        <v>3</v>
      </c>
      <c r="FN11">
        <f>IF(raw_data!FN11 = "4+ hrs", 4, IF(raw_data!FN11 = "2-4 hrs", 3, IF(raw_data!FN11 = "1-2 hrs", 2, IF(raw_data!FN11 = "less than 1 hr", 1, 0))))</f>
        <v>2</v>
      </c>
      <c r="FO11">
        <f>IF(raw_data!FO11 = "4+ hrs", 4, IF(raw_data!FO11 = "2-4 hrs", 3, IF(raw_data!FO11 = "1-2 hrs", 2, IF(raw_data!FO11 = "less than 1 hr", 1, 0))))</f>
        <v>2</v>
      </c>
      <c r="FP11">
        <f>IF(raw_data!FP11="only news",1,IF(raw_data!FP11="mostly news",2,IF(raw_data!FP11="balanced",3,IF(raw_data!FP11="mostly entertainment",2,1))))</f>
        <v>1</v>
      </c>
      <c r="FQ11">
        <f>IF(raw_data!FQ11 = "yes", 1, 0)</f>
        <v>1</v>
      </c>
      <c r="FR11">
        <f>IF(raw_data!FR11 = "yes", 1, 0)</f>
        <v>1</v>
      </c>
      <c r="FS11">
        <f>IF(raw_data!FS11 = "yes", 1, 0)</f>
        <v>0</v>
      </c>
      <c r="FT11">
        <f>IF(raw_data!FT11 = "yes", 1, 0)</f>
        <v>1</v>
      </c>
      <c r="FU11">
        <f>IF(raw_data!FU11 = "yes", 1, 0)</f>
        <v>1</v>
      </c>
      <c r="FV11">
        <f>IF(raw_data!FV11="na",0,IF(raw_data!FV11="no",0,1))</f>
        <v>0</v>
      </c>
      <c r="FW11" s="60">
        <f>IF(raw_data!FW11="vet school", 1, IF(raw_data!FW11="symposia", 1, IF(raw_data!FW11="conferences", 1, IF(raw_data!FW11="online course", 1, IF(raw_data!FW11="websites", 1, IF(raw_data!FW11="documentary", 1, IF(raw_data!FW11="tv", 1, IF(raw_data!FW11="newspaper", 1, IF(raw_data!FW11="blogs", 1, IF(raw_data!FW11="sns", 1, IF(raw_data!FW11="na", 0, 2)))))))))))</f>
        <v>1</v>
      </c>
      <c r="FX11" s="60">
        <f>IF(raw_data!FX11="vet school", 1, IF(raw_data!FX11="symposia", 1, IF(raw_data!FX11="conferences", 1, IF(raw_data!FX11="online course", 1, IF(raw_data!FX11="websites", 1, IF(raw_data!FX11="documentary", 1, IF(raw_data!FX11="tv", 1, IF(raw_data!FX11="newspaper", 1, IF(raw_data!FX11="blogs", 1, IF(raw_data!FX11="sns", 1, IF(raw_data!FX11="na", 0, 2)))))))))))</f>
        <v>2</v>
      </c>
      <c r="FY11" s="1">
        <f>IF(raw_data!FY11="vet school", 1, IF(raw_data!FY11="symposia", 1, IF(raw_data!FY11="conferences", 1, IF(raw_data!FY11="online course", 1, IF(raw_data!FY11="websites", 1, IF(raw_data!FY11="documentary", 1, IF(raw_data!FY11="tv", 1, IF(raw_data!FY11="newspaper", 1, IF(raw_data!FY11="blogs", 1, IF(raw_data!FY11="sns", 1, IF(raw_data!FY11="na", 0, 2)))))))))))</f>
        <v>0</v>
      </c>
    </row>
    <row r="12" spans="1:189">
      <c r="A12" s="157">
        <v>9</v>
      </c>
      <c r="B12">
        <f>IF(raw_data!B:B="post-graduate",7,IF(raw_data!B12="graduate",6,IF(raw_data!B12="college",5,IF(raw_data!B12="technical",4,IF(raw_data!B12="high school",3,IF(raw_data!B12="elementary",2,IF(raw_data!B12="some schooling",1,0)))))))</f>
        <v>0</v>
      </c>
      <c r="C12" s="60">
        <f>IF(raw_data!C12 = "proprietor", 0, IF(raw_data!C12 = "rep", 1, IF(raw_data!C12 = "staff", 2, IF(raw_data!C12 = "vet pharm", 3, 4))))</f>
        <v>2</v>
      </c>
      <c r="D12" s="60">
        <f>raw_data!D12</f>
        <v>38</v>
      </c>
      <c r="E12" s="60">
        <f>IF(raw_data!E12 = "less than 1 yr", 0, IF(raw_data!E12 = "1-2 yrs", 1, IF(raw_data!E12 = "2-5 yrs", 2, IF(raw_data!E12 = "5-10 yrs", 3, 4))))</f>
        <v>2</v>
      </c>
      <c r="F12">
        <f>IF(raw_data!F12="large-scale",2,IF(raw_data!F12="medium-scale",1,0))</f>
        <v>1</v>
      </c>
      <c r="G12">
        <f>IF(raw_data!G12="input",2,IF(raw_data!G12="not in charge",1,0))</f>
        <v>1</v>
      </c>
      <c r="H12">
        <f>IF(raw_data!H12 = "large farm owners", 6, IF(raw_data!H12 = "medium farm owners", 5, IF(raw_data!H12 = "small farm owners", 4, IF(raw_data!H12 = "large retailers", 3, IF(raw_data!H12 = "medium retailers", 2, IF(raw_data!H12 = "small retailers", 1, 0))))))</f>
        <v>1</v>
      </c>
      <c r="I12">
        <f>IF(raw_data!I12 = "male", 0, IF(raw_data!I12 = "female", 1, 2))</f>
        <v>0</v>
      </c>
      <c r="J12" s="1">
        <f>IF(raw_data!J11="yes",1,0)</f>
        <v>0</v>
      </c>
      <c r="K12">
        <f>IF(raw_data!K12 = "yes", 1, 0)</f>
        <v>0</v>
      </c>
      <c r="L12" s="60">
        <f>IF(raw_data!L12 = "treatment all", 0, IF(raw_data!L12 = "prevention all", 0, IF(raw_data!L12 = "prevention some", 0, IF(raw_data!L12 = "growth booster", 0, IF(raw_data!L12 = "don't know", 0, 1)))))</f>
        <v>1</v>
      </c>
      <c r="M12" s="60">
        <f>IF(raw_data!M12 = "can't remember", 0, 1)</f>
        <v>1</v>
      </c>
      <c r="N12" s="60">
        <f>IF(raw_data!N12 = "can't remember", 0, 1)</f>
        <v>0</v>
      </c>
      <c r="O12" s="60">
        <f>IF(raw_data!O12 = "can't remember", 0, 1)</f>
        <v>0</v>
      </c>
      <c r="P12">
        <f>IF(raw_data!P12 = "yes", 1, 0)</f>
        <v>0</v>
      </c>
      <c r="Q12">
        <f>IF(raw_data!Q12 = "bacteria develop resistance", 1, 0)</f>
        <v>0</v>
      </c>
      <c r="R12">
        <f>IF(raw_data!R12 = "yes", 1, 0)</f>
        <v>0</v>
      </c>
      <c r="S12">
        <f>IF(raw_data!S12 = "yes", 1, 0)</f>
        <v>0</v>
      </c>
      <c r="T12">
        <f>IF(raw_data!T12 = "yes", 1, 0)</f>
        <v>0</v>
      </c>
      <c r="U12">
        <f>IF(raw_data!U12 = "yes", 1, 0)</f>
        <v>0</v>
      </c>
      <c r="V12">
        <f>IF(raw_data!V12 = "yes", 1, 0)</f>
        <v>0</v>
      </c>
      <c r="W12">
        <f>IF(raw_data!W12 = "yes", 1, 0)</f>
        <v>0</v>
      </c>
      <c r="X12" s="60">
        <f>IF(raw_data!X12 = "no", 0, 1)</f>
        <v>0</v>
      </c>
      <c r="Y12">
        <f>IF(raw_data!Y12 = "yes", 1, 0)</f>
        <v>0</v>
      </c>
      <c r="Z12" s="60">
        <f>IF(raw_data!Z12 = "can't remember", 0, 1)</f>
        <v>0</v>
      </c>
      <c r="AA12" s="60">
        <f>IF(raw_data!AA12 = "can't remember", 0, 1)</f>
        <v>0</v>
      </c>
      <c r="AB12" s="60">
        <f>IF(raw_data!AB12 = "can't remember", 0, 1)</f>
        <v>0</v>
      </c>
      <c r="AC12" s="60">
        <f>IF(raw_data!AC12 = "4 correct", 4, IF(raw_data!AC12 = "3 correct", 3, IF(raw_data!AC12 = "2 correct", 2, IF(raw_data!AC12 = "1 correct", 1, 0))))</f>
        <v>1</v>
      </c>
      <c r="AD12">
        <f>IF(raw_data!AD12="basic info",1,IF(raw_data!AD12="etiology",1,IF(raw_data!AD12="advanced understanding",1,0)))</f>
        <v>0</v>
      </c>
      <c r="AE12">
        <f>IF(raw_data!AE12 = "true", 0, 1)</f>
        <v>0</v>
      </c>
      <c r="AF12">
        <f>IF(raw_data!AF12 = "true", 1, 0)</f>
        <v>1</v>
      </c>
      <c r="AG12">
        <f>IF(raw_data!AG12 = "yes", 1, 0)</f>
        <v>0</v>
      </c>
      <c r="AH12">
        <f>IF(raw_data!AH:AH = "yes", 1, 0)</f>
        <v>0</v>
      </c>
      <c r="AI12">
        <f>IF(raw_data!AI:AI = "yes", 1, 0)</f>
        <v>0</v>
      </c>
      <c r="AJ12">
        <f>IF(raw_data!AJ:AJ = "yes", 1, 0)</f>
        <v>0</v>
      </c>
      <c r="AK12">
        <f>IF(raw_data!AK:AK = "yes", 1, 0)</f>
        <v>0</v>
      </c>
      <c r="AL12">
        <f>IF(raw_data!AL:AL = "yes", 1, 0)</f>
        <v>0</v>
      </c>
      <c r="AM12">
        <f>IF(raw_data!AM:AM = "yes", 1, 0)</f>
        <v>0</v>
      </c>
      <c r="AN12" s="60">
        <f>IF(raw_data!AN:AN="no",0,IF(raw_data!AN:AN="na",0,1))</f>
        <v>0</v>
      </c>
      <c r="AO12">
        <f>IF(raw_data!AO12="5 correct",5,IF(raw_data!AO12="4 correct",4,IF(raw_data!AO12="3 correct",3,IF(raw_data!AO12="2 correct", 2, IF(raw_data!AO12="1 correct",1,0)))))</f>
        <v>0</v>
      </c>
      <c r="AP12">
        <f>IF(raw_data!AP12="5 correct",5,IF(raw_data!AP12="4 correct",4,IF(raw_data!AP12="3 correct",3,IF(raw_data!AP12="2 correct", 2, IF(raw_data!AP12="1 correct",1,0)))))</f>
        <v>0</v>
      </c>
      <c r="AQ12">
        <f>IF(raw_data!AQ12="5 correct",5,IF(raw_data!AQ12="4 correct",4,IF(raw_data!AQ12="3 correct",3,IF(raw_data!AQ12="2 correct", 2, IF(raw_data!AQ12="1 correct",1,0)))))</f>
        <v>0</v>
      </c>
      <c r="AR12">
        <f>IF(raw_data!AR12="5 correct",5,IF(raw_data!AR12="4 correct",4,IF(raw_data!AR12="3 correct",3,IF(raw_data!AR12="2 correct", 2, IF(raw_data!AR12="1 correct",1,0)))))</f>
        <v>0</v>
      </c>
      <c r="AS12">
        <f>IF(raw_data!AS12 = "very serious", 5, IF(raw_data!AS12 = "serious", 4, IF(raw_data!AS12 = "moderately serious", 3, IF(raw_data!AS12 = "slightly serious", 2, 1))))</f>
        <v>4</v>
      </c>
      <c r="AT12">
        <f>IF(raw_data!AT12 = "seriously concerned", 4, IF(raw_data!AT12 = "concerned", 3, IF(raw_data!AT12 = "slightly concerned", 2, IF(raw_data!AT12 = "not concerned at all", 1, 0))))</f>
        <v>2</v>
      </c>
      <c r="AU12">
        <f>IF(raw_data!AU12 = "strongly agree", 5, IF(raw_data!AU12 = "agree", 4, IF(raw_data!AU12 = "neutral", 3, IF(raw_data!AU12 = "disagree", 2, 1))))</f>
        <v>4</v>
      </c>
      <c r="AV12">
        <f>IF(raw_data!AV12 = "strongly agree", 5, IF(raw_data!AV12 = "agree", 4, IF(raw_data!AV12 = "neutral", 3, IF(raw_data!AV12 = "disagree", 2, 1))))</f>
        <v>5</v>
      </c>
      <c r="AW12">
        <f>IF(raw_data!AW12 = "strongly agree", 5, IF(raw_data!AW12 = "agree", 4, IF(raw_data!AW12 = "neutral", 3, IF(raw_data!AW12 = "disagree", 2, 1))))</f>
        <v>4</v>
      </c>
      <c r="AX12">
        <f>IF(raw_data!AX12 = "strongly agree", 5, IF(raw_data!AX12 = "agree", 4, IF(raw_data!AX12 = "neutral", 3, IF(raw_data!AX12 = "disagree", 2, 1))))</f>
        <v>4</v>
      </c>
      <c r="AY12">
        <f>IF(raw_data!AY12 = "strongly agree", 5, IF(raw_data!AY12 = "agree", 4, IF(raw_data!AY12 = "neutral", 3, IF(raw_data!AY12 = "disagree", 2, 1))))</f>
        <v>4</v>
      </c>
      <c r="AZ12">
        <f>IF(raw_data!AZ12 = "strongly agree", 5, IF(raw_data!AZ12 = "agree", 4, IF(raw_data!AZ12 = "neutral", 3, IF(raw_data!AZ12 = "disagree", 2, 1))))</f>
        <v>3</v>
      </c>
      <c r="BA12">
        <f>IF(raw_data!BA12 = "strongly agree", 5, IF(raw_data!BA12 = "agree", 4, IF(raw_data!BA12 = "neutral", 3, IF(raw_data!BA12 = "disagree", 2, 1))))</f>
        <v>3</v>
      </c>
      <c r="BB12">
        <f>IF(raw_data!BB12 = "strongly agree", 5, IF(raw_data!BB12 = "agree", 4, IF(raw_data!BB12 = "neutral", 3, IF(raw_data!BB12 = "disagree", 2, 1))))</f>
        <v>4</v>
      </c>
      <c r="BC12">
        <f>IF(raw_data!BC12 = "strongly agree", 5, IF(raw_data!BC12 = "agree", 4, IF(raw_data!BC12 = "neutral", 3, IF(raw_data!BC12 = "disagree", 2, 1))))</f>
        <v>4</v>
      </c>
      <c r="BD12">
        <f>IF(raw_data!BD12 = "strongly agree", 5, IF(raw_data!BD12 = "agree", 4, IF(raw_data!BD12 = "neutral", 3, IF(raw_data!BD12 = "disagree", 2, 1))))</f>
        <v>5</v>
      </c>
      <c r="BE12">
        <f>IF(raw_data!BE12 = "strongly agree", 5, IF(raw_data!BE12 = "agree", 4, IF(raw_data!BE12 = "neutral", 3, IF(raw_data!BE12 = "disagree", 2, 1))))</f>
        <v>5</v>
      </c>
      <c r="BF12">
        <f>IF(raw_data!BF12 = "strongly agree", 5, IF(raw_data!BF12 = "agree", 4, IF(raw_data!BF12 = "neutral", 3, IF(raw_data!BF12 = "disagree", 2, 1))))</f>
        <v>3</v>
      </c>
      <c r="BG12">
        <f>IF(raw_data!BG12 = "very strong", 5, IF(raw_data!BG12 = "substantial", 4, IF(raw_data!BG12 = "moderate", 3, IF(raw_data!BG12  = "limited", 2, 1))))</f>
        <v>2</v>
      </c>
      <c r="BH12">
        <f>IF(raw_data!BH12 = "very strong", 5, IF(raw_data!BH12 = "substantial", 4, IF(raw_data!BH12 = "moderate", 3, IF(raw_data!BH12  = "limited", 2, 1))))</f>
        <v>3</v>
      </c>
      <c r="BI12">
        <f>IF(raw_data!BI12 = "very strong", 5, IF(raw_data!BI12 = "substantial", 4, IF(raw_data!BI12 = "moderate", 3, IF(raw_data!BI12  = "limited", 2, 1))))</f>
        <v>5</v>
      </c>
      <c r="BJ12">
        <f>IF(raw_data!BJ12 = "very strong", 5, IF(raw_data!BJ12 = "substantial", 4, IF(raw_data!BJ12 = "moderate", 3, IF(raw_data!BJ12 = "limited", 2, 1))))</f>
        <v>4</v>
      </c>
      <c r="BK12">
        <f>IF(raw_data!BK12 = "very strong", 5, IF(raw_data!BK12 = "substantial", 4, IF(raw_data!BK12 = "moderate", 3, IF(raw_data!BK12 = "limited", 2, 1))))</f>
        <v>3</v>
      </c>
      <c r="BL12">
        <f>IF(raw_data!BL12 = "very strong", 5, IF(raw_data!BL12 = "substantial", 4, IF(raw_data!BL12 = "moderate", 3, IF(raw_data!BL12 = "limited", 2, 1))))</f>
        <v>2</v>
      </c>
      <c r="BM12">
        <f>IF(raw_data!BM12 = "very strong", 5, IF(raw_data!BM12 = "substantial", 4, IF(raw_data!BM12 = "moderate", 3, IF(raw_data!BM12 = "limited", 2, 1))))</f>
        <v>4</v>
      </c>
      <c r="BN12">
        <f>IF(raw_data!BN12 = "very strong", 5, IF(raw_data!BN12 = "substantial", 4, IF(raw_data!BN12 = "moderate", 3, IF(raw_data!BN12 = "limited", 2, 1))))</f>
        <v>5</v>
      </c>
      <c r="BO12">
        <f>IF(raw_data!BO12 = "very strong", 5, IF(raw_data!BO12 = "substantial", 4, IF(raw_data!BO12 = "moderate", 3, IF(raw_data!BO12 = "limited", 2, 1))))</f>
        <v>5</v>
      </c>
      <c r="BP12">
        <f>IF(raw_data!BP12 = "very strong", 5, IF(raw_data!BP12 = "substantial", 4, IF(raw_data!BP12 = "moderate", 3, IF(raw_data!BP12 = "limited", 2, 1))))</f>
        <v>3</v>
      </c>
      <c r="BQ12">
        <f>IF(raw_data!BQ12 = "very strong", 5, IF(raw_data!BQ12 = "substantial", 4, IF(raw_data!BQ12 = "moderate", 3, IF(raw_data!BQ12 = "limited", 2, 1))))</f>
        <v>1</v>
      </c>
      <c r="BR12">
        <f>IF(raw_data!BR12 = "very strong", 5, IF(raw_data!BR12 = "substantial", 4, IF(raw_data!BR12 = "moderate", 3, IF(raw_data!BR12 = "limited", 2, 1))))</f>
        <v>1</v>
      </c>
      <c r="BS12" s="60">
        <f>IF(raw_data!BS12 = "can't remember", 0, 1)</f>
        <v>1</v>
      </c>
      <c r="BT12" s="60">
        <f>IF(raw_data!BT12 = "can't remember", 0, 1)</f>
        <v>1</v>
      </c>
      <c r="BU12" s="60">
        <f>IF(raw_data!BU12 = "can't remember", 0, 1)</f>
        <v>1</v>
      </c>
      <c r="BV12" s="60">
        <f>IF(raw_data!BV12 = "can't remember", 0, 1)</f>
        <v>1</v>
      </c>
      <c r="BW12" s="60">
        <f>IF(raw_data!BW12 = "can't remember", 0, 1)</f>
        <v>1</v>
      </c>
      <c r="BX12" s="60">
        <f>IF(raw_data!BX12 = "can't remember", 0, 1)</f>
        <v>1</v>
      </c>
      <c r="BY12">
        <f>IF(raw_data!BY12 ="no", 0, 1)</f>
        <v>0</v>
      </c>
      <c r="BZ12">
        <f>IF(raw_data!BZ12 ="no", 0, 1)</f>
        <v>1</v>
      </c>
      <c r="CA12">
        <f>IF(raw_data!CA12 ="no", 0, 1)</f>
        <v>0</v>
      </c>
      <c r="CB12" s="60">
        <f>IF(raw_data!CB12 ="no", 1, 0)</f>
        <v>0</v>
      </c>
      <c r="CC12">
        <f>IF(raw_data!CC12 ="no", 0, 1)</f>
        <v>0</v>
      </c>
      <c r="CD12">
        <f>IF(raw_data!CD12 ="no", 0, 1)</f>
        <v>0</v>
      </c>
      <c r="CE12">
        <f>IF(raw_data!CE12 ="no", 0, 1)</f>
        <v>0</v>
      </c>
      <c r="CF12">
        <f>IF(raw_data!CF12 ="no", 0, 1)</f>
        <v>0</v>
      </c>
      <c r="CG12">
        <f>IF(raw_data!CG12 = "yes", 1, 0)</f>
        <v>1</v>
      </c>
      <c r="CH12">
        <f>IF(raw_data!CH12 = "yes", 1, 0)</f>
        <v>1</v>
      </c>
      <c r="CI12">
        <f>IF(raw_data!CI12 = "yes", 1, 0)</f>
        <v>1</v>
      </c>
      <c r="CJ12">
        <f>IF(raw_data!CJ12 = "yes", 1, 0)</f>
        <v>1</v>
      </c>
      <c r="CK12">
        <f>IF(raw_data!CK12 = "yes", 1, 0)</f>
        <v>1</v>
      </c>
      <c r="CL12">
        <f>IF(raw_data!CL12 = "yes", 1, 0)</f>
        <v>0</v>
      </c>
      <c r="CM12">
        <f>IF(raw_data!CM12 = "yes", 1, 0)</f>
        <v>0</v>
      </c>
      <c r="CN12">
        <f>IF(raw_data!CN12 = "yes", 1, 0)</f>
        <v>1</v>
      </c>
      <c r="CO12">
        <f>IF(raw_data!CO12 = "yes", 1, 0)</f>
        <v>0</v>
      </c>
      <c r="CP12">
        <f>IF(raw_data!CP12 = "yes", 1, 0)</f>
        <v>0</v>
      </c>
      <c r="CQ12">
        <f>IF(raw_data!CQ12 = "yes", 1, 0)</f>
        <v>0</v>
      </c>
      <c r="CR12">
        <f>IF(raw_data!CR12 = "yes", 1, 0)</f>
        <v>0</v>
      </c>
      <c r="CS12">
        <f>IF(raw_data!CS12 = "yes", 1, 0)</f>
        <v>1</v>
      </c>
      <c r="CT12">
        <f>IF(raw_data!CT12 = "yes", 1, 0)</f>
        <v>1</v>
      </c>
      <c r="CU12">
        <f>IF(raw_data!CU12 = "yes", 1, 0)</f>
        <v>0</v>
      </c>
      <c r="CV12">
        <f>IF(raw_data!CV12 = "yes", 1, 0)</f>
        <v>1</v>
      </c>
      <c r="CW12">
        <f>IF(raw_data!CW12="na",0,IF(raw_data!CW12="no",0,1))</f>
        <v>0</v>
      </c>
      <c r="CX12">
        <f>IF(raw_data!CX12 = "yes", 1, 0)</f>
        <v>0</v>
      </c>
      <c r="CY12">
        <f>IF(raw_data!CY12 = "yes", 1, 0)</f>
        <v>0</v>
      </c>
      <c r="CZ12">
        <f>IF(raw_data!CZ12 = "yes", 0, 1)</f>
        <v>1</v>
      </c>
      <c r="DA12">
        <f>IF(raw_data!DA12 = "yes", 1, 0)</f>
        <v>0</v>
      </c>
      <c r="DB12">
        <f>IF(raw_data!DB12 = "as prescribed", 1, 0)</f>
        <v>0</v>
      </c>
      <c r="DC12">
        <f>IF(raw_data!DC12 = "yes", 1, 0)</f>
        <v>1</v>
      </c>
      <c r="DD12">
        <f>IF(raw_data!DD12 = "yes", 1, 0)</f>
        <v>0</v>
      </c>
      <c r="DE12">
        <f>IF(raw_data!DE12 = "yes", 1, 0)</f>
        <v>1</v>
      </c>
      <c r="DF12">
        <f>IF(raw_data!DF12 = "yes", 1, 0)</f>
        <v>1</v>
      </c>
      <c r="DG12">
        <f>IF(raw_data!DG12 = "yes", 1, 0)</f>
        <v>1</v>
      </c>
      <c r="DH12">
        <f>IF(raw_data!DH12 = "no", 0, 1)</f>
        <v>0</v>
      </c>
      <c r="DI12">
        <f>IF(raw_data!DI12 = "yes", 1, 0)</f>
        <v>0</v>
      </c>
      <c r="DJ12">
        <f>IF(raw_data!DJ12 = "yes", 1, 0)</f>
        <v>1</v>
      </c>
      <c r="DK12">
        <f>IF(raw_data!DK12 = "yes", 1, 0)</f>
        <v>0</v>
      </c>
      <c r="DL12">
        <f>IF(raw_data!DL12 = "yes", 0, 1)</f>
        <v>1</v>
      </c>
      <c r="DM12">
        <f>IF(raw_data!DM12 = "yes", 0, 1)</f>
        <v>0</v>
      </c>
      <c r="DN12">
        <f>IF(raw_data!DN12="na",0,IF(raw_data!DN12="no",0,1))</f>
        <v>0</v>
      </c>
      <c r="DO12">
        <f>IF(raw_data!DO12 = "yes", 1, 0)</f>
        <v>0</v>
      </c>
      <c r="DP12">
        <f>IF(raw_data!DP12 = "yes", 1, 0)</f>
        <v>1</v>
      </c>
      <c r="DQ12">
        <f>IF(raw_data!DQ12 = "yes", 1, 0)</f>
        <v>0</v>
      </c>
      <c r="DR12">
        <f>IF(raw_data!DR12 = "yes", 0, 1)</f>
        <v>1</v>
      </c>
      <c r="DS12">
        <f>IF(raw_data!DS12 = "yes", 0, 1)</f>
        <v>0</v>
      </c>
      <c r="DT12">
        <f>IF(raw_data!DT12 = "na", 0, IF(raw_data!DT12 = "no", 0, 1))</f>
        <v>0</v>
      </c>
      <c r="DU12">
        <f>IF(raw_data!DU12 = "yes", 1, 0)</f>
        <v>1</v>
      </c>
      <c r="DV12">
        <f>IF(raw_data!DV12 = "yes", 0, 1)</f>
        <v>0</v>
      </c>
      <c r="DW12">
        <f>IF(raw_data!DW12 = "yes", 1, 0)</f>
        <v>0</v>
      </c>
      <c r="DX12">
        <f>IF(raw_data!DX12 = "yes", 0, 1)</f>
        <v>1</v>
      </c>
      <c r="DY12">
        <f>IF(raw_data!DY12 = "yes", 1, 0)</f>
        <v>0</v>
      </c>
      <c r="DZ12">
        <f>IF(raw_data!DZ12="na",0,IF(raw_data!DZ12="no",0,1))</f>
        <v>0</v>
      </c>
      <c r="EA12">
        <f>IF(raw_data!EA12 = "don't check", 0, 1)</f>
        <v>1</v>
      </c>
      <c r="EB12">
        <f>IF(raw_data!EB12 = "pull out", 1, 0)</f>
        <v>1</v>
      </c>
      <c r="EC12" s="1">
        <f>IF(raw_data!EC12 = "yes", 1, 0)</f>
        <v>0</v>
      </c>
      <c r="ED12">
        <f>IF(raw_data!ED12 = "yes", 1, 0)</f>
        <v>1</v>
      </c>
      <c r="EE12" s="60">
        <f>IF(raw_data!EE12="don't know",0,IF(raw_data!EE12="na",0,1))</f>
        <v>0</v>
      </c>
      <c r="EF12" s="60">
        <f>IF(raw_data!EF12="don't know",0,IF(raw_data!EF12="na",0,1))</f>
        <v>0</v>
      </c>
      <c r="EG12">
        <f>IF(raw_data!EG12 = "yes", 1, 0)</f>
        <v>1</v>
      </c>
      <c r="EH12" s="60">
        <f>IF(raw_data!EH12="don't know",0,IF(raw_data!EH12="na",0,1))</f>
        <v>0</v>
      </c>
      <c r="EI12" s="60">
        <f>IF(raw_data!EI12="don't know",0,IF(raw_data!EI12="na",0,1))</f>
        <v>0</v>
      </c>
      <c r="EJ12">
        <f>IF(raw_data!EJ12 = "yes", 1, 0)</f>
        <v>1</v>
      </c>
      <c r="EK12" s="60">
        <f>IF(raw_data!EK12="don't know",0,IF(raw_data!EK12="na",0,1))</f>
        <v>0</v>
      </c>
      <c r="EL12" s="60">
        <f>IF(raw_data!EL12="don't know",0,IF(raw_data!EL12="na",0,1))</f>
        <v>0</v>
      </c>
      <c r="EM12">
        <f>IF(raw_data!EM12 = "yes", 1, 0)</f>
        <v>1</v>
      </c>
      <c r="EN12" s="60">
        <f>IF(raw_data!EN12="don't know",0,IF(raw_data!EN12="na",0,1))</f>
        <v>1</v>
      </c>
      <c r="EO12" s="60">
        <f>IF(raw_data!EO12="don't know",0,IF(raw_data!EO12="na",0,1))</f>
        <v>1</v>
      </c>
      <c r="EP12" s="60">
        <f>IF(raw_data!EP12="don't know",0,IF(raw_data!EP12="na",0,1))</f>
        <v>1</v>
      </c>
      <c r="EQ12">
        <f>IF(raw_data!EQ12 = "yes", 1, 0)</f>
        <v>0</v>
      </c>
      <c r="ER12" s="60">
        <f>IF(raw_data!ER12="don't know",0,IF(raw_data!ER12="na",0,1))</f>
        <v>0</v>
      </c>
      <c r="ES12" s="60">
        <f>IF(raw_data!ES12="don't know",0,IF(raw_data!ES12="na",0,1))</f>
        <v>0</v>
      </c>
      <c r="ET12" s="60">
        <f>IF(raw_data!ET12="don't know",0,IF(raw_data!ET12="na",0,1))</f>
        <v>0</v>
      </c>
      <c r="EU12">
        <f>IF(raw_data!EU12 = "yes", 1, 0)</f>
        <v>1</v>
      </c>
      <c r="EV12">
        <f>IF(raw_data!EV12 = "all the time", 2, IF(raw_data!EV12 = "often", 1, 0))</f>
        <v>0</v>
      </c>
      <c r="EW12" s="1">
        <f>IF(raw_data!EW12 = "yes", 1, 0)</f>
        <v>1</v>
      </c>
      <c r="EX12">
        <f>IF(raw_data!EX12 = "interested", 2, IF(raw_data!EX12 = "neutral", 1, 0))</f>
        <v>1</v>
      </c>
      <c r="EY12" s="60">
        <f>IF(raw_data!EY12 = "don't know", 0, 1)</f>
        <v>1</v>
      </c>
      <c r="EZ12" s="60">
        <f>IF(raw_data!EZ12 = "don't know", 0, 1)</f>
        <v>0</v>
      </c>
      <c r="FA12" s="60">
        <f>IF(raw_data!FA12 = "no", 0, 1)</f>
        <v>1</v>
      </c>
      <c r="FB12" s="60">
        <f>IF(raw_data!FB12 = "no", 0, 1)</f>
        <v>0</v>
      </c>
      <c r="FC12" s="1">
        <f>IF(raw_data!FC12 = "no", 0, 1)</f>
        <v>0</v>
      </c>
      <c r="FD12" s="60">
        <f>IF(raw_data!FD12="tv",1,IF(raw_data!FD12="radio",1,IF(raw_data!FD12="newspaper",1,IF(raw_data!FD12="internet",1,IF(raw_data!FD12="sns",1,IF(raw_data!FD12="na",0,2))))))</f>
        <v>1</v>
      </c>
      <c r="FE12" s="60">
        <f>IF(raw_data!FE12="tv",1,IF(raw_data!FE12="radio",1,IF(raw_data!FE12="newspaper",1,IF(raw_data!FE12="internet",1,IF(raw_data!FE12="sns",1,IF(raw_data!FE12="na",0,2))))))</f>
        <v>1</v>
      </c>
      <c r="FF12" s="60">
        <f>IF(raw_data!FF12="tv",1,IF(raw_data!FF12="radio",1,IF(raw_data!FF12="newspaper",1,IF(raw_data!FF12="internet",1,IF(raw_data!FF12="sns",1,IF(raw_data!FF12="na",0,2))))))</f>
        <v>2</v>
      </c>
      <c r="FG12">
        <f>IF(raw_data!FG12 = "4+ hrs", 4, IF(raw_data!FG12 = "2-4 hrs", 3, IF(raw_data!FG12 = "1-2 hrs", 2, IF(raw_data!FG12 = "less than 1 hr", 1, 0))))</f>
        <v>2</v>
      </c>
      <c r="FH12">
        <f>IF(raw_data!FH12 = "4+ hrs", 4, IF(raw_data!FH12 = "2-4 hrs", 3, IF(raw_data!FH12 = "1-2 hrs", 2, IF(raw_data!FH12 = "less than 1 hr", 1, 0))))</f>
        <v>3</v>
      </c>
      <c r="FI12">
        <f>IF(raw_data!FI12 = "4+ hrs", 4, IF(raw_data!FI12 = "2-4 hrs", 3, IF(raw_data!FI12 = "1-2 hrs", 2, IF(raw_data!FI12 = "less than 1 hr", 1, 0))))</f>
        <v>1</v>
      </c>
      <c r="FJ12" s="60">
        <f>IF(raw_data!FJ12="tv",1,IF(raw_data!FJ12="radio",1,IF(raw_data!FJ12="newspaper",1,IF(raw_data!FJ12="internet",1,IF(raw_data!FJ12="sns",1,IF(raw_data!FJ12="na",0,2))))))</f>
        <v>1</v>
      </c>
      <c r="FK12" s="60">
        <f>IF(raw_data!FK12="tv",1,IF(raw_data!FK12="radio",1,IF(raw_data!FK12="newspaper",1,IF(raw_data!FK12="internet",1,IF(raw_data!FK12="sns",1,IF(raw_data!FK12="na",0,2))))))</f>
        <v>1</v>
      </c>
      <c r="FL12" s="60">
        <f>IF(raw_data!FL12="tv",1,IF(raw_data!FL12="radio",1,IF(raw_data!FL12="newspaper",1,IF(raw_data!FL12="internet",1,IF(raw_data!FL12="sns",1,IF(raw_data!FL12="na",0,2))))))</f>
        <v>0</v>
      </c>
      <c r="FM12">
        <f>IF(raw_data!FM12 = "4+ hrs", 4, IF(raw_data!FM12 = "2-4 hrs", 3, IF(raw_data!FM12 = "1-2 hrs", 2, IF(raw_data!FM12 = "less than 1 hr", 1, 0))))</f>
        <v>3</v>
      </c>
      <c r="FN12">
        <f>IF(raw_data!FN12 = "4+ hrs", 4, IF(raw_data!FN12 = "2-4 hrs", 3, IF(raw_data!FN12 = "1-2 hrs", 2, IF(raw_data!FN12 = "less than 1 hr", 1, 0))))</f>
        <v>3</v>
      </c>
      <c r="FO12">
        <f>IF(raw_data!FO12 = "4+ hrs", 4, IF(raw_data!FO12 = "2-4 hrs", 3, IF(raw_data!FO12 = "1-2 hrs", 2, IF(raw_data!FO12 = "less than 1 hr", 1, 0))))</f>
        <v>0</v>
      </c>
      <c r="FP12">
        <f>IF(raw_data!FP12="only news",1,IF(raw_data!FP12="mostly news",2,IF(raw_data!FP12="balanced",3,IF(raw_data!FP12="mostly entertainment",2,1))))</f>
        <v>1</v>
      </c>
      <c r="FQ12">
        <f>IF(raw_data!FQ12 = "yes", 1, 0)</f>
        <v>1</v>
      </c>
      <c r="FR12">
        <f>IF(raw_data!FR12 = "yes", 1, 0)</f>
        <v>1</v>
      </c>
      <c r="FS12">
        <f>IF(raw_data!FS12 = "yes", 1, 0)</f>
        <v>0</v>
      </c>
      <c r="FT12">
        <f>IF(raw_data!FT12 = "yes", 1, 0)</f>
        <v>1</v>
      </c>
      <c r="FU12">
        <f>IF(raw_data!FU12 = "yes", 1, 0)</f>
        <v>0</v>
      </c>
      <c r="FV12">
        <f>IF(raw_data!FV12="na",0,IF(raw_data!FV12="no",0,1))</f>
        <v>0</v>
      </c>
      <c r="FW12" s="60">
        <f>IF(raw_data!FW12="vet school", 1, IF(raw_data!FW12="symposia", 1, IF(raw_data!FW12="conferences", 1, IF(raw_data!FW12="online course", 1, IF(raw_data!FW12="websites", 1, IF(raw_data!FW12="documentary", 1, IF(raw_data!FW12="tv", 1, IF(raw_data!FW12="newspaper", 1, IF(raw_data!FW12="blogs", 1, IF(raw_data!FW12="sns", 1, IF(raw_data!FW12="na", 0, 2)))))))))))</f>
        <v>1</v>
      </c>
      <c r="FX12" s="60">
        <f>IF(raw_data!FX12="vet school", 1, IF(raw_data!FX12="symposia", 1, IF(raw_data!FX12="conferences", 1, IF(raw_data!FX12="online course", 1, IF(raw_data!FX12="websites", 1, IF(raw_data!FX12="documentary", 1, IF(raw_data!FX12="tv", 1, IF(raw_data!FX12="newspaper", 1, IF(raw_data!FX12="blogs", 1, IF(raw_data!FX12="sns", 1, IF(raw_data!FX12="na", 0, 2)))))))))))</f>
        <v>2</v>
      </c>
      <c r="FY12" s="1">
        <f>IF(raw_data!FY12="vet school", 1, IF(raw_data!FY12="symposia", 1, IF(raw_data!FY12="conferences", 1, IF(raw_data!FY12="online course", 1, IF(raw_data!FY12="websites", 1, IF(raw_data!FY12="documentary", 1, IF(raw_data!FY12="tv", 1, IF(raw_data!FY12="newspaper", 1, IF(raw_data!FY12="blogs", 1, IF(raw_data!FY12="sns", 1, IF(raw_data!FY12="na", 0, 2)))))))))))</f>
        <v>0</v>
      </c>
    </row>
    <row r="13" spans="1:189">
      <c r="A13" s="157">
        <v>10</v>
      </c>
      <c r="B13">
        <f>IF(raw_data!B:B="post-graduate",7,IF(raw_data!B13="graduate",6,IF(raw_data!B13="college",5,IF(raw_data!B13="technical",4,IF(raw_data!B13="high school",3,IF(raw_data!B13="elementary",2,IF(raw_data!B13="some schooling",1,0)))))))</f>
        <v>5</v>
      </c>
      <c r="C13" s="60">
        <f>IF(raw_data!C13 = "proprietor", 0, IF(raw_data!C13 = "rep", 1, IF(raw_data!C13 = "staff", 2, IF(raw_data!C13 = "vet pharm", 3, 4))))</f>
        <v>0</v>
      </c>
      <c r="D13" s="60">
        <f>raw_data!D13</f>
        <v>36</v>
      </c>
      <c r="E13" s="60">
        <f>IF(raw_data!E13 = "less than 1 yr", 0, IF(raw_data!E13 = "1-2 yrs", 1, IF(raw_data!E13 = "2-5 yrs", 2, IF(raw_data!E13 = "5-10 yrs", 3, 4))))</f>
        <v>4</v>
      </c>
      <c r="F13">
        <f>IF(raw_data!F13="large-scale",2,IF(raw_data!F13="medium-scale",1,0))</f>
        <v>2</v>
      </c>
      <c r="G13">
        <f>IF(raw_data!G13="input",2,IF(raw_data!G13="not in charge",1,0))</f>
        <v>2</v>
      </c>
      <c r="H13">
        <f>IF(raw_data!H13 = "large farm owners", 6, IF(raw_data!H13 = "medium farm owners", 5, IF(raw_data!H13 = "small farm owners", 4, IF(raw_data!H13 = "large retailers", 3, IF(raw_data!H13 = "medium retailers", 2, IF(raw_data!H13 = "small retailers", 1, 0))))))</f>
        <v>3</v>
      </c>
      <c r="I13">
        <f>IF(raw_data!I13 = "male", 0, IF(raw_data!I13 = "female", 1, 2))</f>
        <v>1</v>
      </c>
      <c r="J13" s="1">
        <f>IF(raw_data!J12="yes",1,0)</f>
        <v>0</v>
      </c>
      <c r="K13">
        <f>IF(raw_data!K13 = "yes", 1, 0)</f>
        <v>1</v>
      </c>
      <c r="L13" s="60">
        <f>IF(raw_data!L13 = "treatment all", 0, IF(raw_data!L13 = "prevention all", 0, IF(raw_data!L13 = "prevention some", 0, IF(raw_data!L13 = "growth booster", 0, IF(raw_data!L13 = "don't know", 0, 1)))))</f>
        <v>0</v>
      </c>
      <c r="M13" s="60">
        <f>IF(raw_data!M13 = "can't remember", 0, 1)</f>
        <v>1</v>
      </c>
      <c r="N13" s="60">
        <f>IF(raw_data!N13 = "can't remember", 0, 1)</f>
        <v>1</v>
      </c>
      <c r="O13" s="60">
        <f>IF(raw_data!O13 = "can't remember", 0, 1)</f>
        <v>1</v>
      </c>
      <c r="P13">
        <f>IF(raw_data!P13 = "yes", 1, 0)</f>
        <v>1</v>
      </c>
      <c r="Q13">
        <f>IF(raw_data!Q13 = "bacteria develop resistance", 1, 0)</f>
        <v>0</v>
      </c>
      <c r="R13">
        <f>IF(raw_data!R13 = "yes", 1, 0)</f>
        <v>0</v>
      </c>
      <c r="S13">
        <f>IF(raw_data!S13 = "yes", 1, 0)</f>
        <v>0</v>
      </c>
      <c r="T13">
        <f>IF(raw_data!T13 = "yes", 1, 0)</f>
        <v>0</v>
      </c>
      <c r="U13">
        <f>IF(raw_data!U13 = "yes", 1, 0)</f>
        <v>0</v>
      </c>
      <c r="V13">
        <f>IF(raw_data!V13 = "yes", 1, 0)</f>
        <v>0</v>
      </c>
      <c r="W13">
        <f>IF(raw_data!W13 = "yes", 1, 0)</f>
        <v>0</v>
      </c>
      <c r="X13" s="60">
        <f>IF(raw_data!X13 = "no", 0, 1)</f>
        <v>1</v>
      </c>
      <c r="Y13">
        <f>IF(raw_data!Y13 = "yes", 1, 0)</f>
        <v>1</v>
      </c>
      <c r="Z13" s="60">
        <f>IF(raw_data!Z13 = "can't remember", 0, 1)</f>
        <v>1</v>
      </c>
      <c r="AA13" s="60">
        <f>IF(raw_data!AA13 = "can't remember", 0, 1)</f>
        <v>1</v>
      </c>
      <c r="AB13" s="60">
        <f>IF(raw_data!AB13 = "can't remember", 0, 1)</f>
        <v>0</v>
      </c>
      <c r="AC13" s="60">
        <f>IF(raw_data!AC13 = "4 correct", 4, IF(raw_data!AC13 = "3 correct", 3, IF(raw_data!AC13 = "2 correct", 2, IF(raw_data!AC13 = "1 correct", 1, 0))))</f>
        <v>3</v>
      </c>
      <c r="AD13">
        <f>IF(raw_data!AD13="basic info",1,IF(raw_data!AD13="etiology",1,IF(raw_data!AD13="advanced understanding",1,0)))</f>
        <v>1</v>
      </c>
      <c r="AE13">
        <f>IF(raw_data!AE13 = "true", 0, 1)</f>
        <v>1</v>
      </c>
      <c r="AF13">
        <f>IF(raw_data!AF13 = "true", 1, 0)</f>
        <v>1</v>
      </c>
      <c r="AG13">
        <f>IF(raw_data!AG13 = "yes", 1, 0)</f>
        <v>1</v>
      </c>
      <c r="AH13">
        <f>IF(raw_data!AH:AH = "yes", 1, 0)</f>
        <v>0</v>
      </c>
      <c r="AI13">
        <f>IF(raw_data!AI:AI = "yes", 1, 0)</f>
        <v>0</v>
      </c>
      <c r="AJ13">
        <f>IF(raw_data!AJ:AJ = "yes", 1, 0)</f>
        <v>1</v>
      </c>
      <c r="AK13">
        <f>IF(raw_data!AK:AK = "yes", 1, 0)</f>
        <v>0</v>
      </c>
      <c r="AL13">
        <f>IF(raw_data!AL:AL = "yes", 1, 0)</f>
        <v>0</v>
      </c>
      <c r="AM13">
        <f>IF(raw_data!AM:AM = "yes", 1, 0)</f>
        <v>0</v>
      </c>
      <c r="AN13" s="60">
        <f>IF(raw_data!AN:AN="no",0,IF(raw_data!AN:AN="na",0,1))</f>
        <v>0</v>
      </c>
      <c r="AO13">
        <f>IF(raw_data!AO13="5 correct",5,IF(raw_data!AO13="4 correct",4,IF(raw_data!AO13="3 correct",3,IF(raw_data!AO13="2 correct", 2, IF(raw_data!AO13="1 correct",1,0)))))</f>
        <v>2</v>
      </c>
      <c r="AP13">
        <f>IF(raw_data!AP13="5 correct",5,IF(raw_data!AP13="4 correct",4,IF(raw_data!AP13="3 correct",3,IF(raw_data!AP13="2 correct", 2, IF(raw_data!AP13="1 correct",1,0)))))</f>
        <v>2</v>
      </c>
      <c r="AQ13">
        <f>IF(raw_data!AQ13="5 correct",5,IF(raw_data!AQ13="4 correct",4,IF(raw_data!AQ13="3 correct",3,IF(raw_data!AQ13="2 correct", 2, IF(raw_data!AQ13="1 correct",1,0)))))</f>
        <v>1</v>
      </c>
      <c r="AR13">
        <f>IF(raw_data!AR13="5 correct",5,IF(raw_data!AR13="4 correct",4,IF(raw_data!AR13="3 correct",3,IF(raw_data!AR13="2 correct", 2, IF(raw_data!AR13="1 correct",1,0)))))</f>
        <v>3</v>
      </c>
      <c r="AS13">
        <f>IF(raw_data!AS13 = "very serious", 5, IF(raw_data!AS13 = "serious", 4, IF(raw_data!AS13 = "moderately serious", 3, IF(raw_data!AS13 = "slightly serious", 2, 1))))</f>
        <v>5</v>
      </c>
      <c r="AT13">
        <f>IF(raw_data!AT13 = "seriously concerned", 4, IF(raw_data!AT13 = "concerned", 3, IF(raw_data!AT13 = "slightly concerned", 2, IF(raw_data!AT13 = "not concerned at all", 1, 0))))</f>
        <v>4</v>
      </c>
      <c r="AU13">
        <f>IF(raw_data!AU13 = "strongly agree", 5, IF(raw_data!AU13 = "agree", 4, IF(raw_data!AU13 = "neutral", 3, IF(raw_data!AU13 = "disagree", 2, 1))))</f>
        <v>5</v>
      </c>
      <c r="AV13">
        <f>IF(raw_data!AV13 = "strongly agree", 5, IF(raw_data!AV13 = "agree", 4, IF(raw_data!AV13 = "neutral", 3, IF(raw_data!AV13 = "disagree", 2, 1))))</f>
        <v>5</v>
      </c>
      <c r="AW13">
        <f>IF(raw_data!AW13 = "strongly agree", 5, IF(raw_data!AW13 = "agree", 4, IF(raw_data!AW13 = "neutral", 3, IF(raw_data!AW13 = "disagree", 2, 1))))</f>
        <v>5</v>
      </c>
      <c r="AX13">
        <f>IF(raw_data!AX13 = "strongly agree", 5, IF(raw_data!AX13 = "agree", 4, IF(raw_data!AX13 = "neutral", 3, IF(raw_data!AX13 = "disagree", 2, 1))))</f>
        <v>3</v>
      </c>
      <c r="AY13">
        <f>IF(raw_data!AY13 = "strongly agree", 5, IF(raw_data!AY13 = "agree", 4, IF(raw_data!AY13 = "neutral", 3, IF(raw_data!AY13 = "disagree", 2, 1))))</f>
        <v>5</v>
      </c>
      <c r="AZ13">
        <f>IF(raw_data!AZ13 = "strongly agree", 5, IF(raw_data!AZ13 = "agree", 4, IF(raw_data!AZ13 = "neutral", 3, IF(raw_data!AZ13 = "disagree", 2, 1))))</f>
        <v>4</v>
      </c>
      <c r="BA13">
        <f>IF(raw_data!BA13 = "strongly agree", 5, IF(raw_data!BA13 = "agree", 4, IF(raw_data!BA13 = "neutral", 3, IF(raw_data!BA13 = "disagree", 2, 1))))</f>
        <v>5</v>
      </c>
      <c r="BB13">
        <f>IF(raw_data!BB13 = "strongly agree", 5, IF(raw_data!BB13 = "agree", 4, IF(raw_data!BB13 = "neutral", 3, IF(raw_data!BB13 = "disagree", 2, 1))))</f>
        <v>3</v>
      </c>
      <c r="BC13">
        <f>IF(raw_data!BC13 = "strongly agree", 5, IF(raw_data!BC13 = "agree", 4, IF(raw_data!BC13 = "neutral", 3, IF(raw_data!BC13 = "disagree", 2, 1))))</f>
        <v>4</v>
      </c>
      <c r="BD13">
        <f>IF(raw_data!BD13 = "strongly agree", 5, IF(raw_data!BD13 = "agree", 4, IF(raw_data!BD13 = "neutral", 3, IF(raw_data!BD13 = "disagree", 2, 1))))</f>
        <v>5</v>
      </c>
      <c r="BE13">
        <f>IF(raw_data!BE13 = "strongly agree", 5, IF(raw_data!BE13 = "agree", 4, IF(raw_data!BE13 = "neutral", 3, IF(raw_data!BE13 = "disagree", 2, 1))))</f>
        <v>5</v>
      </c>
      <c r="BF13">
        <f>IF(raw_data!BF13 = "strongly agree", 5, IF(raw_data!BF13 = "agree", 4, IF(raw_data!BF13 = "neutral", 3, IF(raw_data!BF13 = "disagree", 2, 1))))</f>
        <v>5</v>
      </c>
      <c r="BG13">
        <f>IF(raw_data!BG13 = "very strong", 5, IF(raw_data!BG13 = "substantial", 4, IF(raw_data!BG13 = "moderate", 3, IF(raw_data!BG13  = "limited", 2, 1))))</f>
        <v>2</v>
      </c>
      <c r="BH13">
        <f>IF(raw_data!BH13 = "very strong", 5, IF(raw_data!BH13 = "substantial", 4, IF(raw_data!BH13 = "moderate", 3, IF(raw_data!BH13  = "limited", 2, 1))))</f>
        <v>4</v>
      </c>
      <c r="BI13">
        <f>IF(raw_data!BI13 = "very strong", 5, IF(raw_data!BI13 = "substantial", 4, IF(raw_data!BI13 = "moderate", 3, IF(raw_data!BI13  = "limited", 2, 1))))</f>
        <v>5</v>
      </c>
      <c r="BJ13">
        <f>IF(raw_data!BJ13 = "very strong", 5, IF(raw_data!BJ13 = "substantial", 4, IF(raw_data!BJ13 = "moderate", 3, IF(raw_data!BJ13 = "limited", 2, 1))))</f>
        <v>5</v>
      </c>
      <c r="BK13">
        <f>IF(raw_data!BK13 = "very strong", 5, IF(raw_data!BK13 = "substantial", 4, IF(raw_data!BK13 = "moderate", 3, IF(raw_data!BK13 = "limited", 2, 1))))</f>
        <v>4</v>
      </c>
      <c r="BL13">
        <f>IF(raw_data!BL13 = "very strong", 5, IF(raw_data!BL13 = "substantial", 4, IF(raw_data!BL13 = "moderate", 3, IF(raw_data!BL13 = "limited", 2, 1))))</f>
        <v>4</v>
      </c>
      <c r="BM13">
        <f>IF(raw_data!BM13 = "very strong", 5, IF(raw_data!BM13 = "substantial", 4, IF(raw_data!BM13 = "moderate", 3, IF(raw_data!BM13 = "limited", 2, 1))))</f>
        <v>4</v>
      </c>
      <c r="BN13">
        <f>IF(raw_data!BN13 = "very strong", 5, IF(raw_data!BN13 = "substantial", 4, IF(raw_data!BN13 = "moderate", 3, IF(raw_data!BN13 = "limited", 2, 1))))</f>
        <v>4</v>
      </c>
      <c r="BO13">
        <f>IF(raw_data!BO13 = "very strong", 5, IF(raw_data!BO13 = "substantial", 4, IF(raw_data!BO13 = "moderate", 3, IF(raw_data!BO13 = "limited", 2, 1))))</f>
        <v>5</v>
      </c>
      <c r="BP13">
        <f>IF(raw_data!BP13 = "very strong", 5, IF(raw_data!BP13 = "substantial", 4, IF(raw_data!BP13 = "moderate", 3, IF(raw_data!BP13 = "limited", 2, 1))))</f>
        <v>4</v>
      </c>
      <c r="BQ13">
        <f>IF(raw_data!BQ13 = "very strong", 5, IF(raw_data!BQ13 = "substantial", 4, IF(raw_data!BQ13 = "moderate", 3, IF(raw_data!BQ13 = "limited", 2, 1))))</f>
        <v>5</v>
      </c>
      <c r="BR13">
        <f>IF(raw_data!BR13 = "very strong", 5, IF(raw_data!BR13 = "substantial", 4, IF(raw_data!BR13 = "moderate", 3, IF(raw_data!BR13 = "limited", 2, 1))))</f>
        <v>5</v>
      </c>
      <c r="BS13" s="60">
        <f>IF(raw_data!BS13 = "can't remember", 0, 1)</f>
        <v>1</v>
      </c>
      <c r="BT13" s="60">
        <f>IF(raw_data!BT13 = "can't remember", 0, 1)</f>
        <v>1</v>
      </c>
      <c r="BU13" s="60">
        <f>IF(raw_data!BU13 = "can't remember", 0, 1)</f>
        <v>1</v>
      </c>
      <c r="BV13" s="60">
        <f>IF(raw_data!BV13 = "can't remember", 0, 1)</f>
        <v>1</v>
      </c>
      <c r="BW13" s="60">
        <f>IF(raw_data!BW13 = "can't remember", 0, 1)</f>
        <v>1</v>
      </c>
      <c r="BX13" s="60">
        <f>IF(raw_data!BX13 = "can't remember", 0, 1)</f>
        <v>1</v>
      </c>
      <c r="BY13">
        <f>IF(raw_data!BY13 ="no", 0, 1)</f>
        <v>1</v>
      </c>
      <c r="BZ13">
        <f>IF(raw_data!BZ13 ="no", 0, 1)</f>
        <v>1</v>
      </c>
      <c r="CA13">
        <f>IF(raw_data!CA13 ="no", 0, 1)</f>
        <v>1</v>
      </c>
      <c r="CB13" s="60">
        <f>IF(raw_data!CB13 ="no", 1, 0)</f>
        <v>1</v>
      </c>
      <c r="CC13">
        <f>IF(raw_data!CC13 ="no", 0, 1)</f>
        <v>1</v>
      </c>
      <c r="CD13">
        <f>IF(raw_data!CD13 ="no", 0, 1)</f>
        <v>1</v>
      </c>
      <c r="CE13">
        <f>IF(raw_data!CE13 ="no", 0, 1)</f>
        <v>0</v>
      </c>
      <c r="CF13">
        <f>IF(raw_data!CF13 ="no", 0, 1)</f>
        <v>0</v>
      </c>
      <c r="CG13">
        <f>IF(raw_data!CG13 = "yes", 1, 0)</f>
        <v>0</v>
      </c>
      <c r="CH13">
        <f>IF(raw_data!CH13 = "yes", 1, 0)</f>
        <v>0</v>
      </c>
      <c r="CI13">
        <f>IF(raw_data!CI13 = "yes", 1, 0)</f>
        <v>0</v>
      </c>
      <c r="CJ13">
        <f>IF(raw_data!CJ13 = "yes", 1, 0)</f>
        <v>0</v>
      </c>
      <c r="CK13">
        <f>IF(raw_data!CK13 = "yes", 1, 0)</f>
        <v>0</v>
      </c>
      <c r="CL13">
        <f>IF(raw_data!CL13 = "yes", 1, 0)</f>
        <v>0</v>
      </c>
      <c r="CM13">
        <f>IF(raw_data!CM13 = "yes", 1, 0)</f>
        <v>1</v>
      </c>
      <c r="CN13">
        <f>IF(raw_data!CN13 = "yes", 1, 0)</f>
        <v>1</v>
      </c>
      <c r="CO13">
        <f>IF(raw_data!CO13 = "yes", 1, 0)</f>
        <v>1</v>
      </c>
      <c r="CP13">
        <f>IF(raw_data!CP13 = "yes", 1, 0)</f>
        <v>0</v>
      </c>
      <c r="CQ13">
        <f>IF(raw_data!CQ13 = "yes", 1, 0)</f>
        <v>1</v>
      </c>
      <c r="CR13">
        <f>IF(raw_data!CR13 = "yes", 1, 0)</f>
        <v>0</v>
      </c>
      <c r="CS13">
        <f>IF(raw_data!CS13 = "yes", 1, 0)</f>
        <v>0</v>
      </c>
      <c r="CT13">
        <f>IF(raw_data!CT13 = "yes", 1, 0)</f>
        <v>0</v>
      </c>
      <c r="CU13">
        <f>IF(raw_data!CU13 = "yes", 1, 0)</f>
        <v>0</v>
      </c>
      <c r="CV13">
        <f>IF(raw_data!CV13 = "yes", 1, 0)</f>
        <v>0</v>
      </c>
      <c r="CW13">
        <f>IF(raw_data!CW13="na",0,IF(raw_data!CW13="no",0,1))</f>
        <v>0</v>
      </c>
      <c r="CX13">
        <f>IF(raw_data!CX13 = "yes", 1, 0)</f>
        <v>1</v>
      </c>
      <c r="CY13">
        <f>IF(raw_data!CY13 = "yes", 1, 0)</f>
        <v>1</v>
      </c>
      <c r="CZ13">
        <f>IF(raw_data!CZ13 = "yes", 0, 1)</f>
        <v>0</v>
      </c>
      <c r="DA13">
        <f>IF(raw_data!DA13 = "yes", 1, 0)</f>
        <v>1</v>
      </c>
      <c r="DB13">
        <f>IF(raw_data!DB13 = "as prescribed", 1, 0)</f>
        <v>1</v>
      </c>
      <c r="DC13">
        <f>IF(raw_data!DC13 = "yes", 1, 0)</f>
        <v>0</v>
      </c>
      <c r="DD13">
        <f>IF(raw_data!DD13 = "yes", 1, 0)</f>
        <v>1</v>
      </c>
      <c r="DE13">
        <f>IF(raw_data!DE13 = "yes", 1, 0)</f>
        <v>1</v>
      </c>
      <c r="DF13">
        <f>IF(raw_data!DF13 = "yes", 1, 0)</f>
        <v>1</v>
      </c>
      <c r="DG13">
        <f>IF(raw_data!DG13 = "yes", 1, 0)</f>
        <v>0</v>
      </c>
      <c r="DH13">
        <f>IF(raw_data!DH13 = "no", 0, 1)</f>
        <v>1</v>
      </c>
      <c r="DI13">
        <f>IF(raw_data!DI13 = "yes", 1, 0)</f>
        <v>1</v>
      </c>
      <c r="DJ13">
        <f>IF(raw_data!DJ13 = "yes", 1, 0)</f>
        <v>1</v>
      </c>
      <c r="DK13">
        <f>IF(raw_data!DK13 = "yes", 1, 0)</f>
        <v>0</v>
      </c>
      <c r="DL13">
        <f>IF(raw_data!DL13 = "yes", 0, 1)</f>
        <v>1</v>
      </c>
      <c r="DM13">
        <f>IF(raw_data!DM13 = "yes", 0, 1)</f>
        <v>1</v>
      </c>
      <c r="DN13">
        <f>IF(raw_data!DN13="na",0,IF(raw_data!DN13="no",0,1))</f>
        <v>1</v>
      </c>
      <c r="DO13">
        <f>IF(raw_data!DO13 = "yes", 1, 0)</f>
        <v>1</v>
      </c>
      <c r="DP13">
        <f>IF(raw_data!DP13 = "yes", 1, 0)</f>
        <v>1</v>
      </c>
      <c r="DQ13">
        <f>IF(raw_data!DQ13 = "yes", 1, 0)</f>
        <v>0</v>
      </c>
      <c r="DR13">
        <f>IF(raw_data!DR13 = "yes", 0, 1)</f>
        <v>1</v>
      </c>
      <c r="DS13">
        <f>IF(raw_data!DS13 = "yes", 0, 1)</f>
        <v>1</v>
      </c>
      <c r="DT13">
        <f>IF(raw_data!DT13 = "na", 0, IF(raw_data!DT13 = "no", 0, 1))</f>
        <v>1</v>
      </c>
      <c r="DU13">
        <f>IF(raw_data!DU13 = "yes", 1, 0)</f>
        <v>1</v>
      </c>
      <c r="DV13">
        <f>IF(raw_data!DV13 = "yes", 0, 1)</f>
        <v>1</v>
      </c>
      <c r="DW13">
        <f>IF(raw_data!DW13 = "yes", 1, 0)</f>
        <v>0</v>
      </c>
      <c r="DX13">
        <f>IF(raw_data!DX13 = "yes", 0, 1)</f>
        <v>1</v>
      </c>
      <c r="DY13">
        <f>IF(raw_data!DY13 = "yes", 1, 0)</f>
        <v>1</v>
      </c>
      <c r="DZ13">
        <f>IF(raw_data!DZ13="na",0,IF(raw_data!DZ13="no",0,1))</f>
        <v>0</v>
      </c>
      <c r="EA13">
        <f>IF(raw_data!EA13 = "don't check", 0, 1)</f>
        <v>1</v>
      </c>
      <c r="EB13">
        <f>IF(raw_data!EB13 = "pull out", 1, 0)</f>
        <v>1</v>
      </c>
      <c r="EC13" s="1">
        <f>IF(raw_data!EC13 = "yes", 1, 0)</f>
        <v>1</v>
      </c>
      <c r="ED13">
        <f>IF(raw_data!ED13 = "yes", 1, 0)</f>
        <v>1</v>
      </c>
      <c r="EE13" s="60">
        <f>IF(raw_data!EE13="don't know",0,IF(raw_data!EE13="na",0,1))</f>
        <v>0</v>
      </c>
      <c r="EF13" s="60">
        <f>IF(raw_data!EF13="don't know",0,IF(raw_data!EF13="na",0,1))</f>
        <v>0</v>
      </c>
      <c r="EG13">
        <f>IF(raw_data!EG13 = "yes", 1, 0)</f>
        <v>1</v>
      </c>
      <c r="EH13" s="60">
        <f>IF(raw_data!EH13="don't know",0,IF(raw_data!EH13="na",0,1))</f>
        <v>0</v>
      </c>
      <c r="EI13" s="60">
        <f>IF(raw_data!EI13="don't know",0,IF(raw_data!EI13="na",0,1))</f>
        <v>0</v>
      </c>
      <c r="EJ13">
        <f>IF(raw_data!EJ13 = "yes", 1, 0)</f>
        <v>1</v>
      </c>
      <c r="EK13" s="60">
        <f>IF(raw_data!EK13="don't know",0,IF(raw_data!EK13="na",0,1))</f>
        <v>0</v>
      </c>
      <c r="EL13" s="60">
        <f>IF(raw_data!EL13="don't know",0,IF(raw_data!EL13="na",0,1))</f>
        <v>0</v>
      </c>
      <c r="EM13">
        <f>IF(raw_data!EM13 = "yes", 1, 0)</f>
        <v>1</v>
      </c>
      <c r="EN13" s="60">
        <f>IF(raw_data!EN13="don't know",0,IF(raw_data!EN13="na",0,1))</f>
        <v>1</v>
      </c>
      <c r="EO13" s="60">
        <f>IF(raw_data!EO13="don't know",0,IF(raw_data!EO13="na",0,1))</f>
        <v>1</v>
      </c>
      <c r="EP13" s="60">
        <f>IF(raw_data!EP13="don't know",0,IF(raw_data!EP13="na",0,1))</f>
        <v>1</v>
      </c>
      <c r="EQ13">
        <f>IF(raw_data!EQ13 = "yes", 1, 0)</f>
        <v>0</v>
      </c>
      <c r="ER13" s="60">
        <f>IF(raw_data!ER13="don't know",0,IF(raw_data!ER13="na",0,1))</f>
        <v>0</v>
      </c>
      <c r="ES13" s="60">
        <f>IF(raw_data!ES13="don't know",0,IF(raw_data!ES13="na",0,1))</f>
        <v>0</v>
      </c>
      <c r="ET13" s="60">
        <f>IF(raw_data!ET13="don't know",0,IF(raw_data!ET13="na",0,1))</f>
        <v>0</v>
      </c>
      <c r="EU13">
        <f>IF(raw_data!EU13 = "yes", 1, 0)</f>
        <v>1</v>
      </c>
      <c r="EV13">
        <f>IF(raw_data!EV13 = "all the time", 2, IF(raw_data!EV13 = "often", 1, 0))</f>
        <v>1</v>
      </c>
      <c r="EW13" s="1">
        <f>IF(raw_data!EW13 = "yes", 1, 0)</f>
        <v>1</v>
      </c>
      <c r="EX13">
        <f>IF(raw_data!EX13 = "interested", 2, IF(raw_data!EX13 = "neutral", 1, 0))</f>
        <v>0</v>
      </c>
      <c r="EY13" s="60">
        <f>IF(raw_data!EY13 = "don't know", 0, 1)</f>
        <v>0</v>
      </c>
      <c r="EZ13" s="60">
        <f>IF(raw_data!EZ13 = "don't know", 0, 1)</f>
        <v>0</v>
      </c>
      <c r="FA13" s="60">
        <f>IF(raw_data!FA13 = "no", 0, 1)</f>
        <v>1</v>
      </c>
      <c r="FB13" s="60">
        <f>IF(raw_data!FB13 = "no", 0, 1)</f>
        <v>1</v>
      </c>
      <c r="FC13" s="1">
        <f>IF(raw_data!FC13 = "no", 0, 1)</f>
        <v>1</v>
      </c>
      <c r="FD13" s="60">
        <f>IF(raw_data!FD13="tv",1,IF(raw_data!FD13="radio",1,IF(raw_data!FD13="newspaper",1,IF(raw_data!FD13="internet",1,IF(raw_data!FD13="sns",1,IF(raw_data!FD13="na",0,2))))))</f>
        <v>1</v>
      </c>
      <c r="FE13" s="60">
        <f>IF(raw_data!FE13="tv",1,IF(raw_data!FE13="radio",1,IF(raw_data!FE13="newspaper",1,IF(raw_data!FE13="internet",1,IF(raw_data!FE13="sns",1,IF(raw_data!FE13="na",0,2))))))</f>
        <v>1</v>
      </c>
      <c r="FF13" s="60">
        <f>IF(raw_data!FF13="tv",1,IF(raw_data!FF13="radio",1,IF(raw_data!FF13="newspaper",1,IF(raw_data!FF13="internet",1,IF(raw_data!FF13="sns",1,IF(raw_data!FF13="na",0,2))))))</f>
        <v>0</v>
      </c>
      <c r="FG13">
        <f>IF(raw_data!FG13 = "4+ hrs", 4, IF(raw_data!FG13 = "2-4 hrs", 3, IF(raw_data!FG13 = "1-2 hrs", 2, IF(raw_data!FG13 = "less than 1 hr", 1, 0))))</f>
        <v>2</v>
      </c>
      <c r="FH13">
        <f>IF(raw_data!FH13 = "4+ hrs", 4, IF(raw_data!FH13 = "2-4 hrs", 3, IF(raw_data!FH13 = "1-2 hrs", 2, IF(raw_data!FH13 = "less than 1 hr", 1, 0))))</f>
        <v>2</v>
      </c>
      <c r="FI13">
        <f>IF(raw_data!FI13 = "4+ hrs", 4, IF(raw_data!FI13 = "2-4 hrs", 3, IF(raw_data!FI13 = "1-2 hrs", 2, IF(raw_data!FI13 = "less than 1 hr", 1, 0))))</f>
        <v>0</v>
      </c>
      <c r="FJ13" s="60">
        <f>IF(raw_data!FJ13="tv",1,IF(raw_data!FJ13="radio",1,IF(raw_data!FJ13="newspaper",1,IF(raw_data!FJ13="internet",1,IF(raw_data!FJ13="sns",1,IF(raw_data!FJ13="na",0,2))))))</f>
        <v>1</v>
      </c>
      <c r="FK13" s="60">
        <f>IF(raw_data!FK13="tv",1,IF(raw_data!FK13="radio",1,IF(raw_data!FK13="newspaper",1,IF(raw_data!FK13="internet",1,IF(raw_data!FK13="sns",1,IF(raw_data!FK13="na",0,2))))))</f>
        <v>1</v>
      </c>
      <c r="FL13" s="60">
        <f>IF(raw_data!FL13="tv",1,IF(raw_data!FL13="radio",1,IF(raw_data!FL13="newspaper",1,IF(raw_data!FL13="internet",1,IF(raw_data!FL13="sns",1,IF(raw_data!FL13="na",0,2))))))</f>
        <v>0</v>
      </c>
      <c r="FM13">
        <f>IF(raw_data!FM13 = "4+ hrs", 4, IF(raw_data!FM13 = "2-4 hrs", 3, IF(raw_data!FM13 = "1-2 hrs", 2, IF(raw_data!FM13 = "less than 1 hr", 1, 0))))</f>
        <v>3</v>
      </c>
      <c r="FN13">
        <f>IF(raw_data!FN13 = "4+ hrs", 4, IF(raw_data!FN13 = "2-4 hrs", 3, IF(raw_data!FN13 = "1-2 hrs", 2, IF(raw_data!FN13 = "less than 1 hr", 1, 0))))</f>
        <v>3</v>
      </c>
      <c r="FO13">
        <f>IF(raw_data!FO13 = "4+ hrs", 4, IF(raw_data!FO13 = "2-4 hrs", 3, IF(raw_data!FO13 = "1-2 hrs", 2, IF(raw_data!FO13 = "less than 1 hr", 1, 0))))</f>
        <v>0</v>
      </c>
      <c r="FP13">
        <f>IF(raw_data!FP13="only news",1,IF(raw_data!FP13="mostly news",2,IF(raw_data!FP13="balanced",3,IF(raw_data!FP13="mostly entertainment",2,1))))</f>
        <v>3</v>
      </c>
      <c r="FQ13">
        <f>IF(raw_data!FQ13 = "yes", 1, 0)</f>
        <v>1</v>
      </c>
      <c r="FR13">
        <f>IF(raw_data!FR13 = "yes", 1, 0)</f>
        <v>1</v>
      </c>
      <c r="FS13">
        <f>IF(raw_data!FS13 = "yes", 1, 0)</f>
        <v>0</v>
      </c>
      <c r="FT13">
        <f>IF(raw_data!FT13 = "yes", 1, 0)</f>
        <v>1</v>
      </c>
      <c r="FU13">
        <f>IF(raw_data!FU13 = "yes", 1, 0)</f>
        <v>1</v>
      </c>
      <c r="FV13">
        <f>IF(raw_data!FV13="na",0,IF(raw_data!FV13="no",0,1))</f>
        <v>0</v>
      </c>
      <c r="FW13" s="60">
        <f>IF(raw_data!FW13="vet school", 1, IF(raw_data!FW13="symposia", 1, IF(raw_data!FW13="conferences", 1, IF(raw_data!FW13="online course", 1, IF(raw_data!FW13="websites", 1, IF(raw_data!FW13="documentary", 1, IF(raw_data!FW13="tv", 1, IF(raw_data!FW13="newspaper", 1, IF(raw_data!FW13="blogs", 1, IF(raw_data!FW13="sns", 1, IF(raw_data!FW13="na", 0, 2)))))))))))</f>
        <v>1</v>
      </c>
      <c r="FX13" s="60">
        <f>IF(raw_data!FX13="vet school", 1, IF(raw_data!FX13="symposia", 1, IF(raw_data!FX13="conferences", 1, IF(raw_data!FX13="online course", 1, IF(raw_data!FX13="websites", 1, IF(raw_data!FX13="documentary", 1, IF(raw_data!FX13="tv", 1, IF(raw_data!FX13="newspaper", 1, IF(raw_data!FX13="blogs", 1, IF(raw_data!FX13="sns", 1, IF(raw_data!FX13="na", 0, 2)))))))))))</f>
        <v>2</v>
      </c>
      <c r="FY13" s="1">
        <f>IF(raw_data!FY13="vet school", 1, IF(raw_data!FY13="symposia", 1, IF(raw_data!FY13="conferences", 1, IF(raw_data!FY13="online course", 1, IF(raw_data!FY13="websites", 1, IF(raw_data!FY13="documentary", 1, IF(raw_data!FY13="tv", 1, IF(raw_data!FY13="newspaper", 1, IF(raw_data!FY13="blogs", 1, IF(raw_data!FY13="sns", 1, IF(raw_data!FY13="na", 0, 2)))))))))))</f>
        <v>0</v>
      </c>
    </row>
  </sheetData>
  <mergeCells count="26">
    <mergeCell ref="A1:A2"/>
    <mergeCell ref="DC2:DH2"/>
    <mergeCell ref="DI2:DT2"/>
    <mergeCell ref="DU2:EB2"/>
    <mergeCell ref="BG2:BR2"/>
    <mergeCell ref="K2:O2"/>
    <mergeCell ref="Y2:AC2"/>
    <mergeCell ref="AD2:AR2"/>
    <mergeCell ref="AU2:BF2"/>
    <mergeCell ref="P2:X2"/>
    <mergeCell ref="FJ2:FO2"/>
    <mergeCell ref="FQ2:FY2"/>
    <mergeCell ref="B1:J2"/>
    <mergeCell ref="K1:AR1"/>
    <mergeCell ref="AS1:BR1"/>
    <mergeCell ref="BS1:EC1"/>
    <mergeCell ref="ED1:EW1"/>
    <mergeCell ref="FD1:FY1"/>
    <mergeCell ref="ED2:EI2"/>
    <mergeCell ref="EJ2:ET2"/>
    <mergeCell ref="EU2:EW2"/>
    <mergeCell ref="FD2:FI2"/>
    <mergeCell ref="BS2:CL2"/>
    <mergeCell ref="CM2:CP2"/>
    <mergeCell ref="CQ2:DB2"/>
    <mergeCell ref="EX1:FC2"/>
  </mergeCells>
  <hyperlinks>
    <hyperlink ref="A1" location="Intro!A1" display="Intro!A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14"/>
  <sheetViews>
    <sheetView workbookViewId="0">
      <pane xSplit="1" topLeftCell="B1" activePane="topRight" state="frozen"/>
      <selection pane="topRight" sqref="A1:A2"/>
    </sheetView>
  </sheetViews>
  <sheetFormatPr defaultRowHeight="14.5"/>
  <cols>
    <col min="1" max="1" width="11" style="157" customWidth="1"/>
    <col min="3" max="3" width="9.1796875" style="37" customWidth="1"/>
    <col min="4" max="4" width="10" style="37" customWidth="1"/>
    <col min="5" max="5" width="12.1796875" customWidth="1"/>
    <col min="6" max="6" width="10.453125" customWidth="1"/>
    <col min="7" max="7" width="9.453125" style="37" customWidth="1"/>
    <col min="8" max="8" width="10.453125" style="37" customWidth="1"/>
    <col min="9" max="9" width="12.26953125" customWidth="1"/>
    <col min="10" max="10" width="10.453125" customWidth="1"/>
    <col min="11" max="11" width="9.81640625" style="37" customWidth="1"/>
    <col min="12" max="12" width="11.54296875" style="37" customWidth="1"/>
    <col min="13" max="13" width="12.81640625" customWidth="1"/>
    <col min="14" max="14" width="11" customWidth="1"/>
    <col min="15" max="15" width="10" style="37" customWidth="1"/>
    <col min="16" max="16" width="11.26953125" style="37" customWidth="1"/>
    <col min="17" max="17" width="13.7265625" customWidth="1"/>
    <col min="19" max="19" width="9.26953125" style="37" customWidth="1"/>
    <col min="20" max="20" width="10.26953125" style="37" customWidth="1"/>
    <col min="21" max="21" width="11.81640625" customWidth="1"/>
    <col min="22" max="22" width="9.453125" customWidth="1"/>
    <col min="23" max="23" width="8.54296875" style="37" customWidth="1"/>
    <col min="24" max="24" width="10.1796875" style="37" customWidth="1"/>
    <col min="25" max="25" width="11.7265625" customWidth="1"/>
    <col min="29" max="29" width="10.54296875" customWidth="1"/>
    <col min="30" max="30" width="10.1796875" customWidth="1"/>
    <col min="31" max="31" width="8.81640625" style="37" customWidth="1"/>
    <col min="32" max="32" width="10.26953125" style="37" customWidth="1"/>
    <col min="33" max="33" width="11.81640625" customWidth="1"/>
    <col min="34" max="34" width="10" customWidth="1"/>
    <col min="35" max="35" width="9.26953125" style="37" customWidth="1"/>
    <col min="36" max="36" width="10.453125" customWidth="1"/>
    <col min="37" max="37" width="12.81640625" customWidth="1"/>
    <col min="39" max="39" width="9.1796875" style="37"/>
    <col min="40" max="40" width="10.26953125" style="37" customWidth="1"/>
    <col min="41" max="41" width="9.1796875" customWidth="1"/>
    <col min="42" max="42" width="9.81640625" customWidth="1"/>
    <col min="43" max="43" width="9.81640625" style="37" customWidth="1"/>
    <col min="44" max="44" width="10.453125" style="37" customWidth="1"/>
    <col min="45" max="45" width="12.26953125" customWidth="1"/>
    <col min="47" max="48" width="9.1796875" style="37"/>
    <col min="49" max="49" width="11" customWidth="1"/>
    <col min="51" max="52" width="9.1796875" style="37"/>
    <col min="53" max="53" width="11.7265625" customWidth="1"/>
    <col min="55" max="56" width="9.1796875" style="37"/>
    <col min="57" max="57" width="11.26953125" customWidth="1"/>
    <col min="58" max="58" width="10.26953125" customWidth="1"/>
    <col min="59" max="59" width="10" customWidth="1"/>
    <col min="60" max="60" width="10.7265625" customWidth="1"/>
    <col min="61" max="61" width="12.453125" customWidth="1"/>
    <col min="62" max="62" width="10.81640625" customWidth="1"/>
    <col min="63" max="63" width="10.81640625" style="37" customWidth="1"/>
    <col min="64" max="64" width="11.453125" style="37" customWidth="1"/>
    <col min="65" max="65" width="13.26953125" customWidth="1"/>
    <col min="66" max="66" width="12.81640625" customWidth="1"/>
    <col min="67" max="67" width="12.1796875" style="37" customWidth="1"/>
    <col min="68" max="68" width="11.81640625" customWidth="1"/>
    <col min="69" max="69" width="13.453125" customWidth="1"/>
    <col min="71" max="72" width="10.54296875" style="37" customWidth="1"/>
    <col min="73" max="73" width="12.54296875" customWidth="1"/>
    <col min="75" max="76" width="9.1796875" style="37"/>
  </cols>
  <sheetData>
    <row r="1" spans="1:77" ht="15" thickBot="1">
      <c r="A1" s="250" t="s">
        <v>322</v>
      </c>
      <c r="B1" s="255" t="s">
        <v>305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7" t="s">
        <v>314</v>
      </c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9" t="s">
        <v>307</v>
      </c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0"/>
      <c r="BF1" s="260"/>
      <c r="BG1" s="260"/>
      <c r="BH1" s="260"/>
      <c r="BI1" s="260"/>
      <c r="BJ1" s="261" t="s">
        <v>315</v>
      </c>
      <c r="BK1" s="262"/>
      <c r="BL1" s="262"/>
      <c r="BM1" s="262"/>
      <c r="BN1" s="262"/>
      <c r="BO1" s="262"/>
      <c r="BP1" s="262"/>
      <c r="BQ1" s="262"/>
      <c r="BR1" s="262"/>
      <c r="BS1" s="262"/>
      <c r="BT1" s="262"/>
      <c r="BU1" s="262"/>
      <c r="BV1" s="251" t="s">
        <v>300</v>
      </c>
      <c r="BW1" s="252"/>
      <c r="BX1" s="252"/>
      <c r="BY1" s="252"/>
    </row>
    <row r="2" spans="1:77" ht="15" thickBot="1">
      <c r="A2" s="250"/>
      <c r="B2" s="217" t="s">
        <v>282</v>
      </c>
      <c r="C2" s="218"/>
      <c r="D2" s="218"/>
      <c r="E2" s="218"/>
      <c r="F2" s="217" t="s">
        <v>283</v>
      </c>
      <c r="G2" s="218"/>
      <c r="H2" s="218"/>
      <c r="I2" s="218"/>
      <c r="J2" s="217" t="s">
        <v>284</v>
      </c>
      <c r="K2" s="218"/>
      <c r="L2" s="218"/>
      <c r="M2" s="218"/>
      <c r="N2" s="217" t="s">
        <v>285</v>
      </c>
      <c r="O2" s="218"/>
      <c r="P2" s="218"/>
      <c r="Q2" s="218"/>
      <c r="R2" s="217" t="s">
        <v>286</v>
      </c>
      <c r="S2" s="218"/>
      <c r="T2" s="218"/>
      <c r="U2" s="218"/>
      <c r="V2" s="217" t="s">
        <v>287</v>
      </c>
      <c r="W2" s="218"/>
      <c r="X2" s="218"/>
      <c r="Y2" s="218"/>
      <c r="Z2" s="217" t="s">
        <v>288</v>
      </c>
      <c r="AA2" s="218"/>
      <c r="AB2" s="218"/>
      <c r="AC2" s="218"/>
      <c r="AD2" s="217" t="s">
        <v>289</v>
      </c>
      <c r="AE2" s="218"/>
      <c r="AF2" s="218"/>
      <c r="AG2" s="218"/>
      <c r="AH2" s="217" t="s">
        <v>290</v>
      </c>
      <c r="AI2" s="218"/>
      <c r="AJ2" s="218"/>
      <c r="AK2" s="218"/>
      <c r="AL2" s="217" t="s">
        <v>291</v>
      </c>
      <c r="AM2" s="218"/>
      <c r="AN2" s="218"/>
      <c r="AO2" s="218"/>
      <c r="AP2" s="217" t="s">
        <v>310</v>
      </c>
      <c r="AQ2" s="218"/>
      <c r="AR2" s="218"/>
      <c r="AS2" s="218"/>
      <c r="AT2" s="217" t="s">
        <v>293</v>
      </c>
      <c r="AU2" s="218"/>
      <c r="AV2" s="218"/>
      <c r="AW2" s="218"/>
      <c r="AX2" s="217" t="s">
        <v>294</v>
      </c>
      <c r="AY2" s="218"/>
      <c r="AZ2" s="218"/>
      <c r="BA2" s="218"/>
      <c r="BB2" s="217" t="s">
        <v>295</v>
      </c>
      <c r="BC2" s="218"/>
      <c r="BD2" s="218"/>
      <c r="BE2" s="218"/>
      <c r="BF2" s="217" t="s">
        <v>296</v>
      </c>
      <c r="BG2" s="218"/>
      <c r="BH2" s="218"/>
      <c r="BI2" s="218"/>
      <c r="BJ2" s="217" t="s">
        <v>311</v>
      </c>
      <c r="BK2" s="218"/>
      <c r="BL2" s="218"/>
      <c r="BM2" s="218"/>
      <c r="BN2" s="217" t="s">
        <v>312</v>
      </c>
      <c r="BO2" s="218"/>
      <c r="BP2" s="218"/>
      <c r="BQ2" s="218"/>
      <c r="BR2" s="217" t="s">
        <v>313</v>
      </c>
      <c r="BS2" s="218"/>
      <c r="BT2" s="218"/>
      <c r="BU2" s="218"/>
      <c r="BV2" s="253"/>
      <c r="BW2" s="254"/>
      <c r="BX2" s="254"/>
      <c r="BY2" s="254"/>
    </row>
    <row r="3" spans="1:77" ht="15" thickBot="1">
      <c r="A3" s="157" t="s">
        <v>699</v>
      </c>
      <c r="B3" s="11" t="s">
        <v>432</v>
      </c>
      <c r="C3" s="36" t="s">
        <v>433</v>
      </c>
      <c r="D3" s="36" t="s">
        <v>434</v>
      </c>
      <c r="E3" s="11" t="s">
        <v>435</v>
      </c>
      <c r="F3" s="10" t="s">
        <v>436</v>
      </c>
      <c r="G3" s="36" t="s">
        <v>437</v>
      </c>
      <c r="H3" s="36" t="s">
        <v>438</v>
      </c>
      <c r="I3" s="11" t="s">
        <v>439</v>
      </c>
      <c r="J3" s="10" t="s">
        <v>440</v>
      </c>
      <c r="K3" s="36" t="s">
        <v>441</v>
      </c>
      <c r="L3" s="36" t="s">
        <v>442</v>
      </c>
      <c r="M3" s="11" t="s">
        <v>443</v>
      </c>
      <c r="N3" s="10" t="s">
        <v>444</v>
      </c>
      <c r="O3" s="36" t="s">
        <v>445</v>
      </c>
      <c r="P3" s="36" t="s">
        <v>446</v>
      </c>
      <c r="Q3" s="11" t="s">
        <v>447</v>
      </c>
      <c r="R3" s="10" t="s">
        <v>448</v>
      </c>
      <c r="S3" s="36" t="s">
        <v>449</v>
      </c>
      <c r="T3" s="36" t="s">
        <v>450</v>
      </c>
      <c r="U3" s="11" t="s">
        <v>451</v>
      </c>
      <c r="V3" s="10" t="s">
        <v>452</v>
      </c>
      <c r="W3" s="36" t="s">
        <v>453</v>
      </c>
      <c r="X3" s="36" t="s">
        <v>454</v>
      </c>
      <c r="Y3" s="11" t="s">
        <v>455</v>
      </c>
      <c r="Z3" s="10" t="s">
        <v>456</v>
      </c>
      <c r="AA3" s="11" t="s">
        <v>457</v>
      </c>
      <c r="AB3" s="11" t="s">
        <v>458</v>
      </c>
      <c r="AC3" s="11" t="s">
        <v>459</v>
      </c>
      <c r="AD3" s="10" t="s">
        <v>460</v>
      </c>
      <c r="AE3" s="36" t="s">
        <v>461</v>
      </c>
      <c r="AF3" s="36" t="s">
        <v>462</v>
      </c>
      <c r="AG3" s="11" t="s">
        <v>463</v>
      </c>
      <c r="AH3" s="10" t="s">
        <v>467</v>
      </c>
      <c r="AI3" s="36" t="s">
        <v>464</v>
      </c>
      <c r="AJ3" s="11" t="s">
        <v>465</v>
      </c>
      <c r="AK3" s="11" t="s">
        <v>466</v>
      </c>
      <c r="AL3" s="10" t="s">
        <v>468</v>
      </c>
      <c r="AM3" s="36" t="s">
        <v>469</v>
      </c>
      <c r="AN3" s="36" t="s">
        <v>470</v>
      </c>
      <c r="AO3" s="11" t="s">
        <v>471</v>
      </c>
      <c r="AP3" s="10" t="s">
        <v>472</v>
      </c>
      <c r="AQ3" s="36" t="s">
        <v>473</v>
      </c>
      <c r="AR3" s="36" t="s">
        <v>474</v>
      </c>
      <c r="AS3" s="11" t="s">
        <v>475</v>
      </c>
      <c r="AT3" s="10" t="s">
        <v>476</v>
      </c>
      <c r="AU3" s="36" t="s">
        <v>477</v>
      </c>
      <c r="AV3" s="36" t="s">
        <v>478</v>
      </c>
      <c r="AW3" s="11" t="s">
        <v>479</v>
      </c>
      <c r="AX3" s="10" t="s">
        <v>480</v>
      </c>
      <c r="AY3" s="36" t="s">
        <v>481</v>
      </c>
      <c r="AZ3" s="36" t="s">
        <v>482</v>
      </c>
      <c r="BA3" s="11" t="s">
        <v>483</v>
      </c>
      <c r="BB3" s="10" t="s">
        <v>484</v>
      </c>
      <c r="BC3" s="36" t="s">
        <v>485</v>
      </c>
      <c r="BD3" s="36" t="s">
        <v>486</v>
      </c>
      <c r="BE3" s="11" t="s">
        <v>487</v>
      </c>
      <c r="BF3" s="10" t="s">
        <v>488</v>
      </c>
      <c r="BG3" s="11" t="s">
        <v>489</v>
      </c>
      <c r="BH3" s="11" t="s">
        <v>490</v>
      </c>
      <c r="BI3" s="11" t="s">
        <v>491</v>
      </c>
      <c r="BJ3" s="10" t="s">
        <v>492</v>
      </c>
      <c r="BK3" s="36" t="s">
        <v>493</v>
      </c>
      <c r="BL3" s="36" t="s">
        <v>494</v>
      </c>
      <c r="BM3" s="11" t="s">
        <v>495</v>
      </c>
      <c r="BN3" s="10" t="s">
        <v>496</v>
      </c>
      <c r="BO3" s="36" t="s">
        <v>497</v>
      </c>
      <c r="BP3" s="11" t="s">
        <v>499</v>
      </c>
      <c r="BQ3" s="11" t="s">
        <v>498</v>
      </c>
      <c r="BR3" s="10" t="s">
        <v>500</v>
      </c>
      <c r="BS3" s="36" t="s">
        <v>501</v>
      </c>
      <c r="BT3" s="36" t="s">
        <v>502</v>
      </c>
      <c r="BU3" s="11" t="s">
        <v>503</v>
      </c>
      <c r="BV3" s="10" t="s">
        <v>504</v>
      </c>
      <c r="BW3" s="36" t="s">
        <v>505</v>
      </c>
      <c r="BX3" s="36" t="s">
        <v>506</v>
      </c>
      <c r="BY3" s="11" t="s">
        <v>507</v>
      </c>
    </row>
    <row r="4" spans="1:77">
      <c r="A4" s="157">
        <v>1</v>
      </c>
      <c r="B4">
        <f>SUM(coded_data!K4:O4)</f>
        <v>5</v>
      </c>
      <c r="C4" s="37">
        <f>SUM(coded_data!K4:O4) / 5</f>
        <v>1</v>
      </c>
      <c r="D4" s="40">
        <f>IF(E4="very low",1,IF(E4="low",2,IF(E4="moderate",3,IF(E4="high",4,5))))</f>
        <v>5</v>
      </c>
      <c r="E4" t="str">
        <f t="shared" ref="E4:E13" si="0">IF(C4&lt;=20%,"very low",IF(C4&lt;=40%,"low",IF(C4&lt;=60%,"moderate", IF(C4&lt;=80%,"high","very high"))))</f>
        <v>very high</v>
      </c>
      <c r="F4">
        <f>SUM(coded_data!R4:X4)</f>
        <v>5</v>
      </c>
      <c r="G4" s="37">
        <f>SUM(coded_data!R4:X4) / 4</f>
        <v>1.25</v>
      </c>
      <c r="H4" s="40">
        <f>IF(I4="very low",1,IF(I4="low",2,IF(I4="moderate",3,IF(I4="high",4,5))))</f>
        <v>5</v>
      </c>
      <c r="I4" t="str">
        <f>IF(G4&lt;=20%,"very low",IF(G4&lt;=40%,"low",IF(G4&lt;=60%,"moderate", IF(G4&lt;=80%,"high","very high"))))</f>
        <v>very high</v>
      </c>
      <c r="J4">
        <f>SUM(coded_data!Y4:AC4)</f>
        <v>8</v>
      </c>
      <c r="K4" s="37">
        <f>SUM(coded_data!Y4:AC4) / 8</f>
        <v>1</v>
      </c>
      <c r="L4" s="40">
        <f t="shared" ref="L4:L13" si="1">IF(M4="very low",1,IF(M4="low",2,IF(M4="moderate",3,IF(M4="high",4,5))))</f>
        <v>5</v>
      </c>
      <c r="M4" t="str">
        <f>IF(K4&lt;=20%,"very low",IF(K4&lt;=40%,"low",IF(K4&lt;=60%,"moderate", IF(K4&lt;=80%,"high","very high"))))</f>
        <v>very high</v>
      </c>
      <c r="N4">
        <f>SUM(coded_data!AD4:AR4)</f>
        <v>22</v>
      </c>
      <c r="O4" s="37">
        <f>SUM(coded_data!AD4:AR4)/29</f>
        <v>0.75862068965517238</v>
      </c>
      <c r="P4" s="40">
        <f t="shared" ref="P4:P13" si="2">IF(Q4="very low",1,IF(Q4="low",2,IF(Q4="moderate",3,IF(Q4="high",4,5))))</f>
        <v>4</v>
      </c>
      <c r="Q4" t="str">
        <f>IF(O4&lt;=20%,"very low",IF(O4&lt;=40%,"low",IF(O4&lt;=60%,"moderate", IF(O4&lt;=80%,"high","very high"))))</f>
        <v>high</v>
      </c>
      <c r="R4">
        <f>SUM(coded_data!AS4)</f>
        <v>5</v>
      </c>
      <c r="S4" s="37">
        <f>SUM(coded_data!AS4) / 5</f>
        <v>1</v>
      </c>
      <c r="T4" s="40">
        <f t="shared" ref="T4:T13" si="3">IF(U4="very low",1,IF(U4="low",2,IF(U4="moderate",3,IF(U4="high",4,5))))</f>
        <v>5</v>
      </c>
      <c r="U4" t="str">
        <f>IF(S4&lt;=20%,"very low",IF(S4&lt;=40%,"low",IF(S4&lt;=60%,"moderate", IF(S4&lt;=80%,"high","very high"))))</f>
        <v>very high</v>
      </c>
      <c r="V4">
        <f>SUM(coded_data!AT4)</f>
        <v>4</v>
      </c>
      <c r="W4" s="37">
        <f>SUM(coded_data!AT4) / 5</f>
        <v>0.8</v>
      </c>
      <c r="X4" s="40">
        <f t="shared" ref="X4:X13" si="4">IF(Y4="very low",1,IF(Y4="low",2,IF(Y4="moderate",3,IF(Y4="high",4,5))))</f>
        <v>4</v>
      </c>
      <c r="Y4" t="str">
        <f>IF(W4&lt;=20%,"very low",IF(W4&lt;=40%,"low",IF(W4&lt;=60%,"moderate", IF(W4&lt;=80%,"high","very high"))))</f>
        <v>high</v>
      </c>
      <c r="Z4">
        <f>SUM(coded_data!AU4:BF4)</f>
        <v>52</v>
      </c>
      <c r="AA4" s="37">
        <f>SUM(coded_data!AU4:BF4) / 60</f>
        <v>0.8666666666666667</v>
      </c>
      <c r="AB4" s="40">
        <f t="shared" ref="AB4:AB13" si="5">IF(AC4="very low",1,IF(AC4="low",2,IF(AC4="moderate",3,IF(AC4="high",4,5))))</f>
        <v>5</v>
      </c>
      <c r="AC4" t="str">
        <f>IF(AA4&lt;=20%,"very low",IF(AA4&lt;=40%,"low",IF(AA4&lt;=60%,"moderate", IF(AA4&lt;=80%,"high","very high"))))</f>
        <v>very high</v>
      </c>
      <c r="AD4">
        <f>SUM(coded_data!BG4:BR4)</f>
        <v>45</v>
      </c>
      <c r="AE4" s="37">
        <f>SUM(coded_data!BG4:BR4) / 60</f>
        <v>0.75</v>
      </c>
      <c r="AF4" s="40">
        <f t="shared" ref="AF4:AF13" si="6">IF(AG4="very low",1,IF(AG4="low",2,IF(AG4="moderate",3,IF(AG4="high",4,5))))</f>
        <v>4</v>
      </c>
      <c r="AG4" t="str">
        <f>IF(AE4&lt;=20%,"very low",IF(AE4&lt;=40%,"low",IF(AE4&lt;=60%,"moderate", IF(AE4&lt;=80%,"high","very high"))))</f>
        <v>high</v>
      </c>
      <c r="AH4">
        <f>SUM(coded_data!BS4:CL4)</f>
        <v>14</v>
      </c>
      <c r="AI4" s="37">
        <f>SUM(coded_data!BS4:CL4) / 20</f>
        <v>0.7</v>
      </c>
      <c r="AJ4" s="40">
        <f t="shared" ref="AJ4:AJ13" si="7">IF(AK4="very low",1,IF(AK4="low",2,IF(AK4="moderate",3,IF(AK4="high",4,5))))</f>
        <v>4</v>
      </c>
      <c r="AK4" t="str">
        <f t="shared" ref="AK4:AK13" si="8">IF(AI4&lt;=20%,"very low",IF(AI4&lt;=40%,"low",IF(AI4&lt;=60%,"moderate", IF(AI4&lt;=80%,"high","very high"))))</f>
        <v>high</v>
      </c>
      <c r="AL4">
        <f>SUM(coded_data!CM4:CP4)</f>
        <v>3</v>
      </c>
      <c r="AM4" s="37">
        <f>SUM(coded_data!CM4:CP4) / 4</f>
        <v>0.75</v>
      </c>
      <c r="AN4" s="40">
        <f t="shared" ref="AN4:AN13" si="9">IF(AO4="very low",1,IF(AO4="low",2,IF(AO4="moderate",3,IF(AO4="high",4,5))))</f>
        <v>4</v>
      </c>
      <c r="AO4" t="str">
        <f t="shared" ref="AO4:AO13" si="10">IF(AM4&lt;=20%,"very low",IF(AM4&lt;=40%,"low",IF(AM4&lt;=60%,"moderate", IF(AM4&lt;=80%,"high","very high"))))</f>
        <v>high</v>
      </c>
      <c r="AP4">
        <f>SUM(coded_data!CQ4:DB4)</f>
        <v>6</v>
      </c>
      <c r="AQ4" s="37">
        <f>SUM(coded_data!CQ4:DB4) / 12</f>
        <v>0.5</v>
      </c>
      <c r="AR4" s="40">
        <f t="shared" ref="AR4:AR13" si="11">IF(AS4="very low",1,IF(AS4="low",2,IF(AS4="moderate",3,IF(AS4="high",4,5))))</f>
        <v>3</v>
      </c>
      <c r="AS4" t="str">
        <f t="shared" ref="AS4:AS13" si="12">IF(AQ4&lt;=20%,"very low",IF(AQ4&lt;=40%,"low",IF(AQ4&lt;=60%,"moderate", IF(AQ4&lt;=80%,"high","very high"))))</f>
        <v>moderate</v>
      </c>
      <c r="AT4">
        <f>SUM(coded_data!DC4:DH4)</f>
        <v>5</v>
      </c>
      <c r="AU4" s="37">
        <f>SUM(coded_data!DC4:DH4) / 6</f>
        <v>0.83333333333333337</v>
      </c>
      <c r="AV4" s="40">
        <f t="shared" ref="AV4:AV13" si="13">IF(AW4="very low",1,IF(AW4="low",2,IF(AW4="moderate",3,IF(AW4="high",4,5))))</f>
        <v>5</v>
      </c>
      <c r="AW4" t="str">
        <f t="shared" ref="AW4:AW13" si="14">IF(AU4&lt;=20%,"very low",IF(AU4&lt;=40%,"low",IF(AU4&lt;=60%,"moderate", IF(AU4&lt;=80%,"high","very high"))))</f>
        <v>very high</v>
      </c>
      <c r="AX4">
        <f>SUM(coded_data!DI4:DT4)</f>
        <v>9</v>
      </c>
      <c r="AY4" s="37">
        <f>SUM(coded_data!DI4:DT4) / 12</f>
        <v>0.75</v>
      </c>
      <c r="AZ4" s="40">
        <f t="shared" ref="AZ4:AZ13" si="15">IF(BA4="very low",1,IF(BA4="low",2,IF(BA4="moderate",3,IF(BA4="high",4,5))))</f>
        <v>4</v>
      </c>
      <c r="BA4" t="str">
        <f t="shared" ref="BA4:BA13" si="16">IF(AY4&lt;=20%,"very low",IF(AY4&lt;=40%,"low",IF(AY4&lt;=60%,"moderate", IF(AY4&lt;=80%,"high","very high"))))</f>
        <v>high</v>
      </c>
      <c r="BB4">
        <f>SUM(coded_data!DU4:EB4)</f>
        <v>6</v>
      </c>
      <c r="BC4" s="37">
        <f>SUM(coded_data!DU4:EB4) / 8</f>
        <v>0.75</v>
      </c>
      <c r="BD4" s="40">
        <f t="shared" ref="BD4:BD13" si="17">IF(BE4="very low",1,IF(BE4="low",2,IF(BE4="moderate",3,IF(BE4="high",4,5))))</f>
        <v>4</v>
      </c>
      <c r="BE4" t="str">
        <f t="shared" ref="BE4:BE13" si="18">IF(BC4&lt;=20%,"very low",IF(BC4&lt;=40%,"low",IF(BC4&lt;=60%,"moderate", IF(BC4&lt;=80%,"high","very high"))))</f>
        <v>high</v>
      </c>
      <c r="BF4">
        <f>SUM(coded_data!EC4)</f>
        <v>0</v>
      </c>
      <c r="BG4" s="37">
        <f>SUM(coded_data!EC4)</f>
        <v>0</v>
      </c>
      <c r="BH4" s="40">
        <f t="shared" ref="BH4:BH13" si="19">IF(BI4="very low",1,IF(BI4="low",2,IF(BI4="moderate",3,IF(BI4="high",4,5))))</f>
        <v>1</v>
      </c>
      <c r="BI4" t="str">
        <f t="shared" ref="BI4:BI13" si="20">IF(BG4&lt;=20%,"very low",IF(BG4&lt;=40%,"low",IF(BG4&lt;=60%,"moderate", IF(BG4&lt;=80%,"high","very high"))))</f>
        <v>very low</v>
      </c>
      <c r="BJ4">
        <f>SUM(coded_data!ED4:EI4)</f>
        <v>6</v>
      </c>
      <c r="BK4" s="37">
        <f>SUM(coded_data!ED4:EI4) / 6</f>
        <v>1</v>
      </c>
      <c r="BL4" s="40">
        <f t="shared" ref="BL4:BL13" si="21">IF(BM4="very low",1,IF(BM4="low",2,IF(BM4="moderate",3,IF(BM4="high",4,5))))</f>
        <v>5</v>
      </c>
      <c r="BM4" t="str">
        <f t="shared" ref="BM4:BM13" si="22">IF(BK4&lt;=20%,"very low",IF(BK4&lt;=40%,"low",IF(BK4&lt;=60%,"moderate", IF(BK4&lt;=80%,"high","very high"))))</f>
        <v>very high</v>
      </c>
      <c r="BN4">
        <f>SUM(coded_data!EJ4:ET4)</f>
        <v>9</v>
      </c>
      <c r="BO4" s="37">
        <f>(SUM(coded_data!EJ4:ET4)/11)</f>
        <v>0.81818181818181823</v>
      </c>
      <c r="BP4" s="40">
        <f t="shared" ref="BP4:BP13" si="23">IF(BQ4="very low",1,IF(BQ4="low",2,IF(BQ4="moderate",3,IF(BQ4="high",4,5))))</f>
        <v>5</v>
      </c>
      <c r="BQ4" t="str">
        <f t="shared" ref="BQ4:BQ13" si="24">IF(BO4&lt;=20%,"very low",IF(BO4&lt;=40%,"low",IF(BO4&lt;=60%,"moderate", IF(BO4&lt;=80%,"high","very high"))))</f>
        <v>very high</v>
      </c>
      <c r="BR4">
        <f>SUM(coded_data!EU4:EW4)</f>
        <v>4</v>
      </c>
      <c r="BS4" s="37">
        <f>SUM(coded_data!EU4:EW4) / 4</f>
        <v>1</v>
      </c>
      <c r="BT4" s="40">
        <f t="shared" ref="BT4:BT13" si="25">IF(BU4="very low",1,IF(BU4="low",2,IF(BU4="moderate",3,IF(BU4="high",4,5))))</f>
        <v>5</v>
      </c>
      <c r="BU4" t="str">
        <f t="shared" ref="BU4:BU13" si="26">IF(BS4&lt;=20%,"very low",IF(BS4&lt;=40%,"low",IF(BS4&lt;=60%,"moderate", IF(BS4&lt;=80%,"high","very high"))))</f>
        <v>very high</v>
      </c>
      <c r="BV4">
        <f>SUM(coded_data!EX4:FC4)</f>
        <v>4</v>
      </c>
      <c r="BW4" s="37">
        <f>SUM(coded_data!EX4:FA4) / 5</f>
        <v>0.8</v>
      </c>
      <c r="BX4" s="40">
        <f t="shared" ref="BX4:BX13" si="27">IF(BY4="very low",1,IF(BY4="low",2,IF(BY4="moderate",3,IF(BY4="high",4,5))))</f>
        <v>4</v>
      </c>
      <c r="BY4" t="str">
        <f t="shared" ref="BY4:BY13" si="28">IF(BW4&lt;=20%,"very low",IF(BW4&lt;=40%,"low",IF(BW4&lt;=60%,"moderate", IF(BW4&lt;=80%,"high","very high"))))</f>
        <v>high</v>
      </c>
    </row>
    <row r="5" spans="1:77">
      <c r="A5" s="157">
        <v>2</v>
      </c>
      <c r="B5">
        <f>SUM(coded_data!K5:O5)</f>
        <v>2</v>
      </c>
      <c r="C5" s="37">
        <f>SUM(coded_data!K5:O5) / 5</f>
        <v>0.4</v>
      </c>
      <c r="D5" s="40">
        <f t="shared" ref="D5:D13" si="29">IF(E5="very low",1,IF(E5="low",2,IF(E5="moderate",3,IF(E5="high",4,5))))</f>
        <v>2</v>
      </c>
      <c r="E5" t="str">
        <f t="shared" si="0"/>
        <v>low</v>
      </c>
      <c r="F5" s="60">
        <f>SUM(coded_data!R5:X5)</f>
        <v>0</v>
      </c>
      <c r="G5" s="37">
        <f>SUM(coded_data!R5:X5) / 4</f>
        <v>0</v>
      </c>
      <c r="H5" s="40">
        <f t="shared" ref="H5:H13" si="30">IF(I5="very low",1,IF(I5="low",2,IF(I5="moderate",3,IF(I5="high",4,5))))</f>
        <v>1</v>
      </c>
      <c r="I5" t="str">
        <f t="shared" ref="I5:I13" si="31">IF(G5&lt;=20%,"very low",IF(G5&lt;=40%,"low",IF(G5&lt;=60%,"moderate", IF(G5&lt;=80%,"high","very high"))))</f>
        <v>very low</v>
      </c>
      <c r="J5">
        <f>SUM(coded_data!Y5:AC5)</f>
        <v>2</v>
      </c>
      <c r="K5" s="37">
        <f>SUM(coded_data!Y5:AC5) / 8</f>
        <v>0.25</v>
      </c>
      <c r="L5" s="40">
        <f t="shared" si="1"/>
        <v>2</v>
      </c>
      <c r="M5" t="str">
        <f t="shared" ref="M5:M13" si="32">IF(K5&lt;=20%,"very low",IF(K5&lt;=40%,"low",IF(K5&lt;=60%,"moderate", IF(K5&lt;=80%,"high","very high"))))</f>
        <v>low</v>
      </c>
      <c r="N5">
        <f>SUM(coded_data!AD5:AR5)</f>
        <v>0</v>
      </c>
      <c r="O5" s="37">
        <f>SUM(coded_data!AD5:AR5)/29</f>
        <v>0</v>
      </c>
      <c r="P5" s="40">
        <f t="shared" si="2"/>
        <v>1</v>
      </c>
      <c r="Q5" t="str">
        <f t="shared" ref="Q5:Q13" si="33">IF(O5&lt;=20%,"very low",IF(O5&lt;=40%,"low",IF(O5&lt;=60%,"moderate", IF(O5&lt;=80%,"high","very high"))))</f>
        <v>very low</v>
      </c>
      <c r="R5">
        <f>SUM(coded_data!AS5)</f>
        <v>4</v>
      </c>
      <c r="S5" s="37">
        <f>SUM(coded_data!AS5) / 5</f>
        <v>0.8</v>
      </c>
      <c r="T5" s="40">
        <f t="shared" si="3"/>
        <v>4</v>
      </c>
      <c r="U5" t="str">
        <f t="shared" ref="U5:U13" si="34">IF(S5&lt;=20%,"very low",IF(S5&lt;=40%,"low",IF(S5&lt;=60%,"moderate", IF(S5&lt;=80%,"high","very high"))))</f>
        <v>high</v>
      </c>
      <c r="V5">
        <f>SUM(coded_data!AT5)</f>
        <v>4</v>
      </c>
      <c r="W5" s="37">
        <f>SUM(coded_data!AT5) / 5</f>
        <v>0.8</v>
      </c>
      <c r="X5" s="40">
        <f t="shared" si="4"/>
        <v>4</v>
      </c>
      <c r="Y5" t="str">
        <f t="shared" ref="Y5:Y13" si="35">IF(W5&lt;=20%,"very low",IF(W5&lt;=40%,"low",IF(W5&lt;=60%,"moderate", IF(W5&lt;=80%,"high","very high"))))</f>
        <v>high</v>
      </c>
      <c r="Z5">
        <f>SUM(coded_data!AU5:BF5)</f>
        <v>50</v>
      </c>
      <c r="AA5" s="37">
        <f>SUM(coded_data!AU5:BF5) / 60</f>
        <v>0.83333333333333337</v>
      </c>
      <c r="AB5" s="40">
        <f t="shared" si="5"/>
        <v>5</v>
      </c>
      <c r="AC5" t="str">
        <f t="shared" ref="AC5:AC13" si="36">IF(AA5&lt;=20%,"very low",IF(AA5&lt;=40%,"low",IF(AA5&lt;=60%,"moderate", IF(AA5&lt;=80%,"high","very high"))))</f>
        <v>very high</v>
      </c>
      <c r="AD5">
        <f>SUM(coded_data!BG5:BR5)</f>
        <v>40</v>
      </c>
      <c r="AE5" s="37">
        <f>SUM(coded_data!BG5:BR5) / 60</f>
        <v>0.66666666666666663</v>
      </c>
      <c r="AF5" s="40">
        <f t="shared" si="6"/>
        <v>4</v>
      </c>
      <c r="AG5" t="str">
        <f t="shared" ref="AG5:AG13" si="37">IF(AE5&lt;=20%,"very low",IF(AE5&lt;=40%,"low",IF(AE5&lt;=60%,"moderate", IF(AE5&lt;=80%,"high","very high"))))</f>
        <v>high</v>
      </c>
      <c r="AH5">
        <f>SUM(coded_data!BS5:CL5)</f>
        <v>9</v>
      </c>
      <c r="AI5" s="37">
        <f>SUM(coded_data!BS5:CL5) / 20</f>
        <v>0.45</v>
      </c>
      <c r="AJ5" s="40">
        <f t="shared" si="7"/>
        <v>3</v>
      </c>
      <c r="AK5" t="str">
        <f t="shared" si="8"/>
        <v>moderate</v>
      </c>
      <c r="AL5">
        <f>SUM(coded_data!CM5:CP5)</f>
        <v>2</v>
      </c>
      <c r="AM5" s="37">
        <f>SUM(coded_data!CM5:CP5) / 4</f>
        <v>0.5</v>
      </c>
      <c r="AN5" s="40">
        <f t="shared" si="9"/>
        <v>3</v>
      </c>
      <c r="AO5" t="str">
        <f t="shared" si="10"/>
        <v>moderate</v>
      </c>
      <c r="AP5">
        <f>SUM(coded_data!CQ5:DB5)</f>
        <v>4</v>
      </c>
      <c r="AQ5" s="37">
        <f>SUM(coded_data!CQ5:DB5) / 12</f>
        <v>0.33333333333333331</v>
      </c>
      <c r="AR5" s="40">
        <f t="shared" si="11"/>
        <v>2</v>
      </c>
      <c r="AS5" t="str">
        <f t="shared" si="12"/>
        <v>low</v>
      </c>
      <c r="AT5">
        <f>SUM(coded_data!DC5:DH5)</f>
        <v>4</v>
      </c>
      <c r="AU5" s="37">
        <f>SUM(coded_data!DC5:DH5) / 6</f>
        <v>0.66666666666666663</v>
      </c>
      <c r="AV5" s="40">
        <f t="shared" si="13"/>
        <v>4</v>
      </c>
      <c r="AW5" t="str">
        <f t="shared" si="14"/>
        <v>high</v>
      </c>
      <c r="AX5">
        <f>SUM(coded_data!DI5:DT5)</f>
        <v>7</v>
      </c>
      <c r="AY5" s="37">
        <f>SUM(coded_data!DI5:DT5) / 12</f>
        <v>0.58333333333333337</v>
      </c>
      <c r="AZ5" s="40">
        <f t="shared" si="15"/>
        <v>3</v>
      </c>
      <c r="BA5" t="str">
        <f t="shared" si="16"/>
        <v>moderate</v>
      </c>
      <c r="BB5">
        <f>SUM(coded_data!DU5:EB5)</f>
        <v>5</v>
      </c>
      <c r="BC5" s="37">
        <f>SUM(coded_data!DU5:EB5) / 8</f>
        <v>0.625</v>
      </c>
      <c r="BD5" s="40">
        <f t="shared" si="17"/>
        <v>4</v>
      </c>
      <c r="BE5" t="str">
        <f t="shared" si="18"/>
        <v>high</v>
      </c>
      <c r="BF5">
        <f>SUM(coded_data!EC5)</f>
        <v>0</v>
      </c>
      <c r="BG5" s="37">
        <f>SUM(coded_data!EC5)</f>
        <v>0</v>
      </c>
      <c r="BH5" s="40">
        <f t="shared" si="19"/>
        <v>1</v>
      </c>
      <c r="BI5" t="str">
        <f t="shared" si="20"/>
        <v>very low</v>
      </c>
      <c r="BJ5">
        <f>SUM(coded_data!ED5:EI5)</f>
        <v>0</v>
      </c>
      <c r="BK5" s="37">
        <f>SUM(coded_data!ED5:EI5) / 6</f>
        <v>0</v>
      </c>
      <c r="BL5" s="40">
        <f t="shared" si="21"/>
        <v>1</v>
      </c>
      <c r="BM5" t="str">
        <f t="shared" si="22"/>
        <v>very low</v>
      </c>
      <c r="BN5">
        <f>SUM(coded_data!EJ5:ET5)</f>
        <v>5</v>
      </c>
      <c r="BO5" s="37">
        <f>(SUM(coded_data!EJ5:ET5)/11)</f>
        <v>0.45454545454545453</v>
      </c>
      <c r="BP5" s="40">
        <f t="shared" si="23"/>
        <v>3</v>
      </c>
      <c r="BQ5" t="str">
        <f t="shared" si="24"/>
        <v>moderate</v>
      </c>
      <c r="BR5">
        <f>SUM(coded_data!EU5:EW5)</f>
        <v>2</v>
      </c>
      <c r="BS5" s="37">
        <f>SUM(coded_data!EU5:EW5) / 4</f>
        <v>0.5</v>
      </c>
      <c r="BT5" s="40">
        <f t="shared" si="25"/>
        <v>3</v>
      </c>
      <c r="BU5" t="str">
        <f t="shared" si="26"/>
        <v>moderate</v>
      </c>
      <c r="BV5" s="60">
        <f>SUM(coded_data!EX5:FC5)</f>
        <v>6</v>
      </c>
      <c r="BW5" s="37">
        <f>SUM(coded_data!EX5:FA5) / 5</f>
        <v>1</v>
      </c>
      <c r="BX5" s="40">
        <f t="shared" si="27"/>
        <v>5</v>
      </c>
      <c r="BY5" t="str">
        <f t="shared" si="28"/>
        <v>very high</v>
      </c>
    </row>
    <row r="6" spans="1:77">
      <c r="A6" s="157">
        <v>3</v>
      </c>
      <c r="B6">
        <f>SUM(coded_data!K6:O6)</f>
        <v>3</v>
      </c>
      <c r="C6" s="37">
        <f>SUM(coded_data!K6:O6) / 5</f>
        <v>0.6</v>
      </c>
      <c r="D6" s="40">
        <f t="shared" si="29"/>
        <v>3</v>
      </c>
      <c r="E6" t="str">
        <f t="shared" si="0"/>
        <v>moderate</v>
      </c>
      <c r="F6" s="60">
        <f>SUM(coded_data!R6:X6)</f>
        <v>5</v>
      </c>
      <c r="G6" s="37">
        <f>SUM(coded_data!R6:X6) / 4</f>
        <v>1.25</v>
      </c>
      <c r="H6" s="40">
        <f t="shared" si="30"/>
        <v>5</v>
      </c>
      <c r="I6" t="str">
        <f t="shared" si="31"/>
        <v>very high</v>
      </c>
      <c r="J6">
        <f>SUM(coded_data!Y6:AC6)</f>
        <v>6</v>
      </c>
      <c r="K6" s="37">
        <f>SUM(coded_data!Y6:AC6) / 8</f>
        <v>0.75</v>
      </c>
      <c r="L6" s="40">
        <f t="shared" si="1"/>
        <v>4</v>
      </c>
      <c r="M6" t="str">
        <f t="shared" si="32"/>
        <v>high</v>
      </c>
      <c r="N6">
        <f>SUM(coded_data!AD6:AR6)</f>
        <v>16</v>
      </c>
      <c r="O6" s="37">
        <f>SUM(coded_data!AD6:AR6)/29</f>
        <v>0.55172413793103448</v>
      </c>
      <c r="P6" s="40">
        <f t="shared" si="2"/>
        <v>3</v>
      </c>
      <c r="Q6" t="str">
        <f t="shared" si="33"/>
        <v>moderate</v>
      </c>
      <c r="R6">
        <f>SUM(coded_data!AS6)</f>
        <v>4</v>
      </c>
      <c r="S6" s="37">
        <f>SUM(coded_data!AS6) / 5</f>
        <v>0.8</v>
      </c>
      <c r="T6" s="40">
        <f t="shared" si="3"/>
        <v>4</v>
      </c>
      <c r="U6" t="str">
        <f t="shared" si="34"/>
        <v>high</v>
      </c>
      <c r="V6">
        <f>SUM(coded_data!AT6)</f>
        <v>3</v>
      </c>
      <c r="W6" s="37">
        <f>SUM(coded_data!AT6) / 5</f>
        <v>0.6</v>
      </c>
      <c r="X6" s="40">
        <f t="shared" si="4"/>
        <v>3</v>
      </c>
      <c r="Y6" t="str">
        <f t="shared" si="35"/>
        <v>moderate</v>
      </c>
      <c r="Z6">
        <f>SUM(coded_data!AU6:BF6)</f>
        <v>52</v>
      </c>
      <c r="AA6" s="37">
        <f>SUM(coded_data!AU6:BF6) / 60</f>
        <v>0.8666666666666667</v>
      </c>
      <c r="AB6" s="40">
        <f t="shared" si="5"/>
        <v>5</v>
      </c>
      <c r="AC6" t="str">
        <f t="shared" si="36"/>
        <v>very high</v>
      </c>
      <c r="AD6">
        <f>SUM(coded_data!BG6:BR6)</f>
        <v>50</v>
      </c>
      <c r="AE6" s="37">
        <f>SUM(coded_data!BG6:BR6) / 60</f>
        <v>0.83333333333333337</v>
      </c>
      <c r="AF6" s="40">
        <f t="shared" si="6"/>
        <v>5</v>
      </c>
      <c r="AG6" t="str">
        <f t="shared" si="37"/>
        <v>very high</v>
      </c>
      <c r="AH6">
        <f>SUM(coded_data!BS6:CL6)</f>
        <v>14</v>
      </c>
      <c r="AI6" s="37">
        <f>SUM(coded_data!BS6:CL6) / 20</f>
        <v>0.7</v>
      </c>
      <c r="AJ6" s="40">
        <f t="shared" si="7"/>
        <v>4</v>
      </c>
      <c r="AK6" t="str">
        <f t="shared" si="8"/>
        <v>high</v>
      </c>
      <c r="AL6">
        <f>SUM(coded_data!CM6:CP6)</f>
        <v>2</v>
      </c>
      <c r="AM6" s="37">
        <f>SUM(coded_data!CM6:CP6) / 4</f>
        <v>0.5</v>
      </c>
      <c r="AN6" s="40">
        <f t="shared" si="9"/>
        <v>3</v>
      </c>
      <c r="AO6" t="str">
        <f t="shared" si="10"/>
        <v>moderate</v>
      </c>
      <c r="AP6">
        <f>SUM(coded_data!CQ6:DB6)</f>
        <v>4</v>
      </c>
      <c r="AQ6" s="37">
        <f>SUM(coded_data!CQ6:DB6) / 12</f>
        <v>0.33333333333333331</v>
      </c>
      <c r="AR6" s="40">
        <f t="shared" si="11"/>
        <v>2</v>
      </c>
      <c r="AS6" t="str">
        <f t="shared" si="12"/>
        <v>low</v>
      </c>
      <c r="AT6">
        <f>SUM(coded_data!DC6:DH6)</f>
        <v>6</v>
      </c>
      <c r="AU6" s="37">
        <f>SUM(coded_data!DC6:DH6) / 6</f>
        <v>1</v>
      </c>
      <c r="AV6" s="40">
        <f t="shared" si="13"/>
        <v>5</v>
      </c>
      <c r="AW6" t="str">
        <f t="shared" si="14"/>
        <v>very high</v>
      </c>
      <c r="AX6">
        <f>SUM(coded_data!DI6:DT6)</f>
        <v>11</v>
      </c>
      <c r="AY6" s="37">
        <f>SUM(coded_data!DI6:DT6) / 12</f>
        <v>0.91666666666666663</v>
      </c>
      <c r="AZ6" s="40">
        <f t="shared" si="15"/>
        <v>5</v>
      </c>
      <c r="BA6" t="str">
        <f t="shared" si="16"/>
        <v>very high</v>
      </c>
      <c r="BB6">
        <f>SUM(coded_data!DU6:EB6)</f>
        <v>6</v>
      </c>
      <c r="BC6" s="37">
        <f>SUM(coded_data!DU6:EB6) / 8</f>
        <v>0.75</v>
      </c>
      <c r="BD6" s="40">
        <f t="shared" si="17"/>
        <v>4</v>
      </c>
      <c r="BE6" t="str">
        <f t="shared" si="18"/>
        <v>high</v>
      </c>
      <c r="BF6">
        <f>SUM(coded_data!EC6)</f>
        <v>0</v>
      </c>
      <c r="BG6" s="37">
        <f>SUM(coded_data!EC6)</f>
        <v>0</v>
      </c>
      <c r="BH6" s="40">
        <f t="shared" si="19"/>
        <v>1</v>
      </c>
      <c r="BI6" t="str">
        <f t="shared" si="20"/>
        <v>very low</v>
      </c>
      <c r="BJ6">
        <f>SUM(coded_data!ED6:EI6)</f>
        <v>6</v>
      </c>
      <c r="BK6" s="37">
        <f>SUM(coded_data!ED6:EI6) / 6</f>
        <v>1</v>
      </c>
      <c r="BL6" s="40">
        <f t="shared" si="21"/>
        <v>5</v>
      </c>
      <c r="BM6" t="str">
        <f t="shared" si="22"/>
        <v>very high</v>
      </c>
      <c r="BN6">
        <f>SUM(coded_data!EJ6:ET6)</f>
        <v>4</v>
      </c>
      <c r="BO6" s="37">
        <f>(SUM(coded_data!EJ6:ET6)/11)</f>
        <v>0.36363636363636365</v>
      </c>
      <c r="BP6" s="40">
        <f t="shared" si="23"/>
        <v>2</v>
      </c>
      <c r="BQ6" t="str">
        <f t="shared" si="24"/>
        <v>low</v>
      </c>
      <c r="BR6">
        <f>SUM(coded_data!EU6:EW6)</f>
        <v>4</v>
      </c>
      <c r="BS6" s="37">
        <f>SUM(coded_data!EU6:EW6) / 4</f>
        <v>1</v>
      </c>
      <c r="BT6" s="40">
        <f t="shared" si="25"/>
        <v>5</v>
      </c>
      <c r="BU6" t="str">
        <f t="shared" si="26"/>
        <v>very high</v>
      </c>
      <c r="BV6" s="60">
        <f>SUM(coded_data!EX6:FC6)</f>
        <v>6</v>
      </c>
      <c r="BW6" s="37">
        <f>SUM(coded_data!EX6:FA6) / 5</f>
        <v>1</v>
      </c>
      <c r="BX6" s="40">
        <f t="shared" si="27"/>
        <v>5</v>
      </c>
      <c r="BY6" t="str">
        <f t="shared" si="28"/>
        <v>very high</v>
      </c>
    </row>
    <row r="7" spans="1:77">
      <c r="A7" s="157">
        <v>4</v>
      </c>
      <c r="B7">
        <f>SUM(coded_data!K7:O7)</f>
        <v>1</v>
      </c>
      <c r="C7" s="37">
        <f>SUM(coded_data!K7:O7) / 5</f>
        <v>0.2</v>
      </c>
      <c r="D7" s="40">
        <f t="shared" si="29"/>
        <v>1</v>
      </c>
      <c r="E7" t="str">
        <f t="shared" si="0"/>
        <v>very low</v>
      </c>
      <c r="F7" s="60">
        <f>SUM(coded_data!R7:X7)</f>
        <v>1</v>
      </c>
      <c r="G7" s="37">
        <f>SUM(coded_data!R7:X7) / 4</f>
        <v>0.25</v>
      </c>
      <c r="H7" s="40">
        <f t="shared" si="30"/>
        <v>2</v>
      </c>
      <c r="I7" t="str">
        <f t="shared" si="31"/>
        <v>low</v>
      </c>
      <c r="J7">
        <f>SUM(coded_data!Y7:AC7)</f>
        <v>1</v>
      </c>
      <c r="K7" s="37">
        <f>SUM(coded_data!Y7:AC7) / 8</f>
        <v>0.125</v>
      </c>
      <c r="L7" s="40">
        <f t="shared" si="1"/>
        <v>1</v>
      </c>
      <c r="M7" t="str">
        <f t="shared" si="32"/>
        <v>very low</v>
      </c>
      <c r="N7">
        <f>SUM(coded_data!AD7:AR7)</f>
        <v>0</v>
      </c>
      <c r="O7" s="37">
        <f>SUM(coded_data!AD7:AR7)/29</f>
        <v>0</v>
      </c>
      <c r="P7" s="40">
        <f t="shared" si="2"/>
        <v>1</v>
      </c>
      <c r="Q7" t="str">
        <f t="shared" si="33"/>
        <v>very low</v>
      </c>
      <c r="R7">
        <f>SUM(coded_data!AS7)</f>
        <v>4</v>
      </c>
      <c r="S7" s="37">
        <f>SUM(coded_data!AS7) / 5</f>
        <v>0.8</v>
      </c>
      <c r="T7" s="40">
        <f t="shared" si="3"/>
        <v>4</v>
      </c>
      <c r="U7" t="str">
        <f t="shared" si="34"/>
        <v>high</v>
      </c>
      <c r="V7">
        <f>SUM(coded_data!AT7)</f>
        <v>3</v>
      </c>
      <c r="W7" s="37">
        <f>SUM(coded_data!AT7) / 5</f>
        <v>0.6</v>
      </c>
      <c r="X7" s="40">
        <f t="shared" si="4"/>
        <v>3</v>
      </c>
      <c r="Y7" t="str">
        <f t="shared" si="35"/>
        <v>moderate</v>
      </c>
      <c r="Z7">
        <f>SUM(coded_data!AU7:BF7)</f>
        <v>47</v>
      </c>
      <c r="AA7" s="37">
        <f>SUM(coded_data!AU7:BF7) / 60</f>
        <v>0.78333333333333333</v>
      </c>
      <c r="AB7" s="40">
        <f t="shared" si="5"/>
        <v>4</v>
      </c>
      <c r="AC7" t="str">
        <f t="shared" si="36"/>
        <v>high</v>
      </c>
      <c r="AD7">
        <f>SUM(coded_data!BG7:BR7)</f>
        <v>38</v>
      </c>
      <c r="AE7" s="37">
        <f>SUM(coded_data!BG7:BR7) / 60</f>
        <v>0.6333333333333333</v>
      </c>
      <c r="AF7" s="40">
        <f t="shared" si="6"/>
        <v>4</v>
      </c>
      <c r="AG7" t="str">
        <f t="shared" si="37"/>
        <v>high</v>
      </c>
      <c r="AH7">
        <f>SUM(coded_data!BS7:CL7)</f>
        <v>11</v>
      </c>
      <c r="AI7" s="37">
        <f>SUM(coded_data!BS7:CL7) / 20</f>
        <v>0.55000000000000004</v>
      </c>
      <c r="AJ7" s="40">
        <f t="shared" si="7"/>
        <v>3</v>
      </c>
      <c r="AK7" t="str">
        <f t="shared" si="8"/>
        <v>moderate</v>
      </c>
      <c r="AL7">
        <f>SUM(coded_data!CM7:CP7)</f>
        <v>2</v>
      </c>
      <c r="AM7" s="37">
        <f>SUM(coded_data!CM7:CP7) / 4</f>
        <v>0.5</v>
      </c>
      <c r="AN7" s="40">
        <f t="shared" si="9"/>
        <v>3</v>
      </c>
      <c r="AO7" t="str">
        <f t="shared" si="10"/>
        <v>moderate</v>
      </c>
      <c r="AP7">
        <f>SUM(coded_data!CQ7:DB7)</f>
        <v>4</v>
      </c>
      <c r="AQ7" s="37">
        <f>SUM(coded_data!CQ7:DB7) / 12</f>
        <v>0.33333333333333331</v>
      </c>
      <c r="AR7" s="40">
        <f t="shared" si="11"/>
        <v>2</v>
      </c>
      <c r="AS7" t="str">
        <f t="shared" si="12"/>
        <v>low</v>
      </c>
      <c r="AT7">
        <f>SUM(coded_data!DC7:DH7)</f>
        <v>4</v>
      </c>
      <c r="AU7" s="37">
        <f>SUM(coded_data!DC7:DH7) / 6</f>
        <v>0.66666666666666663</v>
      </c>
      <c r="AV7" s="40">
        <f t="shared" si="13"/>
        <v>4</v>
      </c>
      <c r="AW7" t="str">
        <f t="shared" si="14"/>
        <v>high</v>
      </c>
      <c r="AX7">
        <f>SUM(coded_data!DI7:DT7)</f>
        <v>6</v>
      </c>
      <c r="AY7" s="37">
        <f>SUM(coded_data!DI7:DT7) / 12</f>
        <v>0.5</v>
      </c>
      <c r="AZ7" s="40">
        <f t="shared" si="15"/>
        <v>3</v>
      </c>
      <c r="BA7" t="str">
        <f t="shared" si="16"/>
        <v>moderate</v>
      </c>
      <c r="BB7">
        <f>SUM(coded_data!DU7:EB7)</f>
        <v>5</v>
      </c>
      <c r="BC7" s="37">
        <f>SUM(coded_data!DU7:EB7) / 8</f>
        <v>0.625</v>
      </c>
      <c r="BD7" s="40">
        <f t="shared" si="17"/>
        <v>4</v>
      </c>
      <c r="BE7" t="str">
        <f t="shared" si="18"/>
        <v>high</v>
      </c>
      <c r="BF7">
        <f>SUM(coded_data!EC7)</f>
        <v>0</v>
      </c>
      <c r="BG7" s="37">
        <f>SUM(coded_data!EC7)</f>
        <v>0</v>
      </c>
      <c r="BH7" s="40">
        <f t="shared" si="19"/>
        <v>1</v>
      </c>
      <c r="BI7" t="str">
        <f t="shared" si="20"/>
        <v>very low</v>
      </c>
      <c r="BJ7">
        <f>SUM(coded_data!ED7:EI7)</f>
        <v>0</v>
      </c>
      <c r="BK7" s="37">
        <f>SUM(coded_data!ED7:EI7) / 6</f>
        <v>0</v>
      </c>
      <c r="BL7" s="40">
        <f t="shared" si="21"/>
        <v>1</v>
      </c>
      <c r="BM7" t="str">
        <f t="shared" si="22"/>
        <v>very low</v>
      </c>
      <c r="BN7">
        <f>SUM(coded_data!EJ7:ET7)</f>
        <v>0</v>
      </c>
      <c r="BO7" s="37">
        <f>(SUM(coded_data!EJ7:ET7)/11)</f>
        <v>0</v>
      </c>
      <c r="BP7" s="40">
        <f t="shared" si="23"/>
        <v>1</v>
      </c>
      <c r="BQ7" t="str">
        <f t="shared" si="24"/>
        <v>very low</v>
      </c>
      <c r="BR7">
        <f>SUM(coded_data!EU7:EW7)</f>
        <v>3</v>
      </c>
      <c r="BS7" s="37">
        <f>SUM(coded_data!EU7:EW7) / 4</f>
        <v>0.75</v>
      </c>
      <c r="BT7" s="40">
        <f t="shared" si="25"/>
        <v>4</v>
      </c>
      <c r="BU7" t="str">
        <f t="shared" si="26"/>
        <v>high</v>
      </c>
      <c r="BV7" s="60">
        <f>SUM(coded_data!EX7:FC7)</f>
        <v>6</v>
      </c>
      <c r="BW7" s="37">
        <f>SUM(coded_data!EX7:FA7) / 5</f>
        <v>1</v>
      </c>
      <c r="BX7" s="40">
        <f t="shared" si="27"/>
        <v>5</v>
      </c>
      <c r="BY7" t="str">
        <f t="shared" si="28"/>
        <v>very high</v>
      </c>
    </row>
    <row r="8" spans="1:77">
      <c r="A8" s="157">
        <v>5</v>
      </c>
      <c r="B8">
        <f>SUM(coded_data!K8:O8)</f>
        <v>2</v>
      </c>
      <c r="C8" s="37">
        <f>SUM(coded_data!K8:O8) / 5</f>
        <v>0.4</v>
      </c>
      <c r="D8" s="40">
        <f t="shared" si="29"/>
        <v>2</v>
      </c>
      <c r="E8" t="str">
        <f t="shared" si="0"/>
        <v>low</v>
      </c>
      <c r="F8" s="60">
        <f>SUM(coded_data!R8:X8)</f>
        <v>0</v>
      </c>
      <c r="G8" s="37">
        <f>SUM(coded_data!R8:X8) / 4</f>
        <v>0</v>
      </c>
      <c r="H8" s="40">
        <f t="shared" si="30"/>
        <v>1</v>
      </c>
      <c r="I8" t="str">
        <f t="shared" si="31"/>
        <v>very low</v>
      </c>
      <c r="J8">
        <f>SUM(coded_data!Y8:AC8)</f>
        <v>1</v>
      </c>
      <c r="K8" s="37">
        <f>SUM(coded_data!Y8:AC8) / 8</f>
        <v>0.125</v>
      </c>
      <c r="L8" s="40">
        <f t="shared" si="1"/>
        <v>1</v>
      </c>
      <c r="M8" t="str">
        <f t="shared" si="32"/>
        <v>very low</v>
      </c>
      <c r="N8">
        <f>SUM(coded_data!AD8:AR8)</f>
        <v>0</v>
      </c>
      <c r="O8" s="37">
        <f>SUM(coded_data!AD8:AR8)/29</f>
        <v>0</v>
      </c>
      <c r="P8" s="40">
        <f t="shared" si="2"/>
        <v>1</v>
      </c>
      <c r="Q8" t="str">
        <f t="shared" si="33"/>
        <v>very low</v>
      </c>
      <c r="R8">
        <f>SUM(coded_data!AS8)</f>
        <v>1</v>
      </c>
      <c r="S8" s="37">
        <f>SUM(coded_data!AS8) / 5</f>
        <v>0.2</v>
      </c>
      <c r="T8" s="40">
        <f t="shared" si="3"/>
        <v>1</v>
      </c>
      <c r="U8" t="str">
        <f t="shared" si="34"/>
        <v>very low</v>
      </c>
      <c r="V8">
        <f>SUM(coded_data!AT8)</f>
        <v>3</v>
      </c>
      <c r="W8" s="37">
        <f>SUM(coded_data!AT8) / 5</f>
        <v>0.6</v>
      </c>
      <c r="X8" s="40">
        <f t="shared" si="4"/>
        <v>3</v>
      </c>
      <c r="Y8" t="str">
        <f t="shared" si="35"/>
        <v>moderate</v>
      </c>
      <c r="Z8">
        <f>SUM(coded_data!AU8:BF8)</f>
        <v>46</v>
      </c>
      <c r="AA8" s="37">
        <f>SUM(coded_data!AU8:BF8) / 60</f>
        <v>0.76666666666666672</v>
      </c>
      <c r="AB8" s="40">
        <f t="shared" si="5"/>
        <v>4</v>
      </c>
      <c r="AC8" t="str">
        <f t="shared" si="36"/>
        <v>high</v>
      </c>
      <c r="AD8">
        <f>SUM(coded_data!BG8:BR8)</f>
        <v>39</v>
      </c>
      <c r="AE8" s="37">
        <f>SUM(coded_data!BG8:BR8) / 60</f>
        <v>0.65</v>
      </c>
      <c r="AF8" s="40">
        <f t="shared" si="6"/>
        <v>4</v>
      </c>
      <c r="AG8" t="str">
        <f t="shared" si="37"/>
        <v>high</v>
      </c>
      <c r="AH8">
        <f>SUM(coded_data!BS8:CL8)</f>
        <v>9</v>
      </c>
      <c r="AI8" s="37">
        <f>SUM(coded_data!BS8:CL8) / 20</f>
        <v>0.45</v>
      </c>
      <c r="AJ8" s="40">
        <f t="shared" si="7"/>
        <v>3</v>
      </c>
      <c r="AK8" t="str">
        <f t="shared" si="8"/>
        <v>moderate</v>
      </c>
      <c r="AL8">
        <f>SUM(coded_data!CM8:CP8)</f>
        <v>2</v>
      </c>
      <c r="AM8" s="37">
        <f>SUM(coded_data!CM8:CP8) / 4</f>
        <v>0.5</v>
      </c>
      <c r="AN8" s="40">
        <f t="shared" si="9"/>
        <v>3</v>
      </c>
      <c r="AO8" t="str">
        <f t="shared" si="10"/>
        <v>moderate</v>
      </c>
      <c r="AP8">
        <f>SUM(coded_data!CQ8:DB8)</f>
        <v>9</v>
      </c>
      <c r="AQ8" s="37">
        <f>SUM(coded_data!CQ8:DB8) / 12</f>
        <v>0.75</v>
      </c>
      <c r="AR8" s="40">
        <f t="shared" si="11"/>
        <v>4</v>
      </c>
      <c r="AS8" t="str">
        <f t="shared" si="12"/>
        <v>high</v>
      </c>
      <c r="AT8">
        <f>SUM(coded_data!DC8:DH8)</f>
        <v>2</v>
      </c>
      <c r="AU8" s="37">
        <f>SUM(coded_data!DC8:DH8) / 6</f>
        <v>0.33333333333333331</v>
      </c>
      <c r="AV8" s="40">
        <f t="shared" si="13"/>
        <v>2</v>
      </c>
      <c r="AW8" t="str">
        <f t="shared" si="14"/>
        <v>low</v>
      </c>
      <c r="AX8">
        <f>SUM(coded_data!DI8:DT8)</f>
        <v>6</v>
      </c>
      <c r="AY8" s="37">
        <f>SUM(coded_data!DI8:DT8) / 12</f>
        <v>0.5</v>
      </c>
      <c r="AZ8" s="40">
        <f t="shared" si="15"/>
        <v>3</v>
      </c>
      <c r="BA8" t="str">
        <f t="shared" si="16"/>
        <v>moderate</v>
      </c>
      <c r="BB8">
        <f>SUM(coded_data!DU8:EB8)</f>
        <v>5</v>
      </c>
      <c r="BC8" s="37">
        <f>SUM(coded_data!DU8:EB8) / 8</f>
        <v>0.625</v>
      </c>
      <c r="BD8" s="40">
        <f t="shared" si="17"/>
        <v>4</v>
      </c>
      <c r="BE8" t="str">
        <f t="shared" si="18"/>
        <v>high</v>
      </c>
      <c r="BF8">
        <f>SUM(coded_data!EC8)</f>
        <v>0</v>
      </c>
      <c r="BG8" s="37">
        <f>SUM(coded_data!EC8)</f>
        <v>0</v>
      </c>
      <c r="BH8" s="40">
        <f t="shared" si="19"/>
        <v>1</v>
      </c>
      <c r="BI8" t="str">
        <f t="shared" si="20"/>
        <v>very low</v>
      </c>
      <c r="BJ8">
        <f>SUM(coded_data!ED8:EI8)</f>
        <v>0</v>
      </c>
      <c r="BK8" s="37">
        <f>SUM(coded_data!ED8:EI8) / 6</f>
        <v>0</v>
      </c>
      <c r="BL8" s="40">
        <f t="shared" si="21"/>
        <v>1</v>
      </c>
      <c r="BM8" t="str">
        <f t="shared" si="22"/>
        <v>very low</v>
      </c>
      <c r="BN8">
        <f>SUM(coded_data!EJ8:ET8)</f>
        <v>4</v>
      </c>
      <c r="BO8" s="37">
        <f>(SUM(coded_data!EJ8:ET8)/11)</f>
        <v>0.36363636363636365</v>
      </c>
      <c r="BP8" s="40">
        <f t="shared" si="23"/>
        <v>2</v>
      </c>
      <c r="BQ8" t="str">
        <f t="shared" si="24"/>
        <v>low</v>
      </c>
      <c r="BR8">
        <f>SUM(coded_data!EU8:EW8)</f>
        <v>1</v>
      </c>
      <c r="BS8" s="37">
        <f>SUM(coded_data!EU8:EW8) / 4</f>
        <v>0.25</v>
      </c>
      <c r="BT8" s="40">
        <f t="shared" si="25"/>
        <v>2</v>
      </c>
      <c r="BU8" t="str">
        <f t="shared" si="26"/>
        <v>low</v>
      </c>
      <c r="BV8" s="60">
        <f>SUM(coded_data!EX8:FC8)</f>
        <v>3</v>
      </c>
      <c r="BW8" s="37">
        <f>SUM(coded_data!EX8:FA8) / 5</f>
        <v>0.6</v>
      </c>
      <c r="BX8" s="40">
        <f t="shared" si="27"/>
        <v>3</v>
      </c>
      <c r="BY8" t="str">
        <f t="shared" si="28"/>
        <v>moderate</v>
      </c>
    </row>
    <row r="9" spans="1:77">
      <c r="A9" s="157">
        <v>6</v>
      </c>
      <c r="B9">
        <f>SUM(coded_data!K9:O9)</f>
        <v>2</v>
      </c>
      <c r="C9" s="37">
        <f>SUM(coded_data!K9:O9) / 5</f>
        <v>0.4</v>
      </c>
      <c r="D9" s="40">
        <f t="shared" si="29"/>
        <v>2</v>
      </c>
      <c r="E9" t="str">
        <f t="shared" si="0"/>
        <v>low</v>
      </c>
      <c r="F9" s="60">
        <f>SUM(coded_data!R9:X9)</f>
        <v>0</v>
      </c>
      <c r="G9" s="37">
        <f>SUM(coded_data!R9:X9) / 4</f>
        <v>0</v>
      </c>
      <c r="H9" s="40">
        <f t="shared" si="30"/>
        <v>1</v>
      </c>
      <c r="I9" t="str">
        <f t="shared" si="31"/>
        <v>very low</v>
      </c>
      <c r="J9">
        <f>SUM(coded_data!Y9:AC9)</f>
        <v>2</v>
      </c>
      <c r="K9" s="37">
        <f>SUM(coded_data!Y9:AC9) / 8</f>
        <v>0.25</v>
      </c>
      <c r="L9" s="40">
        <f t="shared" si="1"/>
        <v>2</v>
      </c>
      <c r="M9" t="str">
        <f t="shared" si="32"/>
        <v>low</v>
      </c>
      <c r="N9">
        <f>SUM(coded_data!AD9:AR9)</f>
        <v>0</v>
      </c>
      <c r="O9" s="37">
        <f>SUM(coded_data!AD9:AR9)/29</f>
        <v>0</v>
      </c>
      <c r="P9" s="40">
        <f t="shared" si="2"/>
        <v>1</v>
      </c>
      <c r="Q9" t="str">
        <f t="shared" si="33"/>
        <v>very low</v>
      </c>
      <c r="R9">
        <f>SUM(coded_data!AS9)</f>
        <v>2</v>
      </c>
      <c r="S9" s="37">
        <f>SUM(coded_data!AS9) / 5</f>
        <v>0.4</v>
      </c>
      <c r="T9" s="40">
        <f t="shared" si="3"/>
        <v>2</v>
      </c>
      <c r="U9" t="str">
        <f t="shared" si="34"/>
        <v>low</v>
      </c>
      <c r="V9">
        <f>SUM(coded_data!AT9)</f>
        <v>3</v>
      </c>
      <c r="W9" s="37">
        <f>SUM(coded_data!AT9) / 5</f>
        <v>0.6</v>
      </c>
      <c r="X9" s="40">
        <f t="shared" si="4"/>
        <v>3</v>
      </c>
      <c r="Y9" t="str">
        <f t="shared" si="35"/>
        <v>moderate</v>
      </c>
      <c r="Z9">
        <f>SUM(coded_data!AU9:BF9)</f>
        <v>48</v>
      </c>
      <c r="AA9" s="37">
        <f>SUM(coded_data!AU9:BF9) / 60</f>
        <v>0.8</v>
      </c>
      <c r="AB9" s="40">
        <f t="shared" si="5"/>
        <v>4</v>
      </c>
      <c r="AC9" t="str">
        <f t="shared" si="36"/>
        <v>high</v>
      </c>
      <c r="AD9">
        <f>SUM(coded_data!BG9:BR9)</f>
        <v>38</v>
      </c>
      <c r="AE9" s="37">
        <f>SUM(coded_data!BG9:BR9) / 60</f>
        <v>0.6333333333333333</v>
      </c>
      <c r="AF9" s="40">
        <f t="shared" si="6"/>
        <v>4</v>
      </c>
      <c r="AG9" t="str">
        <f t="shared" si="37"/>
        <v>high</v>
      </c>
      <c r="AH9">
        <f>SUM(coded_data!BS9:CL9)</f>
        <v>8</v>
      </c>
      <c r="AI9" s="37">
        <f>SUM(coded_data!BS9:CL9) / 20</f>
        <v>0.4</v>
      </c>
      <c r="AJ9" s="40">
        <f t="shared" si="7"/>
        <v>2</v>
      </c>
      <c r="AK9" t="str">
        <f t="shared" si="8"/>
        <v>low</v>
      </c>
      <c r="AL9">
        <f>SUM(coded_data!CM9:CP9)</f>
        <v>1</v>
      </c>
      <c r="AM9" s="37">
        <f>SUM(coded_data!CM9:CP9) / 4</f>
        <v>0.25</v>
      </c>
      <c r="AN9" s="40">
        <f t="shared" si="9"/>
        <v>2</v>
      </c>
      <c r="AO9" t="str">
        <f t="shared" si="10"/>
        <v>low</v>
      </c>
      <c r="AP9">
        <f>SUM(coded_data!CQ9:DB9)</f>
        <v>5</v>
      </c>
      <c r="AQ9" s="37">
        <f>SUM(coded_data!CQ9:DB9) / 12</f>
        <v>0.41666666666666669</v>
      </c>
      <c r="AR9" s="40">
        <f t="shared" si="11"/>
        <v>3</v>
      </c>
      <c r="AS9" t="str">
        <f t="shared" si="12"/>
        <v>moderate</v>
      </c>
      <c r="AT9">
        <f>SUM(coded_data!DC9:DH9)</f>
        <v>4</v>
      </c>
      <c r="AU9" s="37">
        <f>SUM(coded_data!DC9:DH9) / 6</f>
        <v>0.66666666666666663</v>
      </c>
      <c r="AV9" s="40">
        <f t="shared" si="13"/>
        <v>4</v>
      </c>
      <c r="AW9" t="str">
        <f t="shared" si="14"/>
        <v>high</v>
      </c>
      <c r="AX9">
        <f>SUM(coded_data!DI9:DT9)</f>
        <v>5</v>
      </c>
      <c r="AY9" s="37">
        <f>SUM(coded_data!DI9:DT9) / 12</f>
        <v>0.41666666666666669</v>
      </c>
      <c r="AZ9" s="40">
        <f t="shared" si="15"/>
        <v>3</v>
      </c>
      <c r="BA9" t="str">
        <f t="shared" si="16"/>
        <v>moderate</v>
      </c>
      <c r="BB9">
        <f>SUM(coded_data!DU9:EB9)</f>
        <v>4</v>
      </c>
      <c r="BC9" s="37">
        <f>SUM(coded_data!DU9:EB9) / 8</f>
        <v>0.5</v>
      </c>
      <c r="BD9" s="40">
        <f t="shared" si="17"/>
        <v>3</v>
      </c>
      <c r="BE9" t="str">
        <f t="shared" si="18"/>
        <v>moderate</v>
      </c>
      <c r="BF9">
        <f>SUM(coded_data!EC9)</f>
        <v>0</v>
      </c>
      <c r="BG9" s="37">
        <f>SUM(coded_data!EC9)</f>
        <v>0</v>
      </c>
      <c r="BH9" s="40">
        <f t="shared" si="19"/>
        <v>1</v>
      </c>
      <c r="BI9" t="str">
        <f t="shared" si="20"/>
        <v>very low</v>
      </c>
      <c r="BJ9">
        <f>SUM(coded_data!ED9:EI9)</f>
        <v>2</v>
      </c>
      <c r="BK9" s="37">
        <f>SUM(coded_data!ED9:EI9) / 6</f>
        <v>0.33333333333333331</v>
      </c>
      <c r="BL9" s="40">
        <f t="shared" si="21"/>
        <v>2</v>
      </c>
      <c r="BM9" t="str">
        <f t="shared" si="22"/>
        <v>low</v>
      </c>
      <c r="BN9">
        <f>SUM(coded_data!EJ9:ET9)</f>
        <v>1</v>
      </c>
      <c r="BO9" s="37">
        <f>(SUM(coded_data!EJ9:ET9)/11)</f>
        <v>9.0909090909090912E-2</v>
      </c>
      <c r="BP9" s="40">
        <f t="shared" si="23"/>
        <v>1</v>
      </c>
      <c r="BQ9" t="str">
        <f t="shared" si="24"/>
        <v>very low</v>
      </c>
      <c r="BR9">
        <f>SUM(coded_data!EU9:EW9)</f>
        <v>1</v>
      </c>
      <c r="BS9" s="37">
        <f>SUM(coded_data!EU9:EW9) / 4</f>
        <v>0.25</v>
      </c>
      <c r="BT9" s="40">
        <f t="shared" si="25"/>
        <v>2</v>
      </c>
      <c r="BU9" t="str">
        <f t="shared" si="26"/>
        <v>low</v>
      </c>
      <c r="BV9" s="60">
        <f>SUM(coded_data!EX9:FC9)</f>
        <v>2</v>
      </c>
      <c r="BW9" s="37">
        <f>SUM(coded_data!EX9:FA9) / 5</f>
        <v>0.2</v>
      </c>
      <c r="BX9" s="40">
        <f t="shared" si="27"/>
        <v>1</v>
      </c>
      <c r="BY9" t="str">
        <f t="shared" si="28"/>
        <v>very low</v>
      </c>
    </row>
    <row r="10" spans="1:77">
      <c r="A10" s="157">
        <v>7</v>
      </c>
      <c r="B10">
        <f>SUM(coded_data!K10:O10)</f>
        <v>3</v>
      </c>
      <c r="C10" s="37">
        <f>SUM(coded_data!K10:O10) / 5</f>
        <v>0.6</v>
      </c>
      <c r="D10" s="40">
        <f t="shared" si="29"/>
        <v>3</v>
      </c>
      <c r="E10" t="str">
        <f t="shared" si="0"/>
        <v>moderate</v>
      </c>
      <c r="F10" s="60">
        <f>SUM(coded_data!R10:X10)</f>
        <v>0</v>
      </c>
      <c r="G10" s="37">
        <f>SUM(coded_data!R10:X10) / 4</f>
        <v>0</v>
      </c>
      <c r="H10" s="40">
        <f t="shared" si="30"/>
        <v>1</v>
      </c>
      <c r="I10" t="str">
        <f t="shared" si="31"/>
        <v>very low</v>
      </c>
      <c r="J10">
        <f>SUM(coded_data!Y10:AC10)</f>
        <v>2</v>
      </c>
      <c r="K10" s="37">
        <f>SUM(coded_data!Y10:AC10) / 8</f>
        <v>0.25</v>
      </c>
      <c r="L10" s="40">
        <f t="shared" si="1"/>
        <v>2</v>
      </c>
      <c r="M10" t="str">
        <f t="shared" si="32"/>
        <v>low</v>
      </c>
      <c r="N10">
        <f>SUM(coded_data!AD10:AR10)</f>
        <v>0</v>
      </c>
      <c r="O10" s="37">
        <f>SUM(coded_data!AD10:AR10)/29</f>
        <v>0</v>
      </c>
      <c r="P10" s="40">
        <f t="shared" si="2"/>
        <v>1</v>
      </c>
      <c r="Q10" t="str">
        <f t="shared" si="33"/>
        <v>very low</v>
      </c>
      <c r="R10">
        <f>SUM(coded_data!AS10)</f>
        <v>1</v>
      </c>
      <c r="S10" s="37">
        <f>SUM(coded_data!AS10) / 5</f>
        <v>0.2</v>
      </c>
      <c r="T10" s="40">
        <f t="shared" si="3"/>
        <v>1</v>
      </c>
      <c r="U10" t="str">
        <f t="shared" si="34"/>
        <v>very low</v>
      </c>
      <c r="V10">
        <f>SUM(coded_data!AT10)</f>
        <v>0</v>
      </c>
      <c r="W10" s="37">
        <f>SUM(coded_data!AT10) / 5</f>
        <v>0</v>
      </c>
      <c r="X10" s="40">
        <f t="shared" si="4"/>
        <v>1</v>
      </c>
      <c r="Y10" t="str">
        <f t="shared" si="35"/>
        <v>very low</v>
      </c>
      <c r="Z10">
        <f>SUM(coded_data!AU10:BF10)</f>
        <v>48</v>
      </c>
      <c r="AA10" s="37">
        <f>SUM(coded_data!AU10:BF10) / 60</f>
        <v>0.8</v>
      </c>
      <c r="AB10" s="40">
        <f t="shared" si="5"/>
        <v>4</v>
      </c>
      <c r="AC10" t="str">
        <f t="shared" si="36"/>
        <v>high</v>
      </c>
      <c r="AD10">
        <f>SUM(coded_data!BG10:BR10)</f>
        <v>38</v>
      </c>
      <c r="AE10" s="37">
        <f>SUM(coded_data!BG10:BR10) / 60</f>
        <v>0.6333333333333333</v>
      </c>
      <c r="AF10" s="40">
        <f t="shared" si="6"/>
        <v>4</v>
      </c>
      <c r="AG10" t="str">
        <f t="shared" si="37"/>
        <v>high</v>
      </c>
      <c r="AH10">
        <f>SUM(coded_data!BS10:CL10)</f>
        <v>9</v>
      </c>
      <c r="AI10" s="37">
        <f>SUM(coded_data!BS10:CL10) / 20</f>
        <v>0.45</v>
      </c>
      <c r="AJ10" s="40">
        <f t="shared" si="7"/>
        <v>3</v>
      </c>
      <c r="AK10" t="str">
        <f t="shared" si="8"/>
        <v>moderate</v>
      </c>
      <c r="AL10">
        <f>SUM(coded_data!CM10:CP10)</f>
        <v>2</v>
      </c>
      <c r="AM10" s="37">
        <f>SUM(coded_data!CM10:CP10) / 4</f>
        <v>0.5</v>
      </c>
      <c r="AN10" s="40">
        <f t="shared" si="9"/>
        <v>3</v>
      </c>
      <c r="AO10" t="str">
        <f t="shared" si="10"/>
        <v>moderate</v>
      </c>
      <c r="AP10">
        <f>SUM(coded_data!CQ10:DB10)</f>
        <v>4</v>
      </c>
      <c r="AQ10" s="37">
        <f>SUM(coded_data!CQ10:DB10) / 12</f>
        <v>0.33333333333333331</v>
      </c>
      <c r="AR10" s="40">
        <f t="shared" si="11"/>
        <v>2</v>
      </c>
      <c r="AS10" t="str">
        <f t="shared" si="12"/>
        <v>low</v>
      </c>
      <c r="AT10">
        <f>SUM(coded_data!DC10:DH10)</f>
        <v>2</v>
      </c>
      <c r="AU10" s="37">
        <f>SUM(coded_data!DC10:DH10) / 6</f>
        <v>0.33333333333333331</v>
      </c>
      <c r="AV10" s="40">
        <f t="shared" si="13"/>
        <v>2</v>
      </c>
      <c r="AW10" t="str">
        <f t="shared" si="14"/>
        <v>low</v>
      </c>
      <c r="AX10">
        <f>SUM(coded_data!DI10:DT10)</f>
        <v>4</v>
      </c>
      <c r="AY10" s="37">
        <f>SUM(coded_data!DI10:DT10) / 12</f>
        <v>0.33333333333333331</v>
      </c>
      <c r="AZ10" s="40">
        <f t="shared" si="15"/>
        <v>2</v>
      </c>
      <c r="BA10" t="str">
        <f t="shared" si="16"/>
        <v>low</v>
      </c>
      <c r="BB10">
        <f>SUM(coded_data!DU10:EB10)</f>
        <v>4</v>
      </c>
      <c r="BC10" s="37">
        <f>SUM(coded_data!DU10:EB10) / 8</f>
        <v>0.5</v>
      </c>
      <c r="BD10" s="40">
        <f t="shared" si="17"/>
        <v>3</v>
      </c>
      <c r="BE10" t="str">
        <f t="shared" si="18"/>
        <v>moderate</v>
      </c>
      <c r="BF10">
        <f>SUM(coded_data!EC10)</f>
        <v>0</v>
      </c>
      <c r="BG10" s="37">
        <f>SUM(coded_data!EC10)</f>
        <v>0</v>
      </c>
      <c r="BH10" s="40">
        <f t="shared" si="19"/>
        <v>1</v>
      </c>
      <c r="BI10" t="str">
        <f t="shared" si="20"/>
        <v>very low</v>
      </c>
      <c r="BJ10">
        <f>SUM(coded_data!ED10:EI10)</f>
        <v>0</v>
      </c>
      <c r="BK10" s="37">
        <f>SUM(coded_data!ED10:EI10) / 6</f>
        <v>0</v>
      </c>
      <c r="BL10" s="40">
        <f t="shared" si="21"/>
        <v>1</v>
      </c>
      <c r="BM10" t="str">
        <f t="shared" si="22"/>
        <v>very low</v>
      </c>
      <c r="BN10">
        <f>SUM(coded_data!EJ10:ET10)</f>
        <v>2</v>
      </c>
      <c r="BO10" s="37">
        <f>(SUM(coded_data!EJ10:ET10)/11)</f>
        <v>0.18181818181818182</v>
      </c>
      <c r="BP10" s="40">
        <f t="shared" si="23"/>
        <v>1</v>
      </c>
      <c r="BQ10" t="str">
        <f t="shared" si="24"/>
        <v>very low</v>
      </c>
      <c r="BR10">
        <f>SUM(coded_data!EU10:EW10)</f>
        <v>2</v>
      </c>
      <c r="BS10" s="37">
        <f>SUM(coded_data!EU10:EW10) / 4</f>
        <v>0.5</v>
      </c>
      <c r="BT10" s="40">
        <f t="shared" si="25"/>
        <v>3</v>
      </c>
      <c r="BU10" t="str">
        <f t="shared" si="26"/>
        <v>moderate</v>
      </c>
      <c r="BV10" s="60">
        <f>SUM(coded_data!EX10:FC10)</f>
        <v>2</v>
      </c>
      <c r="BW10" s="37">
        <f>SUM(coded_data!EX10:FA10) / 5</f>
        <v>0.2</v>
      </c>
      <c r="BX10" s="40">
        <f t="shared" si="27"/>
        <v>1</v>
      </c>
      <c r="BY10" t="str">
        <f t="shared" si="28"/>
        <v>very low</v>
      </c>
    </row>
    <row r="11" spans="1:77">
      <c r="A11" s="157">
        <v>8</v>
      </c>
      <c r="B11">
        <f>SUM(coded_data!K11:O11)</f>
        <v>2</v>
      </c>
      <c r="C11" s="37">
        <f>SUM(coded_data!K11:O11) / 5</f>
        <v>0.4</v>
      </c>
      <c r="D11" s="40">
        <f t="shared" si="29"/>
        <v>2</v>
      </c>
      <c r="E11" t="str">
        <f t="shared" si="0"/>
        <v>low</v>
      </c>
      <c r="F11" s="60">
        <f>SUM(coded_data!R11:X11)</f>
        <v>0</v>
      </c>
      <c r="G11" s="37">
        <f>SUM(coded_data!R11:X11) / 4</f>
        <v>0</v>
      </c>
      <c r="H11" s="40">
        <f t="shared" si="30"/>
        <v>1</v>
      </c>
      <c r="I11" t="str">
        <f t="shared" si="31"/>
        <v>very low</v>
      </c>
      <c r="J11">
        <f>SUM(coded_data!Y11:AC11)</f>
        <v>1</v>
      </c>
      <c r="K11" s="37">
        <f>SUM(coded_data!Y11:AC11) / 8</f>
        <v>0.125</v>
      </c>
      <c r="L11" s="40">
        <f t="shared" si="1"/>
        <v>1</v>
      </c>
      <c r="M11" t="str">
        <f t="shared" si="32"/>
        <v>very low</v>
      </c>
      <c r="N11">
        <f>SUM(coded_data!AD11:AR11)</f>
        <v>0</v>
      </c>
      <c r="O11" s="37">
        <f>SUM(coded_data!AD11:AR11)/29</f>
        <v>0</v>
      </c>
      <c r="P11" s="40">
        <f t="shared" si="2"/>
        <v>1</v>
      </c>
      <c r="Q11" t="str">
        <f t="shared" si="33"/>
        <v>very low</v>
      </c>
      <c r="R11">
        <f>SUM(coded_data!AS11)</f>
        <v>1</v>
      </c>
      <c r="S11" s="37">
        <f>SUM(coded_data!AS11) / 5</f>
        <v>0.2</v>
      </c>
      <c r="T11" s="40">
        <f t="shared" si="3"/>
        <v>1</v>
      </c>
      <c r="U11" t="str">
        <f t="shared" si="34"/>
        <v>very low</v>
      </c>
      <c r="V11">
        <f>SUM(coded_data!AT11)</f>
        <v>2</v>
      </c>
      <c r="W11" s="37">
        <f>SUM(coded_data!AT11) / 5</f>
        <v>0.4</v>
      </c>
      <c r="X11" s="40">
        <f t="shared" si="4"/>
        <v>2</v>
      </c>
      <c r="Y11" t="str">
        <f t="shared" si="35"/>
        <v>low</v>
      </c>
      <c r="Z11">
        <f>SUM(coded_data!AU11:BF11)</f>
        <v>48</v>
      </c>
      <c r="AA11" s="37">
        <f>SUM(coded_data!AU11:BF11) / 60</f>
        <v>0.8</v>
      </c>
      <c r="AB11" s="40">
        <f t="shared" si="5"/>
        <v>4</v>
      </c>
      <c r="AC11" t="str">
        <f t="shared" si="36"/>
        <v>high</v>
      </c>
      <c r="AD11">
        <f>SUM(coded_data!BG11:BR11)</f>
        <v>36</v>
      </c>
      <c r="AE11" s="37">
        <f>SUM(coded_data!BG11:BR11) / 60</f>
        <v>0.6</v>
      </c>
      <c r="AF11" s="40">
        <f t="shared" si="6"/>
        <v>3</v>
      </c>
      <c r="AG11" t="str">
        <f t="shared" si="37"/>
        <v>moderate</v>
      </c>
      <c r="AH11">
        <f>SUM(coded_data!BS11:CL11)</f>
        <v>11</v>
      </c>
      <c r="AI11" s="37">
        <f>SUM(coded_data!BS11:CL11) / 20</f>
        <v>0.55000000000000004</v>
      </c>
      <c r="AJ11" s="40">
        <f t="shared" si="7"/>
        <v>3</v>
      </c>
      <c r="AK11" t="str">
        <f t="shared" si="8"/>
        <v>moderate</v>
      </c>
      <c r="AL11">
        <f>SUM(coded_data!CM11:CP11)</f>
        <v>1</v>
      </c>
      <c r="AM11" s="37">
        <f>SUM(coded_data!CM11:CP11) / 4</f>
        <v>0.25</v>
      </c>
      <c r="AN11" s="40">
        <f t="shared" si="9"/>
        <v>2</v>
      </c>
      <c r="AO11" t="str">
        <f t="shared" si="10"/>
        <v>low</v>
      </c>
      <c r="AP11">
        <f>SUM(coded_data!CQ11:DB11)</f>
        <v>5</v>
      </c>
      <c r="AQ11" s="37">
        <f>SUM(coded_data!CQ11:DB11) / 12</f>
        <v>0.41666666666666669</v>
      </c>
      <c r="AR11" s="40">
        <f t="shared" si="11"/>
        <v>3</v>
      </c>
      <c r="AS11" t="str">
        <f t="shared" si="12"/>
        <v>moderate</v>
      </c>
      <c r="AT11">
        <f>SUM(coded_data!DC11:DH11)</f>
        <v>4</v>
      </c>
      <c r="AU11" s="37">
        <f>SUM(coded_data!DC11:DH11) / 6</f>
        <v>0.66666666666666663</v>
      </c>
      <c r="AV11" s="40">
        <f t="shared" si="13"/>
        <v>4</v>
      </c>
      <c r="AW11" t="str">
        <f t="shared" si="14"/>
        <v>high</v>
      </c>
      <c r="AX11">
        <f>SUM(coded_data!DI11:DT11)</f>
        <v>0</v>
      </c>
      <c r="AY11" s="37">
        <f>SUM(coded_data!DI11:DT11) / 12</f>
        <v>0</v>
      </c>
      <c r="AZ11" s="40">
        <f t="shared" si="15"/>
        <v>1</v>
      </c>
      <c r="BA11" t="str">
        <f t="shared" si="16"/>
        <v>very low</v>
      </c>
      <c r="BB11">
        <f>SUM(coded_data!DU11:EB11)</f>
        <v>4</v>
      </c>
      <c r="BC11" s="37">
        <f>SUM(coded_data!DU11:EB11) / 8</f>
        <v>0.5</v>
      </c>
      <c r="BD11" s="40">
        <f t="shared" si="17"/>
        <v>3</v>
      </c>
      <c r="BE11" t="str">
        <f t="shared" si="18"/>
        <v>moderate</v>
      </c>
      <c r="BF11">
        <f>SUM(coded_data!EC11)</f>
        <v>0</v>
      </c>
      <c r="BG11" s="37">
        <f>SUM(coded_data!EC11)</f>
        <v>0</v>
      </c>
      <c r="BH11" s="40">
        <f t="shared" si="19"/>
        <v>1</v>
      </c>
      <c r="BI11" t="str">
        <f t="shared" si="20"/>
        <v>very low</v>
      </c>
      <c r="BJ11">
        <f>SUM(coded_data!ED11:EI11)</f>
        <v>0</v>
      </c>
      <c r="BK11" s="37">
        <f>SUM(coded_data!ED11:EI11) / 6</f>
        <v>0</v>
      </c>
      <c r="BL11" s="40">
        <f t="shared" si="21"/>
        <v>1</v>
      </c>
      <c r="BM11" t="str">
        <f t="shared" si="22"/>
        <v>very low</v>
      </c>
      <c r="BN11">
        <f>SUM(coded_data!EJ11:ET11)</f>
        <v>0</v>
      </c>
      <c r="BO11" s="37">
        <f>(SUM(coded_data!EJ11:ET11)/11)</f>
        <v>0</v>
      </c>
      <c r="BP11" s="40">
        <f t="shared" si="23"/>
        <v>1</v>
      </c>
      <c r="BQ11" t="str">
        <f t="shared" si="24"/>
        <v>very low</v>
      </c>
      <c r="BR11">
        <f>SUM(coded_data!EU11:EW11)</f>
        <v>2</v>
      </c>
      <c r="BS11" s="37">
        <f>SUM(coded_data!EU11:EW11) / 4</f>
        <v>0.5</v>
      </c>
      <c r="BT11" s="40">
        <f t="shared" si="25"/>
        <v>3</v>
      </c>
      <c r="BU11" t="str">
        <f t="shared" si="26"/>
        <v>moderate</v>
      </c>
      <c r="BV11" s="60">
        <f>SUM(coded_data!EX11:FC11)</f>
        <v>6</v>
      </c>
      <c r="BW11" s="37">
        <f>SUM(coded_data!EX11:FA11) / 5</f>
        <v>1</v>
      </c>
      <c r="BX11" s="40">
        <f t="shared" si="27"/>
        <v>5</v>
      </c>
      <c r="BY11" t="str">
        <f t="shared" si="28"/>
        <v>very high</v>
      </c>
    </row>
    <row r="12" spans="1:77">
      <c r="A12" s="157">
        <v>9</v>
      </c>
      <c r="B12">
        <f>SUM(coded_data!K12:O12)</f>
        <v>2</v>
      </c>
      <c r="C12" s="37">
        <f>SUM(coded_data!K12:O12) / 5</f>
        <v>0.4</v>
      </c>
      <c r="D12" s="40">
        <f t="shared" si="29"/>
        <v>2</v>
      </c>
      <c r="E12" t="str">
        <f t="shared" si="0"/>
        <v>low</v>
      </c>
      <c r="F12" s="60">
        <f>SUM(coded_data!R12:X12)</f>
        <v>0</v>
      </c>
      <c r="G12" s="37">
        <f>SUM(coded_data!R12:X12) / 4</f>
        <v>0</v>
      </c>
      <c r="H12" s="40">
        <f t="shared" si="30"/>
        <v>1</v>
      </c>
      <c r="I12" t="str">
        <f t="shared" si="31"/>
        <v>very low</v>
      </c>
      <c r="J12">
        <f>SUM(coded_data!Y12:AC12)</f>
        <v>1</v>
      </c>
      <c r="K12" s="37">
        <f>SUM(coded_data!Y12:AC12) / 8</f>
        <v>0.125</v>
      </c>
      <c r="L12" s="40">
        <f t="shared" si="1"/>
        <v>1</v>
      </c>
      <c r="M12" t="str">
        <f t="shared" si="32"/>
        <v>very low</v>
      </c>
      <c r="N12">
        <f>SUM(coded_data!AD12:AR12)</f>
        <v>1</v>
      </c>
      <c r="O12" s="37">
        <f>SUM(coded_data!AD12:AR12)/29</f>
        <v>3.4482758620689655E-2</v>
      </c>
      <c r="P12" s="40">
        <f t="shared" si="2"/>
        <v>1</v>
      </c>
      <c r="Q12" t="str">
        <f t="shared" si="33"/>
        <v>very low</v>
      </c>
      <c r="R12">
        <f>SUM(coded_data!AS12)</f>
        <v>4</v>
      </c>
      <c r="S12" s="37">
        <f>SUM(coded_data!AS12) / 5</f>
        <v>0.8</v>
      </c>
      <c r="T12" s="40">
        <f t="shared" si="3"/>
        <v>4</v>
      </c>
      <c r="U12" t="str">
        <f t="shared" si="34"/>
        <v>high</v>
      </c>
      <c r="V12">
        <f>SUM(coded_data!AT12)</f>
        <v>2</v>
      </c>
      <c r="W12" s="37">
        <f>SUM(coded_data!AT12) / 5</f>
        <v>0.4</v>
      </c>
      <c r="X12" s="40">
        <f t="shared" si="4"/>
        <v>2</v>
      </c>
      <c r="Y12" t="str">
        <f t="shared" si="35"/>
        <v>low</v>
      </c>
      <c r="Z12">
        <f>SUM(coded_data!AU12:BF12)</f>
        <v>48</v>
      </c>
      <c r="AA12" s="37">
        <f>SUM(coded_data!AU12:BF12) / 60</f>
        <v>0.8</v>
      </c>
      <c r="AB12" s="40">
        <f t="shared" si="5"/>
        <v>4</v>
      </c>
      <c r="AC12" t="str">
        <f t="shared" si="36"/>
        <v>high</v>
      </c>
      <c r="AD12">
        <f>SUM(coded_data!BG12:BR12)</f>
        <v>38</v>
      </c>
      <c r="AE12" s="37">
        <f>SUM(coded_data!BG12:BR12) / 60</f>
        <v>0.6333333333333333</v>
      </c>
      <c r="AF12" s="40">
        <f t="shared" si="6"/>
        <v>4</v>
      </c>
      <c r="AG12" t="str">
        <f t="shared" si="37"/>
        <v>high</v>
      </c>
      <c r="AH12">
        <f>SUM(coded_data!BS12:CL12)</f>
        <v>12</v>
      </c>
      <c r="AI12" s="37">
        <f>SUM(coded_data!BS12:CL12) / 20</f>
        <v>0.6</v>
      </c>
      <c r="AJ12" s="40">
        <f t="shared" si="7"/>
        <v>3</v>
      </c>
      <c r="AK12" t="str">
        <f t="shared" si="8"/>
        <v>moderate</v>
      </c>
      <c r="AL12">
        <f>SUM(coded_data!CM12:CP12)</f>
        <v>1</v>
      </c>
      <c r="AM12" s="37">
        <f>SUM(coded_data!CM12:CP12) / 4</f>
        <v>0.25</v>
      </c>
      <c r="AN12" s="40">
        <f t="shared" si="9"/>
        <v>2</v>
      </c>
      <c r="AO12" t="str">
        <f t="shared" si="10"/>
        <v>low</v>
      </c>
      <c r="AP12">
        <f>SUM(coded_data!CQ12:DB12)</f>
        <v>4</v>
      </c>
      <c r="AQ12" s="37">
        <f>SUM(coded_data!CQ12:DB12) / 12</f>
        <v>0.33333333333333331</v>
      </c>
      <c r="AR12" s="40">
        <f t="shared" si="11"/>
        <v>2</v>
      </c>
      <c r="AS12" t="str">
        <f t="shared" si="12"/>
        <v>low</v>
      </c>
      <c r="AT12">
        <f>SUM(coded_data!DC12:DH12)</f>
        <v>4</v>
      </c>
      <c r="AU12" s="37">
        <f>SUM(coded_data!DC12:DH12) / 6</f>
        <v>0.66666666666666663</v>
      </c>
      <c r="AV12" s="40">
        <f t="shared" si="13"/>
        <v>4</v>
      </c>
      <c r="AW12" t="str">
        <f t="shared" si="14"/>
        <v>high</v>
      </c>
      <c r="AX12">
        <f>SUM(coded_data!DI12:DT12)</f>
        <v>4</v>
      </c>
      <c r="AY12" s="37">
        <f>SUM(coded_data!DI12:DT12) / 12</f>
        <v>0.33333333333333331</v>
      </c>
      <c r="AZ12" s="40">
        <f t="shared" si="15"/>
        <v>2</v>
      </c>
      <c r="BA12" t="str">
        <f t="shared" si="16"/>
        <v>low</v>
      </c>
      <c r="BB12">
        <f>SUM(coded_data!DU12:EB12)</f>
        <v>4</v>
      </c>
      <c r="BC12" s="37">
        <f>SUM(coded_data!DU12:EB12) / 8</f>
        <v>0.5</v>
      </c>
      <c r="BD12" s="40">
        <f t="shared" si="17"/>
        <v>3</v>
      </c>
      <c r="BE12" t="str">
        <f t="shared" si="18"/>
        <v>moderate</v>
      </c>
      <c r="BF12">
        <f>SUM(coded_data!EC12)</f>
        <v>0</v>
      </c>
      <c r="BG12" s="37">
        <f>SUM(coded_data!EC12)</f>
        <v>0</v>
      </c>
      <c r="BH12" s="40">
        <f t="shared" si="19"/>
        <v>1</v>
      </c>
      <c r="BI12" t="str">
        <f t="shared" si="20"/>
        <v>very low</v>
      </c>
      <c r="BJ12">
        <f>SUM(coded_data!ED12:EI12)</f>
        <v>2</v>
      </c>
      <c r="BK12" s="37">
        <f>SUM(coded_data!ED12:EI12) / 6</f>
        <v>0.33333333333333331</v>
      </c>
      <c r="BL12" s="40">
        <f t="shared" si="21"/>
        <v>2</v>
      </c>
      <c r="BM12" t="str">
        <f t="shared" si="22"/>
        <v>low</v>
      </c>
      <c r="BN12">
        <f>SUM(coded_data!EJ12:ET12)</f>
        <v>5</v>
      </c>
      <c r="BO12" s="37">
        <f>(SUM(coded_data!EJ12:ET12)/11)</f>
        <v>0.45454545454545453</v>
      </c>
      <c r="BP12" s="40">
        <f t="shared" si="23"/>
        <v>3</v>
      </c>
      <c r="BQ12" t="str">
        <f t="shared" si="24"/>
        <v>moderate</v>
      </c>
      <c r="BR12">
        <f>SUM(coded_data!EU12:EW12)</f>
        <v>2</v>
      </c>
      <c r="BS12" s="37">
        <f>SUM(coded_data!EU12:EW12) / 4</f>
        <v>0.5</v>
      </c>
      <c r="BT12" s="40">
        <f t="shared" si="25"/>
        <v>3</v>
      </c>
      <c r="BU12" t="str">
        <f t="shared" si="26"/>
        <v>moderate</v>
      </c>
      <c r="BV12" s="60">
        <f>SUM(coded_data!EX12:FC12)</f>
        <v>3</v>
      </c>
      <c r="BW12" s="37">
        <f>SUM(coded_data!EX12:FA12) / 5</f>
        <v>0.6</v>
      </c>
      <c r="BX12" s="40">
        <f t="shared" si="27"/>
        <v>3</v>
      </c>
      <c r="BY12" t="str">
        <f t="shared" si="28"/>
        <v>moderate</v>
      </c>
    </row>
    <row r="13" spans="1:77">
      <c r="A13" s="157">
        <v>10</v>
      </c>
      <c r="B13">
        <f>SUM(coded_data!K13:O13)</f>
        <v>4</v>
      </c>
      <c r="C13" s="37">
        <f>SUM(coded_data!K13:O13) / 5</f>
        <v>0.8</v>
      </c>
      <c r="D13" s="40">
        <f t="shared" si="29"/>
        <v>4</v>
      </c>
      <c r="E13" t="str">
        <f t="shared" si="0"/>
        <v>high</v>
      </c>
      <c r="F13" s="60">
        <f>SUM(coded_data!R13:X13)</f>
        <v>1</v>
      </c>
      <c r="G13" s="37">
        <f>SUM(coded_data!R13:X13) / 4</f>
        <v>0.25</v>
      </c>
      <c r="H13" s="40">
        <f t="shared" si="30"/>
        <v>2</v>
      </c>
      <c r="I13" t="str">
        <f t="shared" si="31"/>
        <v>low</v>
      </c>
      <c r="J13">
        <f>SUM(coded_data!Y13:AC13)</f>
        <v>6</v>
      </c>
      <c r="K13" s="37">
        <f>SUM(coded_data!Y13:AC13) / 8</f>
        <v>0.75</v>
      </c>
      <c r="L13" s="40">
        <f t="shared" si="1"/>
        <v>4</v>
      </c>
      <c r="M13" t="str">
        <f t="shared" si="32"/>
        <v>high</v>
      </c>
      <c r="N13">
        <f>SUM(coded_data!AD13:AR13)</f>
        <v>13</v>
      </c>
      <c r="O13" s="37">
        <f>SUM(coded_data!AD13:AR13)/29</f>
        <v>0.44827586206896552</v>
      </c>
      <c r="P13" s="40">
        <f t="shared" si="2"/>
        <v>3</v>
      </c>
      <c r="Q13" t="str">
        <f t="shared" si="33"/>
        <v>moderate</v>
      </c>
      <c r="R13">
        <f>SUM(coded_data!AS13)</f>
        <v>5</v>
      </c>
      <c r="S13" s="37">
        <f>SUM(coded_data!AS13) / 5</f>
        <v>1</v>
      </c>
      <c r="T13" s="40">
        <f t="shared" si="3"/>
        <v>5</v>
      </c>
      <c r="U13" t="str">
        <f t="shared" si="34"/>
        <v>very high</v>
      </c>
      <c r="V13">
        <f>SUM(coded_data!AT13)</f>
        <v>4</v>
      </c>
      <c r="W13" s="37">
        <f>SUM(coded_data!AT13) / 5</f>
        <v>0.8</v>
      </c>
      <c r="X13" s="40">
        <f t="shared" si="4"/>
        <v>4</v>
      </c>
      <c r="Y13" t="str">
        <f t="shared" si="35"/>
        <v>high</v>
      </c>
      <c r="Z13">
        <f>SUM(coded_data!AU13:BF13)</f>
        <v>54</v>
      </c>
      <c r="AA13" s="37">
        <f>SUM(coded_data!AU13:BF13) / 60</f>
        <v>0.9</v>
      </c>
      <c r="AB13" s="40">
        <f t="shared" si="5"/>
        <v>5</v>
      </c>
      <c r="AC13" t="str">
        <f t="shared" si="36"/>
        <v>very high</v>
      </c>
      <c r="AD13">
        <f>SUM(coded_data!BG13:BR13)</f>
        <v>51</v>
      </c>
      <c r="AE13" s="37">
        <f>SUM(coded_data!BG13:BR13) / 60</f>
        <v>0.85</v>
      </c>
      <c r="AF13" s="40">
        <f t="shared" si="6"/>
        <v>5</v>
      </c>
      <c r="AG13" t="str">
        <f t="shared" si="37"/>
        <v>very high</v>
      </c>
      <c r="AH13">
        <f>SUM(coded_data!BS13:CL13)</f>
        <v>12</v>
      </c>
      <c r="AI13" s="37">
        <f>SUM(coded_data!BS13:CL13) / 20</f>
        <v>0.6</v>
      </c>
      <c r="AJ13" s="40">
        <f t="shared" si="7"/>
        <v>3</v>
      </c>
      <c r="AK13" t="str">
        <f t="shared" si="8"/>
        <v>moderate</v>
      </c>
      <c r="AL13">
        <f>SUM(coded_data!CM13:CP13)</f>
        <v>3</v>
      </c>
      <c r="AM13" s="37">
        <f>SUM(coded_data!CM13:CP13) / 4</f>
        <v>0.75</v>
      </c>
      <c r="AN13" s="40">
        <f t="shared" si="9"/>
        <v>4</v>
      </c>
      <c r="AO13" t="str">
        <f t="shared" si="10"/>
        <v>high</v>
      </c>
      <c r="AP13">
        <f>SUM(coded_data!CQ13:DB13)</f>
        <v>5</v>
      </c>
      <c r="AQ13" s="37">
        <f>SUM(coded_data!CQ13:DB13) / 12</f>
        <v>0.41666666666666669</v>
      </c>
      <c r="AR13" s="40">
        <f t="shared" si="11"/>
        <v>3</v>
      </c>
      <c r="AS13" t="str">
        <f t="shared" si="12"/>
        <v>moderate</v>
      </c>
      <c r="AT13">
        <f>SUM(coded_data!DC13:DH13)</f>
        <v>4</v>
      </c>
      <c r="AU13" s="37">
        <f>SUM(coded_data!DC13:DH13) / 6</f>
        <v>0.66666666666666663</v>
      </c>
      <c r="AV13" s="40">
        <f t="shared" si="13"/>
        <v>4</v>
      </c>
      <c r="AW13" t="str">
        <f t="shared" si="14"/>
        <v>high</v>
      </c>
      <c r="AX13">
        <f>SUM(coded_data!DI13:DT13)</f>
        <v>10</v>
      </c>
      <c r="AY13" s="37">
        <f>SUM(coded_data!DI13:DT13) / 12</f>
        <v>0.83333333333333337</v>
      </c>
      <c r="AZ13" s="40">
        <f t="shared" si="15"/>
        <v>5</v>
      </c>
      <c r="BA13" t="str">
        <f t="shared" si="16"/>
        <v>very high</v>
      </c>
      <c r="BB13">
        <f>SUM(coded_data!DU13:EB13)</f>
        <v>6</v>
      </c>
      <c r="BC13" s="37">
        <f>SUM(coded_data!DU13:EB13) / 8</f>
        <v>0.75</v>
      </c>
      <c r="BD13" s="40">
        <f t="shared" si="17"/>
        <v>4</v>
      </c>
      <c r="BE13" t="str">
        <f t="shared" si="18"/>
        <v>high</v>
      </c>
      <c r="BF13">
        <f>SUM(coded_data!EC13)</f>
        <v>1</v>
      </c>
      <c r="BG13" s="37">
        <f>SUM(coded_data!EC13)</f>
        <v>1</v>
      </c>
      <c r="BH13" s="40">
        <f t="shared" si="19"/>
        <v>5</v>
      </c>
      <c r="BI13" t="str">
        <f t="shared" si="20"/>
        <v>very high</v>
      </c>
      <c r="BJ13">
        <f>SUM(coded_data!ED13:EI13)</f>
        <v>2</v>
      </c>
      <c r="BK13" s="37">
        <f>SUM(coded_data!ED13:EI13) / 6</f>
        <v>0.33333333333333331</v>
      </c>
      <c r="BL13" s="40">
        <f t="shared" si="21"/>
        <v>2</v>
      </c>
      <c r="BM13" t="str">
        <f t="shared" si="22"/>
        <v>low</v>
      </c>
      <c r="BN13">
        <f>SUM(coded_data!EJ13:ET13)</f>
        <v>5</v>
      </c>
      <c r="BO13" s="37">
        <f>(SUM(coded_data!EJ13:ET13)/11)</f>
        <v>0.45454545454545453</v>
      </c>
      <c r="BP13" s="40">
        <f t="shared" si="23"/>
        <v>3</v>
      </c>
      <c r="BQ13" t="str">
        <f t="shared" si="24"/>
        <v>moderate</v>
      </c>
      <c r="BR13">
        <f>SUM(coded_data!EU13:EW13)</f>
        <v>3</v>
      </c>
      <c r="BS13" s="37">
        <f>SUM(coded_data!EU13:EW13) / 4</f>
        <v>0.75</v>
      </c>
      <c r="BT13" s="40">
        <f t="shared" si="25"/>
        <v>4</v>
      </c>
      <c r="BU13" t="str">
        <f t="shared" si="26"/>
        <v>high</v>
      </c>
      <c r="BV13" s="60">
        <f>SUM(coded_data!EX13:FC13)</f>
        <v>3</v>
      </c>
      <c r="BW13" s="37">
        <f>SUM(coded_data!EX13:FA13) / 5</f>
        <v>0.2</v>
      </c>
      <c r="BX13" s="40">
        <f t="shared" si="27"/>
        <v>1</v>
      </c>
      <c r="BY13" t="str">
        <f t="shared" si="28"/>
        <v>very low</v>
      </c>
    </row>
    <row r="14" spans="1:77">
      <c r="D14" s="41"/>
    </row>
  </sheetData>
  <mergeCells count="24">
    <mergeCell ref="A1:A2"/>
    <mergeCell ref="F2:I2"/>
    <mergeCell ref="J2:M2"/>
    <mergeCell ref="N2:Q2"/>
    <mergeCell ref="AD2:AG2"/>
    <mergeCell ref="Z2:AC2"/>
    <mergeCell ref="V2:Y2"/>
    <mergeCell ref="R2:U2"/>
    <mergeCell ref="BV1:BY2"/>
    <mergeCell ref="BR2:BU2"/>
    <mergeCell ref="B1:Q1"/>
    <mergeCell ref="R1:AG1"/>
    <mergeCell ref="AH1:BI1"/>
    <mergeCell ref="BJ1:BU1"/>
    <mergeCell ref="AX2:BA2"/>
    <mergeCell ref="BB2:BE2"/>
    <mergeCell ref="BF2:BI2"/>
    <mergeCell ref="BJ2:BM2"/>
    <mergeCell ref="BN2:BQ2"/>
    <mergeCell ref="B2:E2"/>
    <mergeCell ref="AH2:AK2"/>
    <mergeCell ref="AL2:AO2"/>
    <mergeCell ref="AP2:AS2"/>
    <mergeCell ref="AT2:AW2"/>
  </mergeCells>
  <hyperlinks>
    <hyperlink ref="A1" location="Intro!A1" display="Intro!A1" xr:uid="{00000000-0004-0000-0300-000000000000}"/>
  </hyperlink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145"/>
  <sheetViews>
    <sheetView showGridLines="0" zoomScale="51" zoomScaleNormal="51" workbookViewId="0">
      <selection activeCell="AN22" sqref="AN22"/>
    </sheetView>
  </sheetViews>
  <sheetFormatPr defaultRowHeight="14.5"/>
  <cols>
    <col min="1" max="1" width="7.08984375" style="68" customWidth="1"/>
    <col min="2" max="2" width="21.453125" customWidth="1"/>
    <col min="3" max="3" width="20.1796875" customWidth="1"/>
    <col min="4" max="4" width="5.54296875" style="17" customWidth="1"/>
    <col min="5" max="5" width="7.1796875" customWidth="1"/>
    <col min="6" max="6" width="2.54296875" customWidth="1"/>
    <col min="7" max="7" width="7.453125" style="18" customWidth="1"/>
    <col min="8" max="8" width="62.7265625" style="17" customWidth="1"/>
    <col min="9" max="9" width="16.54296875" style="30" customWidth="1"/>
    <col min="10" max="10" width="27.26953125" customWidth="1"/>
    <col min="11" max="11" width="8.7265625" customWidth="1"/>
    <col min="12" max="12" width="15.81640625" customWidth="1"/>
    <col min="13" max="13" width="4.26953125" customWidth="1"/>
    <col min="14" max="14" width="7.1796875" style="17" customWidth="1"/>
    <col min="15" max="15" width="109" customWidth="1"/>
    <col min="16" max="16" width="4.453125" customWidth="1"/>
    <col min="17" max="20" width="4.81640625" customWidth="1"/>
    <col min="21" max="21" width="13.7265625" customWidth="1"/>
    <col min="22" max="22" width="17.1796875" style="30" customWidth="1"/>
    <col min="23" max="23" width="8.7265625" style="39" customWidth="1"/>
    <col min="24" max="24" width="16.1796875" customWidth="1"/>
    <col min="25" max="25" width="1.7265625" customWidth="1"/>
    <col min="26" max="26" width="6.1796875" style="18" customWidth="1"/>
    <col min="27" max="27" width="73" customWidth="1"/>
    <col min="28" max="28" width="14.7265625" style="18" customWidth="1"/>
    <col min="29" max="29" width="14.1796875" style="37" customWidth="1"/>
    <col min="30" max="30" width="9" style="37" customWidth="1"/>
    <col min="31" max="31" width="15.81640625" customWidth="1"/>
    <col min="32" max="32" width="3.7265625" customWidth="1"/>
    <col min="33" max="33" width="5.54296875" style="18" customWidth="1"/>
    <col min="34" max="34" width="84.81640625" customWidth="1"/>
    <col min="35" max="35" width="14.81640625" customWidth="1"/>
    <col min="36" max="36" width="21.54296875" style="37" customWidth="1"/>
    <col min="37" max="37" width="8.453125" customWidth="1"/>
    <col min="38" max="38" width="15.7265625" customWidth="1"/>
    <col min="39" max="39" width="2.26953125" customWidth="1"/>
    <col min="40" max="40" width="5.81640625" style="18" customWidth="1"/>
    <col min="41" max="41" width="85.26953125" customWidth="1"/>
    <col min="42" max="42" width="14.81640625" customWidth="1"/>
    <col min="43" max="43" width="22.1796875" style="37" customWidth="1"/>
    <col min="45" max="45" width="15.7265625" customWidth="1"/>
    <col min="46" max="46" width="1.7265625" customWidth="1"/>
    <col min="47" max="47" width="11.81640625" customWidth="1"/>
    <col min="48" max="48" width="6" customWidth="1"/>
    <col min="49" max="49" width="6.26953125" customWidth="1"/>
    <col min="50" max="50" width="6" customWidth="1"/>
    <col min="51" max="51" width="6.7265625" customWidth="1"/>
    <col min="52" max="52" width="6.81640625" customWidth="1"/>
    <col min="53" max="53" width="7" customWidth="1"/>
    <col min="54" max="54" width="1.7265625" customWidth="1"/>
    <col min="55" max="55" width="22" customWidth="1"/>
    <col min="56" max="56" width="18.54296875" customWidth="1"/>
    <col min="57" max="57" width="1.453125" customWidth="1"/>
    <col min="58" max="58" width="17.54296875" customWidth="1"/>
    <col min="59" max="59" width="7.26953125" customWidth="1"/>
    <col min="60" max="60" width="6" customWidth="1"/>
    <col min="61" max="61" width="6.1796875" customWidth="1"/>
  </cols>
  <sheetData>
    <row r="1" spans="1:61" ht="15.75" customHeight="1">
      <c r="A1" s="316" t="s">
        <v>322</v>
      </c>
      <c r="B1" s="275" t="s">
        <v>243</v>
      </c>
      <c r="C1" s="276"/>
      <c r="D1" s="276"/>
      <c r="E1" s="277"/>
      <c r="G1" s="298" t="s">
        <v>238</v>
      </c>
      <c r="H1" s="299"/>
      <c r="I1" s="299"/>
      <c r="J1" s="299"/>
      <c r="K1" s="299"/>
      <c r="L1" s="300"/>
      <c r="N1" s="304" t="s">
        <v>239</v>
      </c>
      <c r="O1" s="305"/>
      <c r="P1" s="305"/>
      <c r="Q1" s="305"/>
      <c r="R1" s="305"/>
      <c r="S1" s="305"/>
      <c r="T1" s="305"/>
      <c r="U1" s="305"/>
      <c r="V1" s="305"/>
      <c r="W1" s="305"/>
      <c r="X1" s="306"/>
      <c r="Z1" s="310" t="s">
        <v>242</v>
      </c>
      <c r="AA1" s="311"/>
      <c r="AB1" s="311"/>
      <c r="AC1" s="311"/>
      <c r="AD1" s="311"/>
      <c r="AE1" s="312"/>
      <c r="AG1" s="269" t="s">
        <v>521</v>
      </c>
      <c r="AH1" s="270"/>
      <c r="AI1" s="270"/>
      <c r="AJ1" s="270"/>
      <c r="AK1" s="270"/>
      <c r="AL1" s="271"/>
      <c r="AN1" s="263" t="s">
        <v>300</v>
      </c>
      <c r="AO1" s="264"/>
      <c r="AP1" s="264"/>
      <c r="AQ1" s="264"/>
      <c r="AR1" s="264"/>
      <c r="AS1" s="265"/>
      <c r="AU1" s="289" t="s">
        <v>532</v>
      </c>
      <c r="AV1" s="290"/>
      <c r="AW1" s="290"/>
      <c r="AX1" s="290"/>
      <c r="AY1" s="290"/>
      <c r="AZ1" s="290"/>
      <c r="BA1" s="290"/>
      <c r="BB1" s="290"/>
      <c r="BC1" s="290"/>
      <c r="BD1" s="290"/>
      <c r="BE1" s="290"/>
      <c r="BF1" s="290"/>
      <c r="BG1" s="290"/>
      <c r="BH1" s="290"/>
      <c r="BI1" s="291"/>
    </row>
    <row r="2" spans="1:61" ht="15.75" customHeight="1" thickBot="1">
      <c r="A2" s="316"/>
      <c r="B2" s="278"/>
      <c r="C2" s="279"/>
      <c r="D2" s="279"/>
      <c r="E2" s="280"/>
      <c r="G2" s="301"/>
      <c r="H2" s="302"/>
      <c r="I2" s="302"/>
      <c r="J2" s="302"/>
      <c r="K2" s="302"/>
      <c r="L2" s="303"/>
      <c r="N2" s="307"/>
      <c r="O2" s="308"/>
      <c r="P2" s="308"/>
      <c r="Q2" s="308"/>
      <c r="R2" s="308"/>
      <c r="S2" s="308"/>
      <c r="T2" s="308"/>
      <c r="U2" s="308"/>
      <c r="V2" s="308"/>
      <c r="W2" s="308"/>
      <c r="X2" s="309"/>
      <c r="Z2" s="313"/>
      <c r="AA2" s="314"/>
      <c r="AB2" s="314"/>
      <c r="AC2" s="314"/>
      <c r="AD2" s="314"/>
      <c r="AE2" s="315"/>
      <c r="AG2" s="272"/>
      <c r="AH2" s="273"/>
      <c r="AI2" s="273"/>
      <c r="AJ2" s="273"/>
      <c r="AK2" s="273"/>
      <c r="AL2" s="274"/>
      <c r="AN2" s="266"/>
      <c r="AO2" s="267"/>
      <c r="AP2" s="267"/>
      <c r="AQ2" s="267"/>
      <c r="AR2" s="267"/>
      <c r="AS2" s="268"/>
      <c r="AU2" s="292"/>
      <c r="AV2" s="293"/>
      <c r="AW2" s="293"/>
      <c r="AX2" s="293"/>
      <c r="AY2" s="293"/>
      <c r="AZ2" s="293"/>
      <c r="BA2" s="293"/>
      <c r="BB2" s="293"/>
      <c r="BC2" s="293"/>
      <c r="BD2" s="293"/>
      <c r="BE2" s="293"/>
      <c r="BF2" s="293"/>
      <c r="BG2" s="293"/>
      <c r="BH2" s="293"/>
      <c r="BI2" s="294"/>
    </row>
    <row r="3" spans="1:61" ht="15" thickBot="1">
      <c r="A3" s="68" t="s">
        <v>339</v>
      </c>
      <c r="B3" s="33" t="s">
        <v>244</v>
      </c>
      <c r="C3" s="20" t="s">
        <v>245</v>
      </c>
      <c r="D3" s="29" t="s">
        <v>337</v>
      </c>
      <c r="E3" s="25" t="s">
        <v>246</v>
      </c>
      <c r="G3" s="38" t="s">
        <v>339</v>
      </c>
      <c r="H3" s="33" t="s">
        <v>244</v>
      </c>
      <c r="I3" s="29" t="s">
        <v>412</v>
      </c>
      <c r="J3" s="42" t="s">
        <v>338</v>
      </c>
      <c r="K3" s="42" t="s">
        <v>280</v>
      </c>
      <c r="L3" s="43" t="s">
        <v>340</v>
      </c>
      <c r="N3" s="17" t="s">
        <v>339</v>
      </c>
      <c r="O3" t="s">
        <v>244</v>
      </c>
      <c r="P3" t="s">
        <v>407</v>
      </c>
      <c r="Q3" t="s">
        <v>408</v>
      </c>
      <c r="R3" t="s">
        <v>409</v>
      </c>
      <c r="S3" t="s">
        <v>410</v>
      </c>
      <c r="T3" t="s">
        <v>411</v>
      </c>
      <c r="U3" t="s">
        <v>413</v>
      </c>
      <c r="V3" s="30" t="s">
        <v>552</v>
      </c>
      <c r="W3" s="39" t="s">
        <v>280</v>
      </c>
      <c r="X3" t="s">
        <v>340</v>
      </c>
      <c r="Z3" s="18" t="s">
        <v>339</v>
      </c>
      <c r="AA3" t="s">
        <v>244</v>
      </c>
      <c r="AB3" s="18" t="s">
        <v>413</v>
      </c>
      <c r="AC3" s="37" t="s">
        <v>414</v>
      </c>
      <c r="AD3" s="37" t="s">
        <v>280</v>
      </c>
      <c r="AE3" t="s">
        <v>340</v>
      </c>
      <c r="AG3" s="18" t="s">
        <v>339</v>
      </c>
      <c r="AH3" t="s">
        <v>244</v>
      </c>
      <c r="AI3" t="s">
        <v>413</v>
      </c>
      <c r="AJ3" s="37" t="s">
        <v>338</v>
      </c>
      <c r="AK3" t="s">
        <v>280</v>
      </c>
      <c r="AL3" t="s">
        <v>340</v>
      </c>
      <c r="AN3" s="18" t="s">
        <v>339</v>
      </c>
      <c r="AO3" t="s">
        <v>244</v>
      </c>
      <c r="AP3" t="s">
        <v>413</v>
      </c>
      <c r="AQ3" s="37" t="s">
        <v>553</v>
      </c>
      <c r="AR3" t="s">
        <v>280</v>
      </c>
      <c r="AS3" t="s">
        <v>340</v>
      </c>
      <c r="AU3" s="284" t="s">
        <v>529</v>
      </c>
      <c r="AV3" s="286"/>
      <c r="AW3" s="286"/>
      <c r="AX3" s="286"/>
      <c r="AY3" s="286"/>
      <c r="AZ3" s="286"/>
      <c r="BA3" s="285"/>
      <c r="BC3" s="284" t="s">
        <v>557</v>
      </c>
      <c r="BD3" s="285"/>
      <c r="BF3" s="284" t="s">
        <v>563</v>
      </c>
      <c r="BG3" s="286"/>
      <c r="BH3" s="286"/>
      <c r="BI3" s="285"/>
    </row>
    <row r="4" spans="1:61" ht="15" customHeight="1">
      <c r="A4" s="317">
        <v>1</v>
      </c>
      <c r="B4" s="281" t="s">
        <v>598</v>
      </c>
      <c r="C4" s="19" t="s">
        <v>1</v>
      </c>
      <c r="D4" s="21">
        <v>7</v>
      </c>
      <c r="E4" s="22">
        <f>COUNTIF(coded_data!B:B,D4)</f>
        <v>1</v>
      </c>
      <c r="G4" s="18">
        <v>1</v>
      </c>
      <c r="H4" s="31" t="s">
        <v>341</v>
      </c>
      <c r="I4" s="154">
        <f>SUM(coded_data!K:K)</f>
        <v>5</v>
      </c>
      <c r="J4" s="32">
        <f>I4/COUNT(coded_data!A:A)</f>
        <v>0.5</v>
      </c>
      <c r="K4" s="39">
        <f t="shared" ref="K4:K21" si="0">IF(L4="very low",1,IF(L4="low",2,IF(L4="moderate",3,IF(L4="high",4,5))))</f>
        <v>3</v>
      </c>
      <c r="L4" s="63" t="str">
        <f t="shared" ref="L4:L21" si="1">IF(J4&lt;20%,"very low",IF(J4&lt;40%,"low",IF(J4&lt;60%,"moderate",IF(J4&lt;80%,"high","very high"))))</f>
        <v>moderate</v>
      </c>
      <c r="N4" s="17">
        <v>1</v>
      </c>
      <c r="O4" t="s">
        <v>360</v>
      </c>
      <c r="P4">
        <f>COUNTIF(coded_data!AS:AS, 1)</f>
        <v>3</v>
      </c>
      <c r="Q4">
        <f>COUNTIF(coded_data!AS:AS, 2)</f>
        <v>1</v>
      </c>
      <c r="R4">
        <f>COUNTIF(coded_data!AS:AS, 3)</f>
        <v>0</v>
      </c>
      <c r="S4">
        <f>COUNTIF(coded_data!AS:AS, 4)</f>
        <v>4</v>
      </c>
      <c r="T4">
        <f>COUNTIF(coded_data!AS:AS, 5)</f>
        <v>2</v>
      </c>
      <c r="U4" s="17">
        <f>SUM(coded_data!AS:AS)</f>
        <v>31</v>
      </c>
      <c r="V4" s="30">
        <f>U4/(COUNT(coded_data!A:A) * 5)</f>
        <v>0.62</v>
      </c>
      <c r="W4" s="39">
        <f t="shared" ref="W4:W28" si="2">IF(X4="very low",1,IF(X4="low",2,IF(X4="moderate",3,IF(X4="high",4,5))))</f>
        <v>4</v>
      </c>
      <c r="X4" t="str">
        <f t="shared" ref="X4:X28" si="3">IF(V4&lt;20%,"very low",IF(V4&lt;40%,"low",IF(V4&lt;60%,"moderate",IF(V4&lt;80%,"high","very high"))))</f>
        <v>high</v>
      </c>
      <c r="Z4" s="18">
        <v>1</v>
      </c>
      <c r="AA4" t="s">
        <v>415</v>
      </c>
      <c r="AB4" s="18">
        <f>SUM(coded_data!BS:BS) + SUM(coded_data!BT:BT) + SUM(coded_data!BU:BU)</f>
        <v>27</v>
      </c>
      <c r="AC4" s="37">
        <f>AB4/COUNT(coded_data!A:A)/3</f>
        <v>0.9</v>
      </c>
      <c r="AD4" s="39">
        <f t="shared" ref="AD4:AD20" si="4">IF(AE4="very low",1,IF(AE4="low",2,IF(AE4="moderate",3,IF(AE4="high",4,5))))</f>
        <v>5</v>
      </c>
      <c r="AE4" s="45" t="str">
        <f t="shared" ref="AE4:AE20" si="5">IF(AC4&lt;20%,"very low",IF(AC4&lt;40%,"low",IF(AC4&lt;60%,"moderate",IF(AC4&lt;80%,"high","very high"))))</f>
        <v>very high</v>
      </c>
      <c r="AG4" s="18">
        <v>1</v>
      </c>
      <c r="AH4" t="s">
        <v>508</v>
      </c>
      <c r="AI4">
        <f>SUM(coded_data!ED:ED)</f>
        <v>5</v>
      </c>
      <c r="AJ4" s="37">
        <f>AI4/COUNT(coded_data!A:A)</f>
        <v>0.5</v>
      </c>
      <c r="AK4" s="44">
        <f t="shared" ref="AK4:AK16" si="6">IF(AL4="very low",1,IF(AL4="low",2,IF(AL4="moderate",3,IF(AL4="high",4,5))))</f>
        <v>3</v>
      </c>
      <c r="AL4" s="45" t="str">
        <f t="shared" ref="AL4:AL16" si="7">IF(AJ4&lt;20%,"very low",IF(AJ4&lt;40%,"low",IF(AJ4&lt;60%,"moderate",IF(AJ4&lt;80%,"high","very high"))))</f>
        <v>moderate</v>
      </c>
      <c r="AN4" s="18">
        <v>1</v>
      </c>
      <c r="AO4" t="s">
        <v>522</v>
      </c>
      <c r="AP4">
        <f>SUM(coded_data!EX:EX)</f>
        <v>12</v>
      </c>
      <c r="AQ4" s="37">
        <f>AP4/COUNT(coded_data!A:A) / 2</f>
        <v>0.6</v>
      </c>
      <c r="AR4" s="44">
        <f>IF(AS4="very low",1,IF(AS4="low",2,IF(AS4="moderate",3,IF(AS4="high",4,5))))</f>
        <v>4</v>
      </c>
      <c r="AS4" s="45" t="str">
        <f>IF(AQ4&lt;20%,"very low",IF(AQ4&lt;40%,"low",IF(AQ4&lt;60%,"moderate",IF(AQ4&lt;80%,"high","very high"))))</f>
        <v>high</v>
      </c>
      <c r="AU4" s="297" t="s">
        <v>525</v>
      </c>
      <c r="AV4" s="295" t="s">
        <v>530</v>
      </c>
      <c r="AW4" s="295"/>
      <c r="AX4" s="295"/>
      <c r="AY4" s="295" t="s">
        <v>531</v>
      </c>
      <c r="AZ4" s="295"/>
      <c r="BA4" s="296"/>
      <c r="BC4" s="16" t="s">
        <v>209</v>
      </c>
      <c r="BD4" s="46">
        <f>COUNTIF(raw_data!FP:FP, BC4)</f>
        <v>2</v>
      </c>
      <c r="BF4" s="61" t="s">
        <v>525</v>
      </c>
      <c r="BG4" s="15" t="s">
        <v>526</v>
      </c>
      <c r="BH4" s="15" t="s">
        <v>527</v>
      </c>
      <c r="BI4" s="86" t="s">
        <v>528</v>
      </c>
    </row>
    <row r="5" spans="1:61">
      <c r="A5" s="318"/>
      <c r="B5" s="282"/>
      <c r="C5" s="5" t="s">
        <v>247</v>
      </c>
      <c r="D5" s="23">
        <v>6</v>
      </c>
      <c r="E5" s="1">
        <f>COUNTIF(coded_data!B:B,D5)</f>
        <v>1</v>
      </c>
      <c r="G5" s="18">
        <v>2</v>
      </c>
      <c r="H5" s="31" t="s">
        <v>342</v>
      </c>
      <c r="I5" s="23">
        <f>SUM(coded_data!L:L)</f>
        <v>4</v>
      </c>
      <c r="J5" s="32">
        <f>I5/COUNT(coded_data!B:B)</f>
        <v>0.4</v>
      </c>
      <c r="K5" s="39">
        <f t="shared" si="0"/>
        <v>3</v>
      </c>
      <c r="L5" s="5" t="str">
        <f t="shared" si="1"/>
        <v>moderate</v>
      </c>
      <c r="N5" s="17">
        <v>2</v>
      </c>
      <c r="O5" t="s">
        <v>359</v>
      </c>
      <c r="P5">
        <f>COUNTIF(coded_data!AT:AT, 1)</f>
        <v>0</v>
      </c>
      <c r="Q5">
        <f>COUNTIF(coded_data!AT:AT, 2)</f>
        <v>2</v>
      </c>
      <c r="R5">
        <f>COUNTIF(coded_data!AT:AT, 3)</f>
        <v>4</v>
      </c>
      <c r="S5">
        <f>COUNTIF(coded_data!AT:AT, 4)</f>
        <v>3</v>
      </c>
      <c r="T5">
        <f>COUNTIF(coded_data!AT:AT, 5)</f>
        <v>0</v>
      </c>
      <c r="U5" s="17">
        <f>SUM(coded_data!AT:AT)</f>
        <v>28</v>
      </c>
      <c r="V5" s="30">
        <f>U5/(COUNT(coded_data!A:A) * 5)</f>
        <v>0.56000000000000005</v>
      </c>
      <c r="W5" s="39">
        <f t="shared" si="2"/>
        <v>3</v>
      </c>
      <c r="X5" t="str">
        <f t="shared" si="3"/>
        <v>moderate</v>
      </c>
      <c r="Z5" s="18">
        <v>2</v>
      </c>
      <c r="AA5" t="s">
        <v>416</v>
      </c>
      <c r="AB5" s="18">
        <f>SUM(coded_data!BV:BV) + SUM(coded_data!BW:BW) + SUM(coded_data!BX:BX)</f>
        <v>27</v>
      </c>
      <c r="AC5" s="37">
        <f>AB5/COUNT(coded_data!A:A)/3</f>
        <v>0.9</v>
      </c>
      <c r="AD5" s="39">
        <f t="shared" si="4"/>
        <v>5</v>
      </c>
      <c r="AE5" s="45" t="str">
        <f t="shared" si="5"/>
        <v>very high</v>
      </c>
      <c r="AG5" s="18">
        <v>2</v>
      </c>
      <c r="AH5" t="s">
        <v>510</v>
      </c>
      <c r="AI5">
        <f>SUM(coded_data!EE:EE) + SUM(coded_data!EF:EF)</f>
        <v>4</v>
      </c>
      <c r="AJ5" s="37">
        <f>AI5/COUNT(coded_data!A:A) / 2</f>
        <v>0.2</v>
      </c>
      <c r="AK5" s="44">
        <f t="shared" si="6"/>
        <v>2</v>
      </c>
      <c r="AL5" s="45" t="str">
        <f t="shared" si="7"/>
        <v>low</v>
      </c>
      <c r="AN5" s="18">
        <v>2</v>
      </c>
      <c r="AO5" t="s">
        <v>523</v>
      </c>
      <c r="AP5">
        <f>SUM(coded_data!EY:EY)+SUM(coded_data!EZ:EZ)</f>
        <v>11</v>
      </c>
      <c r="AQ5" s="37">
        <f>AP5/COUNT(coded_data!A:A) / 2</f>
        <v>0.55000000000000004</v>
      </c>
      <c r="AR5" s="44">
        <f>IF(AS5="very low",1,IF(AS5="low",2,IF(AS5="moderate",3,IF(AS5="high",4,5))))</f>
        <v>3</v>
      </c>
      <c r="AS5" s="45" t="str">
        <f>IF(AQ5&lt;20%,"very low",IF(AQ5&lt;40%,"low",IF(AQ5&lt;60%,"moderate",IF(AQ5&lt;80%,"high","very high"))))</f>
        <v>moderate</v>
      </c>
      <c r="AU5" s="297"/>
      <c r="AV5" s="5" t="s">
        <v>526</v>
      </c>
      <c r="AW5" s="5" t="s">
        <v>527</v>
      </c>
      <c r="AX5" s="5" t="s">
        <v>528</v>
      </c>
      <c r="AY5" s="5" t="s">
        <v>526</v>
      </c>
      <c r="AZ5" s="5" t="s">
        <v>527</v>
      </c>
      <c r="BA5" s="46" t="s">
        <v>528</v>
      </c>
      <c r="BC5" s="16" t="s">
        <v>560</v>
      </c>
      <c r="BD5" s="46">
        <f>COUNTIF(raw_data!FP:FP, BC5)</f>
        <v>1</v>
      </c>
      <c r="BF5" s="62" t="s">
        <v>564</v>
      </c>
      <c r="BG5" s="63">
        <f>COUNTIF(raw_data!FW:FW, BF5)</f>
        <v>0</v>
      </c>
      <c r="BH5" s="63">
        <f>COUNTIF(raw_data!FX:FX, BF5)</f>
        <v>0</v>
      </c>
      <c r="BI5" s="46">
        <f>COUNTIF(raw_data!FY:FY, BF5)</f>
        <v>0</v>
      </c>
    </row>
    <row r="6" spans="1:61">
      <c r="A6" s="318"/>
      <c r="B6" s="282"/>
      <c r="C6" s="5" t="s">
        <v>3</v>
      </c>
      <c r="D6" s="23">
        <v>5</v>
      </c>
      <c r="E6" s="1">
        <f>COUNTIF(coded_data!B:B,D6)</f>
        <v>2</v>
      </c>
      <c r="G6" s="18">
        <v>3</v>
      </c>
      <c r="H6" s="31" t="s">
        <v>344</v>
      </c>
      <c r="I6" s="35">
        <f>SUM(coded_data!M:M) + SUM(coded_data!N:N) + SUM(coded_data!O:O)</f>
        <v>17</v>
      </c>
      <c r="J6" s="32">
        <f>I6/COUNT(coded_data!C:C) /3</f>
        <v>0.56666666666666665</v>
      </c>
      <c r="K6" s="39">
        <f t="shared" si="0"/>
        <v>3</v>
      </c>
      <c r="L6" s="5" t="str">
        <f t="shared" si="1"/>
        <v>moderate</v>
      </c>
      <c r="N6" s="17" t="s">
        <v>362</v>
      </c>
      <c r="O6" t="s">
        <v>361</v>
      </c>
      <c r="P6">
        <f>COUNTIF(coded_data!AU:AU, 1)</f>
        <v>0</v>
      </c>
      <c r="Q6">
        <f>COUNTIF(coded_data!AU:AU, 2)</f>
        <v>0</v>
      </c>
      <c r="R6">
        <f>COUNTIF(coded_data!AU:AU, 3)</f>
        <v>0</v>
      </c>
      <c r="S6">
        <f>COUNTIF(coded_data!AU:AU, 4)</f>
        <v>7</v>
      </c>
      <c r="T6">
        <f>COUNTIF(coded_data!AU:AU, 5)</f>
        <v>3</v>
      </c>
      <c r="U6" s="17">
        <f>SUM(coded_data!AU:AU)</f>
        <v>43</v>
      </c>
      <c r="V6" s="30">
        <f>U6/(COUNT(coded_data!A:A) * 5)</f>
        <v>0.86</v>
      </c>
      <c r="W6" s="39">
        <f t="shared" si="2"/>
        <v>5</v>
      </c>
      <c r="X6" t="str">
        <f t="shared" si="3"/>
        <v>very high</v>
      </c>
      <c r="Z6" s="18">
        <v>3</v>
      </c>
      <c r="AA6" t="s">
        <v>430</v>
      </c>
      <c r="AB6" s="18">
        <f>SUM(coded_data!BY:BY) + SUM(coded_data!BZ:BZ) + SUM(coded_data!CA:CA) + SUM(coded_data!CB:CB) + SUM(coded_data!CC:CC) + SUM(coded_data!CD:CD) +SUM(coded_data!CE:CE) + SUM(coded_data!CF:CF)</f>
        <v>33</v>
      </c>
      <c r="AC6" s="37">
        <f>AB6/COUNT(coded_data!A:A)/8</f>
        <v>0.41249999999999998</v>
      </c>
      <c r="AD6" s="39">
        <f t="shared" si="4"/>
        <v>3</v>
      </c>
      <c r="AE6" s="45" t="str">
        <f t="shared" si="5"/>
        <v>moderate</v>
      </c>
      <c r="AG6" s="18">
        <v>3</v>
      </c>
      <c r="AH6" t="s">
        <v>509</v>
      </c>
      <c r="AI6">
        <f>SUM(coded_data!EG:EG)</f>
        <v>5</v>
      </c>
      <c r="AJ6" s="37">
        <f>AI6/COUNT(coded_data!A:A)</f>
        <v>0.5</v>
      </c>
      <c r="AK6" s="44">
        <f t="shared" si="6"/>
        <v>3</v>
      </c>
      <c r="AL6" s="45" t="str">
        <f t="shared" si="7"/>
        <v>moderate</v>
      </c>
      <c r="AN6" s="18">
        <v>3</v>
      </c>
      <c r="AO6" t="s">
        <v>524</v>
      </c>
      <c r="AP6">
        <f>SUM(coded_data!FA:FA) + SUM(coded_data!FB:FB) + SUM(coded_data!FC:FC)</f>
        <v>18</v>
      </c>
      <c r="AQ6" s="37">
        <f>AP6/COUNT(coded_data!A:A) /3</f>
        <v>0.6</v>
      </c>
      <c r="AR6" s="44">
        <f>IF(AS6="very low",1,IF(AS6="low",2,IF(AS6="moderate",3,IF(AS6="high",4,5))))</f>
        <v>4</v>
      </c>
      <c r="AS6" s="45" t="str">
        <f>IF(AQ6&lt;20%,"very low",IF(AQ6&lt;40%,"low",IF(AQ6&lt;60%,"moderate",IF(AQ6&lt;80%,"high","very high"))))</f>
        <v>high</v>
      </c>
      <c r="AU6" s="16" t="s">
        <v>219</v>
      </c>
      <c r="AV6" s="5">
        <f>COUNTIF(raw_data!FD:FD, AU6)</f>
        <v>5</v>
      </c>
      <c r="AW6" s="5">
        <f>COUNTIF(raw_data!FE:FE, AU6)</f>
        <v>2</v>
      </c>
      <c r="AX6" s="5">
        <f>COUNTIF(raw_data!FF:FF, AU6)</f>
        <v>2</v>
      </c>
      <c r="AY6" s="5">
        <f>COUNTIF(raw_data!FJ:FJ, AU6)</f>
        <v>7</v>
      </c>
      <c r="AZ6" s="5">
        <f>COUNTIF(raw_data!FK:FK, AU6)</f>
        <v>1</v>
      </c>
      <c r="BA6" s="46">
        <f>COUNTIF(raw_data!FL:FL, AU6)</f>
        <v>2</v>
      </c>
      <c r="BC6" s="16" t="s">
        <v>212</v>
      </c>
      <c r="BD6" s="46">
        <f>COUNTIF(raw_data!FP:FP, BC6)</f>
        <v>3</v>
      </c>
      <c r="BF6" s="62" t="s">
        <v>217</v>
      </c>
      <c r="BG6" s="63">
        <f>COUNTIF(raw_data!FW:FW, BF6)</f>
        <v>1</v>
      </c>
      <c r="BH6" s="63">
        <f>COUNTIF(raw_data!FX:FX, BF6)</f>
        <v>0</v>
      </c>
      <c r="BI6" s="46">
        <f>COUNTIF(raw_data!FY:FY, BF6)</f>
        <v>0</v>
      </c>
    </row>
    <row r="7" spans="1:61">
      <c r="A7" s="318"/>
      <c r="B7" s="282"/>
      <c r="C7" s="5" t="s">
        <v>248</v>
      </c>
      <c r="D7" s="23">
        <v>4</v>
      </c>
      <c r="E7" s="1">
        <f>COUNTIF(coded_data!B:B,D7)</f>
        <v>0</v>
      </c>
      <c r="G7" s="18">
        <v>4</v>
      </c>
      <c r="H7" s="31" t="s">
        <v>343</v>
      </c>
      <c r="I7" s="23">
        <f>SUM(coded_data!P:P)</f>
        <v>3</v>
      </c>
      <c r="J7" s="32">
        <f>I7/COUNT(coded_data!D:D)</f>
        <v>0.3</v>
      </c>
      <c r="K7" s="39">
        <f t="shared" si="0"/>
        <v>2</v>
      </c>
      <c r="L7" s="5" t="str">
        <f t="shared" si="1"/>
        <v>low</v>
      </c>
      <c r="N7" s="17" t="s">
        <v>363</v>
      </c>
      <c r="O7" t="s">
        <v>405</v>
      </c>
      <c r="P7">
        <f>COUNTIF(coded_data!AV:AV, 1)</f>
        <v>0</v>
      </c>
      <c r="Q7">
        <f>COUNTIF(coded_data!AV:AV, 2)</f>
        <v>0</v>
      </c>
      <c r="R7">
        <f>COUNTIF(coded_data!AV:AV, 3)</f>
        <v>0</v>
      </c>
      <c r="S7">
        <f>COUNTIF(coded_data!AV:AV, 4)</f>
        <v>0</v>
      </c>
      <c r="T7">
        <f>COUNTIF(coded_data!AV:AV, 5)</f>
        <v>10</v>
      </c>
      <c r="U7" s="17">
        <f>SUM(coded_data!AV:AV)</f>
        <v>50</v>
      </c>
      <c r="V7" s="200">
        <f>U7/(COUNT(coded_data!A:A) * 5)</f>
        <v>1</v>
      </c>
      <c r="W7" s="39">
        <f t="shared" si="2"/>
        <v>5</v>
      </c>
      <c r="X7" t="str">
        <f t="shared" si="3"/>
        <v>very high</v>
      </c>
      <c r="Z7" s="18">
        <v>4</v>
      </c>
      <c r="AA7" t="s">
        <v>417</v>
      </c>
      <c r="AB7" s="18">
        <f>SUM(coded_data!CG:CG) + SUM(coded_data!CH:CH) + SUM(coded_data!CI:CI) + SUM(coded_data!CJ:CJ) + SUM(coded_data!CK:CK) + SUM(coded_data!CL:CL)</f>
        <v>22</v>
      </c>
      <c r="AC7" s="37">
        <f>AB7/COUNT(coded_data!A:A)/6</f>
        <v>0.3666666666666667</v>
      </c>
      <c r="AD7" s="39">
        <f t="shared" si="4"/>
        <v>2</v>
      </c>
      <c r="AE7" s="45" t="str">
        <f t="shared" si="5"/>
        <v>low</v>
      </c>
      <c r="AG7" s="18">
        <v>4</v>
      </c>
      <c r="AH7" t="s">
        <v>511</v>
      </c>
      <c r="AI7">
        <f>SUM(coded_data!EH:EH) + SUM(coded_data!EI:EI)</f>
        <v>4</v>
      </c>
      <c r="AJ7" s="37">
        <f>AI7/COUNT(coded_data!A:A) / 2</f>
        <v>0.2</v>
      </c>
      <c r="AK7" s="44">
        <f t="shared" si="6"/>
        <v>2</v>
      </c>
      <c r="AL7" s="45" t="str">
        <f t="shared" si="7"/>
        <v>low</v>
      </c>
      <c r="AU7" s="16" t="s">
        <v>221</v>
      </c>
      <c r="AV7" s="5">
        <f>COUNTIF(raw_data!FD:FD, AU7)</f>
        <v>2</v>
      </c>
      <c r="AW7" s="5">
        <f>COUNTIF(raw_data!FE:FE, AU7)</f>
        <v>4</v>
      </c>
      <c r="AX7" s="5">
        <f>COUNTIF(raw_data!FF:FF, AU7)</f>
        <v>1</v>
      </c>
      <c r="AY7" s="5">
        <f>COUNTIF(raw_data!FJ:FJ, AU7)</f>
        <v>0</v>
      </c>
      <c r="AZ7" s="5">
        <f>COUNTIF(raw_data!FK:FK, AU7)</f>
        <v>4</v>
      </c>
      <c r="BA7" s="46">
        <f>COUNTIF(raw_data!FL:FL, AU7)</f>
        <v>3</v>
      </c>
      <c r="BC7" s="16" t="s">
        <v>561</v>
      </c>
      <c r="BD7" s="46">
        <f>COUNTIF(raw_data!FP:FP, BC7)</f>
        <v>0</v>
      </c>
      <c r="BF7" s="62" t="s">
        <v>565</v>
      </c>
      <c r="BG7" s="63">
        <f>COUNTIF(raw_data!FW:FW, BF7)</f>
        <v>0</v>
      </c>
      <c r="BH7" s="63">
        <f>COUNTIF(raw_data!FX:FX, BF7)</f>
        <v>0</v>
      </c>
      <c r="BI7" s="46">
        <f>COUNTIF(raw_data!FY:FY, BF7)</f>
        <v>0</v>
      </c>
    </row>
    <row r="8" spans="1:61" ht="15" thickBot="1">
      <c r="A8" s="318"/>
      <c r="B8" s="282"/>
      <c r="C8" s="5" t="s">
        <v>2</v>
      </c>
      <c r="D8" s="23">
        <v>3</v>
      </c>
      <c r="E8" s="1">
        <f>COUNTIF(coded_data!B:B,D8)</f>
        <v>2</v>
      </c>
      <c r="G8" s="18">
        <v>5</v>
      </c>
      <c r="H8" s="31" t="s">
        <v>345</v>
      </c>
      <c r="I8" s="154">
        <f>SUM(coded_data!Q:Q)</f>
        <v>2</v>
      </c>
      <c r="J8" s="32">
        <f>I8/COUNT(coded_data!E:E)</f>
        <v>0.2</v>
      </c>
      <c r="K8" s="39">
        <f t="shared" si="0"/>
        <v>2</v>
      </c>
      <c r="L8" s="63" t="str">
        <f t="shared" si="1"/>
        <v>low</v>
      </c>
      <c r="N8" s="17" t="s">
        <v>365</v>
      </c>
      <c r="O8" t="s">
        <v>364</v>
      </c>
      <c r="P8">
        <f>COUNTIF(coded_data!AW:AW, 1)</f>
        <v>0</v>
      </c>
      <c r="Q8">
        <f>COUNTIF(coded_data!AW:AW, 2)</f>
        <v>0</v>
      </c>
      <c r="R8">
        <f>COUNTIF(coded_data!AW:AW, 3)</f>
        <v>0</v>
      </c>
      <c r="S8">
        <f>COUNTIF(coded_data!AW:AW, 4)</f>
        <v>9</v>
      </c>
      <c r="T8">
        <f>COUNTIF(coded_data!AW:AW, 5)</f>
        <v>1</v>
      </c>
      <c r="U8" s="17">
        <f>SUM(coded_data!AW:AW)</f>
        <v>41</v>
      </c>
      <c r="V8" s="30">
        <f>U8/(COUNT(coded_data!A:A) * 5)</f>
        <v>0.82</v>
      </c>
      <c r="W8" s="39">
        <f t="shared" si="2"/>
        <v>5</v>
      </c>
      <c r="X8" t="str">
        <f t="shared" si="3"/>
        <v>very high</v>
      </c>
      <c r="Z8" s="18">
        <v>5</v>
      </c>
      <c r="AA8" t="s">
        <v>418</v>
      </c>
      <c r="AB8" s="18">
        <f>SUM(coded_data!CM:CM) + SUM(coded_data!CN:CN) + SUM(coded_data!CO:CO) + SUM(coded_data!CP:CP)</f>
        <v>19</v>
      </c>
      <c r="AC8" s="37">
        <f>AB8/COUNT(coded_data!A:A)/4</f>
        <v>0.47499999999999998</v>
      </c>
      <c r="AD8" s="39">
        <f t="shared" si="4"/>
        <v>3</v>
      </c>
      <c r="AE8" s="45" t="str">
        <f t="shared" si="5"/>
        <v>moderate</v>
      </c>
      <c r="AG8" s="18">
        <v>5</v>
      </c>
      <c r="AH8" t="s">
        <v>512</v>
      </c>
      <c r="AI8">
        <f>SUM(coded_data!EJ:EJ)</f>
        <v>8</v>
      </c>
      <c r="AJ8" s="37">
        <f>AI8/COUNT(coded_data!A:A)</f>
        <v>0.8</v>
      </c>
      <c r="AK8" s="44">
        <f t="shared" si="6"/>
        <v>5</v>
      </c>
      <c r="AL8" s="45" t="str">
        <f t="shared" si="7"/>
        <v>very high</v>
      </c>
      <c r="AU8" s="16" t="s">
        <v>222</v>
      </c>
      <c r="AV8" s="5">
        <f>COUNTIF(raw_data!FD:FD, AU8)</f>
        <v>1</v>
      </c>
      <c r="AW8" s="5">
        <f>COUNTIF(raw_data!FE:FE, AU8)</f>
        <v>0</v>
      </c>
      <c r="AX8" s="5">
        <f>COUNTIF(raw_data!FF:FF, AU8)</f>
        <v>0</v>
      </c>
      <c r="AY8" s="5">
        <f>COUNTIF(raw_data!FJ:FJ, AU8)</f>
        <v>0</v>
      </c>
      <c r="AZ8" s="5">
        <f>COUNTIF(raw_data!FK:FK, AU8)</f>
        <v>0</v>
      </c>
      <c r="BA8" s="46">
        <f>COUNTIF(raw_data!FL:FL, AU8)</f>
        <v>0</v>
      </c>
      <c r="BC8" s="47" t="s">
        <v>210</v>
      </c>
      <c r="BD8" s="49">
        <f>COUNTIF(raw_data!FP:FP, BC8)</f>
        <v>1</v>
      </c>
      <c r="BF8" s="62" t="s">
        <v>566</v>
      </c>
      <c r="BG8" s="63">
        <f>COUNTIF(raw_data!FW:FW, BF8)</f>
        <v>0</v>
      </c>
      <c r="BH8" s="63">
        <f>COUNTIF(raw_data!FX:FX, BF8)</f>
        <v>0</v>
      </c>
      <c r="BI8" s="46">
        <f>COUNTIF(raw_data!FY:FY, BF8)</f>
        <v>0</v>
      </c>
    </row>
    <row r="9" spans="1:61" ht="15" thickBot="1">
      <c r="A9" s="318"/>
      <c r="B9" s="282"/>
      <c r="C9" s="5" t="s">
        <v>0</v>
      </c>
      <c r="D9" s="23">
        <v>2</v>
      </c>
      <c r="E9" s="1">
        <f>COUNTIF(coded_data!B:B,D9)</f>
        <v>2</v>
      </c>
      <c r="G9" s="18">
        <v>6</v>
      </c>
      <c r="H9" s="31" t="s">
        <v>346</v>
      </c>
      <c r="I9" s="23">
        <f>SUM(coded_data!R:R) + SUM(coded_data!S:S) + SUM(coded_data!T:T) + SUM(coded_data!U:U) + SUM(coded_data!V:V) + SUM(coded_data!W:W) +SUM(coded_data!X:X)</f>
        <v>12</v>
      </c>
      <c r="J9" s="32">
        <f>I9/COUNT(coded_data!F:F) / 7</f>
        <v>0.17142857142857143</v>
      </c>
      <c r="K9" s="39">
        <f t="shared" si="0"/>
        <v>1</v>
      </c>
      <c r="L9" s="5" t="str">
        <f t="shared" si="1"/>
        <v>very low</v>
      </c>
      <c r="N9" s="17" t="s">
        <v>368</v>
      </c>
      <c r="O9" t="s">
        <v>366</v>
      </c>
      <c r="P9">
        <f>COUNTIF(coded_data!AX:AX, 1)</f>
        <v>0</v>
      </c>
      <c r="Q9">
        <f>COUNTIF(coded_data!AX:AX, 2)</f>
        <v>0</v>
      </c>
      <c r="R9">
        <f>COUNTIF(coded_data!AX:AX, 3)</f>
        <v>2</v>
      </c>
      <c r="S9">
        <f>COUNTIF(coded_data!AX:AX, 4)</f>
        <v>8</v>
      </c>
      <c r="T9">
        <f>COUNTIF(coded_data!AX:AX, 5)</f>
        <v>0</v>
      </c>
      <c r="U9" s="17">
        <f>SUM(coded_data!AX:AX)</f>
        <v>38</v>
      </c>
      <c r="V9" s="30">
        <f>U9/(COUNT(coded_data!A:A) * 5)</f>
        <v>0.76</v>
      </c>
      <c r="W9" s="39">
        <f t="shared" si="2"/>
        <v>4</v>
      </c>
      <c r="X9" t="str">
        <f t="shared" si="3"/>
        <v>high</v>
      </c>
      <c r="Z9" s="18">
        <v>6</v>
      </c>
      <c r="AA9" t="s">
        <v>419</v>
      </c>
      <c r="AB9" s="18">
        <f>SUM(coded_data!CQ:CQ)</f>
        <v>6</v>
      </c>
      <c r="AC9" s="37">
        <f>AB9/COUNT(coded_data!A:A)</f>
        <v>0.6</v>
      </c>
      <c r="AD9" s="39">
        <f t="shared" si="4"/>
        <v>4</v>
      </c>
      <c r="AE9" s="45" t="str">
        <f t="shared" si="5"/>
        <v>high</v>
      </c>
      <c r="AG9" s="18">
        <v>6</v>
      </c>
      <c r="AH9" t="s">
        <v>513</v>
      </c>
      <c r="AI9">
        <f>SUM(coded_data!EK:EK) + SUM(coded_data!EL:EL)</f>
        <v>0</v>
      </c>
      <c r="AJ9" s="37">
        <f>AI9/COUNT(coded_data!A:A) / 2</f>
        <v>0</v>
      </c>
      <c r="AK9" s="44">
        <f t="shared" si="6"/>
        <v>1</v>
      </c>
      <c r="AL9" s="45" t="str">
        <f t="shared" si="7"/>
        <v>very low</v>
      </c>
      <c r="AU9" s="16" t="s">
        <v>228</v>
      </c>
      <c r="AV9" s="5">
        <f>COUNTIF(raw_data!FD:FD, AU9)</f>
        <v>0</v>
      </c>
      <c r="AW9" s="5">
        <f>COUNTIF(raw_data!FE:FE, AU9)</f>
        <v>0</v>
      </c>
      <c r="AX9" s="5">
        <f>COUNTIF(raw_data!FF:FF, AU9)</f>
        <v>0</v>
      </c>
      <c r="AY9" s="5">
        <f>COUNTIF(raw_data!FJ:FJ, AU9)</f>
        <v>1</v>
      </c>
      <c r="AZ9" s="5">
        <f>COUNTIF(raw_data!FK:FK, AU9)</f>
        <v>0</v>
      </c>
      <c r="BA9" s="46">
        <f>COUNTIF(raw_data!FL:FL, AU9)</f>
        <v>0</v>
      </c>
      <c r="BC9" s="287" t="s">
        <v>558</v>
      </c>
      <c r="BD9" s="288"/>
      <c r="BF9" s="62" t="s">
        <v>567</v>
      </c>
      <c r="BG9" s="63">
        <f>COUNTIF(raw_data!FW:FW, BF9)</f>
        <v>0</v>
      </c>
      <c r="BH9" s="63">
        <f>COUNTIF(raw_data!FX:FX, BF9)</f>
        <v>0</v>
      </c>
      <c r="BI9" s="46">
        <f>COUNTIF(raw_data!FY:FY, BF9)</f>
        <v>0</v>
      </c>
    </row>
    <row r="10" spans="1:61">
      <c r="A10" s="318"/>
      <c r="B10" s="282"/>
      <c r="C10" s="5" t="s">
        <v>249</v>
      </c>
      <c r="D10" s="23">
        <v>1</v>
      </c>
      <c r="E10" s="1">
        <f>COUNTIF(coded_data!B:B,D10)</f>
        <v>0</v>
      </c>
      <c r="G10" s="18">
        <v>7</v>
      </c>
      <c r="H10" s="31" t="s">
        <v>347</v>
      </c>
      <c r="I10" s="23">
        <f>SUM(coded_data!Y:Y)</f>
        <v>3</v>
      </c>
      <c r="J10" s="32">
        <f>I10/COUNT(coded_data!Y:Y)</f>
        <v>0.3</v>
      </c>
      <c r="K10" s="39">
        <f t="shared" si="0"/>
        <v>2</v>
      </c>
      <c r="L10" s="5" t="str">
        <f t="shared" si="1"/>
        <v>low</v>
      </c>
      <c r="N10" s="17" t="s">
        <v>369</v>
      </c>
      <c r="O10" t="s">
        <v>367</v>
      </c>
      <c r="P10">
        <f>COUNTIF(coded_data!AY:AY, 1)</f>
        <v>0</v>
      </c>
      <c r="Q10">
        <f>COUNTIF(coded_data!AY:AY, 2)</f>
        <v>0</v>
      </c>
      <c r="R10">
        <f>COUNTIF(coded_data!AY:AY, 3)</f>
        <v>0</v>
      </c>
      <c r="S10">
        <f>COUNTIF(coded_data!AY:AY, 4)</f>
        <v>6</v>
      </c>
      <c r="T10">
        <f>COUNTIF(coded_data!AY:AY, 5)</f>
        <v>4</v>
      </c>
      <c r="U10" s="17">
        <f>SUM(coded_data!AY:AY)</f>
        <v>44</v>
      </c>
      <c r="V10" s="30">
        <f>U10/(COUNT(coded_data!A:A) * 5)</f>
        <v>0.88</v>
      </c>
      <c r="W10" s="39">
        <f t="shared" si="2"/>
        <v>5</v>
      </c>
      <c r="X10" t="str">
        <f t="shared" si="3"/>
        <v>very high</v>
      </c>
      <c r="Z10" s="18">
        <v>7</v>
      </c>
      <c r="AA10" t="s">
        <v>420</v>
      </c>
      <c r="AB10" s="18">
        <f>SUM(coded_data!CR:CR) + SUM(coded_data!CS:CS) + (coded_data!CT:CT) + (coded_data!CU:CU) + (coded_data!CV:CV) + (coded_data!CW:CW)</f>
        <v>5</v>
      </c>
      <c r="AC10" s="37">
        <f>AB10/COUNT(coded_data!A:A)/6</f>
        <v>8.3333333333333329E-2</v>
      </c>
      <c r="AD10" s="39">
        <f t="shared" si="4"/>
        <v>1</v>
      </c>
      <c r="AE10" s="45" t="str">
        <f t="shared" si="5"/>
        <v>very low</v>
      </c>
      <c r="AG10" s="18">
        <v>7</v>
      </c>
      <c r="AH10" t="s">
        <v>514</v>
      </c>
      <c r="AI10">
        <f>SUM(coded_data!EM:EM)</f>
        <v>7</v>
      </c>
      <c r="AJ10" s="37">
        <f>AI10/COUNT(coded_data!A:A)</f>
        <v>0.7</v>
      </c>
      <c r="AK10" s="44">
        <f t="shared" si="6"/>
        <v>4</v>
      </c>
      <c r="AL10" s="45" t="str">
        <f t="shared" si="7"/>
        <v>high</v>
      </c>
      <c r="AU10" s="16" t="s">
        <v>220</v>
      </c>
      <c r="AV10" s="5">
        <f>COUNTIF(raw_data!FD:FD, AU10)</f>
        <v>2</v>
      </c>
      <c r="AW10" s="5">
        <f>COUNTIF(raw_data!FE:FE, AU10)</f>
        <v>4</v>
      </c>
      <c r="AX10" s="5">
        <f>COUNTIF(raw_data!FF:FF, AU10)</f>
        <v>1</v>
      </c>
      <c r="AY10" s="5">
        <f>COUNTIF(raw_data!FJ:FJ, AU10)</f>
        <v>2</v>
      </c>
      <c r="AZ10" s="5">
        <f>COUNTIF(raw_data!FK:FK, AU10)</f>
        <v>5</v>
      </c>
      <c r="BA10" s="46">
        <f>COUNTIF(raw_data!FL:FL, AU10)</f>
        <v>0</v>
      </c>
      <c r="BC10" s="16" t="s">
        <v>219</v>
      </c>
      <c r="BD10" s="46">
        <f>COUNTIF(raw_data!FQ:FQ, "yes")</f>
        <v>10</v>
      </c>
      <c r="BF10" s="62" t="s">
        <v>219</v>
      </c>
      <c r="BG10" s="63">
        <f>COUNTIF(raw_data!FW:FW, BF10)</f>
        <v>4</v>
      </c>
      <c r="BH10" s="63">
        <f>COUNTIF(raw_data!FX:FX, BF10)</f>
        <v>0</v>
      </c>
      <c r="BI10" s="46">
        <f>COUNTIF(raw_data!FY:FY, BF10)</f>
        <v>2</v>
      </c>
    </row>
    <row r="11" spans="1:61">
      <c r="A11" s="319"/>
      <c r="B11" s="283"/>
      <c r="C11" s="20" t="s">
        <v>250</v>
      </c>
      <c r="D11" s="24">
        <v>0</v>
      </c>
      <c r="E11" s="25">
        <f>COUNTIF(coded_data!B:B,D11)</f>
        <v>2</v>
      </c>
      <c r="G11" s="18">
        <v>8</v>
      </c>
      <c r="H11" s="31" t="s">
        <v>348</v>
      </c>
      <c r="I11" s="23">
        <f>SUM(coded_data!Z:Z) + SUM(coded_data!AA:AA) + SUM(coded_data!AB:AB)</f>
        <v>6</v>
      </c>
      <c r="J11" s="32">
        <f>I11/COUNT(coded_data!A:A) /3</f>
        <v>0.19999999999999998</v>
      </c>
      <c r="K11" s="39">
        <f t="shared" si="0"/>
        <v>2</v>
      </c>
      <c r="L11" s="5" t="str">
        <f t="shared" si="1"/>
        <v>low</v>
      </c>
      <c r="N11" s="17" t="s">
        <v>371</v>
      </c>
      <c r="O11" t="s">
        <v>370</v>
      </c>
      <c r="P11">
        <f>COUNTIF(coded_data!AZ:AZ, 1)</f>
        <v>1</v>
      </c>
      <c r="Q11">
        <f>COUNTIF(coded_data!AZ:AZ, 2)</f>
        <v>2</v>
      </c>
      <c r="R11">
        <f>COUNTIF(coded_data!AZ:AZ, 3)</f>
        <v>4</v>
      </c>
      <c r="S11">
        <f>COUNTIF(coded_data!AZ:AZ, 4)</f>
        <v>1</v>
      </c>
      <c r="T11">
        <f>COUNTIF(coded_data!AZ:AZ, 5)</f>
        <v>2</v>
      </c>
      <c r="U11" s="17">
        <f>SUM(coded_data!AZ:AZ)</f>
        <v>31</v>
      </c>
      <c r="V11" s="30">
        <f>U11/(COUNT(coded_data!A:A) * 5)</f>
        <v>0.62</v>
      </c>
      <c r="W11" s="39">
        <f t="shared" si="2"/>
        <v>4</v>
      </c>
      <c r="X11" t="str">
        <f t="shared" si="3"/>
        <v>high</v>
      </c>
      <c r="Z11" s="18">
        <v>8</v>
      </c>
      <c r="AA11" t="s">
        <v>421</v>
      </c>
      <c r="AB11" s="18">
        <f>SUM(coded_data!CX:CX) + SUM(coded_data!CY:CY) + SUM(coded_data!CZ:CZ) + SUM(coded_data!DA:DA)</f>
        <v>25</v>
      </c>
      <c r="AC11" s="37">
        <f>AB11/COUNT(coded_data!A:A)/4</f>
        <v>0.625</v>
      </c>
      <c r="AD11" s="39">
        <f t="shared" si="4"/>
        <v>4</v>
      </c>
      <c r="AE11" s="45" t="str">
        <f t="shared" si="5"/>
        <v>high</v>
      </c>
      <c r="AG11" s="18">
        <v>8</v>
      </c>
      <c r="AH11" t="s">
        <v>515</v>
      </c>
      <c r="AI11">
        <f>SUM(coded_data!EN:EN) + SUM(coded_data!EO:EO) + SUM(coded_data!EP:EP)</f>
        <v>16</v>
      </c>
      <c r="AJ11" s="37">
        <f>AI11/COUNT(coded_data!A:A) / 3</f>
        <v>0.53333333333333333</v>
      </c>
      <c r="AK11" s="44">
        <f t="shared" si="6"/>
        <v>3</v>
      </c>
      <c r="AL11" s="45" t="str">
        <f t="shared" si="7"/>
        <v>moderate</v>
      </c>
      <c r="AU11" s="16" t="s">
        <v>26</v>
      </c>
      <c r="AV11" s="5">
        <f>COUNTIF(coded_data!FD:FD, 2)</f>
        <v>0</v>
      </c>
      <c r="AW11" s="63">
        <f>COUNTIF(coded_data!FE:FE, 2)</f>
        <v>0</v>
      </c>
      <c r="AX11" s="63">
        <f>COUNTIF(coded_data!FF:FF, 2)</f>
        <v>2</v>
      </c>
      <c r="AY11" s="5">
        <f>COUNTIF(coded_data!FJ:FJ, 2)</f>
        <v>0</v>
      </c>
      <c r="AZ11" s="63">
        <f>COUNTIF(coded_data!FK:FK, 2)</f>
        <v>0</v>
      </c>
      <c r="BA11" s="63">
        <f>COUNTIF(coded_data!FL:FL, 2)</f>
        <v>0</v>
      </c>
      <c r="BC11" s="16" t="s">
        <v>221</v>
      </c>
      <c r="BD11" s="46">
        <f>COUNTIF(raw_data!FR:FR, "yes")</f>
        <v>6</v>
      </c>
      <c r="BF11" s="62" t="s">
        <v>222</v>
      </c>
      <c r="BG11" s="63">
        <f>COUNTIF(raw_data!FW:FW, BF11)</f>
        <v>0</v>
      </c>
      <c r="BH11" s="63">
        <f>COUNTIF(raw_data!FX:FX, BF11)</f>
        <v>0</v>
      </c>
      <c r="BI11" s="46">
        <f>COUNTIF(raw_data!FY:FY, BF11)</f>
        <v>0</v>
      </c>
    </row>
    <row r="12" spans="1:61" ht="15" customHeight="1" thickBot="1">
      <c r="A12" s="317">
        <v>2</v>
      </c>
      <c r="B12" s="281" t="s">
        <v>599</v>
      </c>
      <c r="C12" s="19" t="s">
        <v>4</v>
      </c>
      <c r="D12" s="21">
        <v>0</v>
      </c>
      <c r="E12" s="22">
        <f>COUNTIF(coded_data!C:C,D12)</f>
        <v>2</v>
      </c>
      <c r="G12" s="18">
        <v>9</v>
      </c>
      <c r="H12" s="31" t="s">
        <v>349</v>
      </c>
      <c r="I12" s="35">
        <f>SUM(coded_data!AC:AC)</f>
        <v>21</v>
      </c>
      <c r="J12" s="32">
        <f>I12/COUNT(coded_data!AC:AC) / 4</f>
        <v>0.52500000000000002</v>
      </c>
      <c r="K12" s="39">
        <f t="shared" si="0"/>
        <v>3</v>
      </c>
      <c r="L12" s="5" t="str">
        <f t="shared" si="1"/>
        <v>moderate</v>
      </c>
      <c r="N12" s="17" t="s">
        <v>373</v>
      </c>
      <c r="O12" t="s">
        <v>372</v>
      </c>
      <c r="P12">
        <f>COUNTIF(coded_data!BA:BA, 1)</f>
        <v>0</v>
      </c>
      <c r="Q12">
        <f>COUNTIF(coded_data!BA:BA, 2)</f>
        <v>0</v>
      </c>
      <c r="R12">
        <f>COUNTIF(coded_data!BA:BA, 3)</f>
        <v>7</v>
      </c>
      <c r="S12">
        <f>COUNTIF(coded_data!BA:BA, 4)</f>
        <v>0</v>
      </c>
      <c r="T12">
        <f>COUNTIF(coded_data!BA:BA, 5)</f>
        <v>3</v>
      </c>
      <c r="U12" s="17">
        <f>SUM(coded_data!BA:BA)</f>
        <v>36</v>
      </c>
      <c r="V12" s="30">
        <f>U12/(COUNT(coded_data!A:A) * 5)</f>
        <v>0.72</v>
      </c>
      <c r="W12" s="39">
        <f t="shared" si="2"/>
        <v>4</v>
      </c>
      <c r="X12" t="str">
        <f t="shared" si="3"/>
        <v>high</v>
      </c>
      <c r="Z12" s="18">
        <v>9</v>
      </c>
      <c r="AA12" t="s">
        <v>422</v>
      </c>
      <c r="AB12" s="18">
        <f>SUM(coded_data!DB:DB)</f>
        <v>3</v>
      </c>
      <c r="AC12" s="37">
        <f>AB12/COUNT(coded_data!A:A)</f>
        <v>0.3</v>
      </c>
      <c r="AD12" s="39">
        <f t="shared" si="4"/>
        <v>2</v>
      </c>
      <c r="AE12" s="45" t="str">
        <f t="shared" si="5"/>
        <v>low</v>
      </c>
      <c r="AG12" s="18">
        <v>9</v>
      </c>
      <c r="AH12" t="s">
        <v>516</v>
      </c>
      <c r="AI12">
        <f>SUM(coded_data!EQ:EQ)</f>
        <v>1</v>
      </c>
      <c r="AJ12" s="37">
        <f>AI12/COUNT(coded_data!A:A)</f>
        <v>0.1</v>
      </c>
      <c r="AK12" s="44">
        <f t="shared" si="6"/>
        <v>1</v>
      </c>
      <c r="AL12" s="45" t="str">
        <f t="shared" si="7"/>
        <v>very low</v>
      </c>
      <c r="AU12" s="16" t="s">
        <v>30</v>
      </c>
      <c r="AV12" s="5">
        <f>COUNTIF(raw_data!FD:FD, AU12)</f>
        <v>0</v>
      </c>
      <c r="AW12" s="5">
        <f>COUNTIF(raw_data!FE:FE, AU12)</f>
        <v>0</v>
      </c>
      <c r="AX12" s="5">
        <f>COUNTIF(raw_data!FF:FF, AU12)</f>
        <v>4</v>
      </c>
      <c r="AY12" s="5">
        <f>COUNTIF(raw_data!FJ:FJ, AU12)</f>
        <v>0</v>
      </c>
      <c r="AZ12" s="5">
        <f>COUNTIF(raw_data!FK:FK, AU12)</f>
        <v>0</v>
      </c>
      <c r="BA12" s="46">
        <f>COUNTIF(raw_data!FL:FL, AU12)</f>
        <v>5</v>
      </c>
      <c r="BC12" s="16" t="s">
        <v>228</v>
      </c>
      <c r="BD12" s="46">
        <f>COUNTIF(raw_data!FS:FS, "yes")</f>
        <v>2</v>
      </c>
      <c r="BF12" s="62" t="s">
        <v>568</v>
      </c>
      <c r="BG12" s="63">
        <f>COUNTIF(raw_data!FW:FW, BF12)</f>
        <v>0</v>
      </c>
      <c r="BH12" s="63">
        <f>COUNTIF(raw_data!FX:FX, BF12)</f>
        <v>0</v>
      </c>
      <c r="BI12" s="46">
        <f>COUNTIF(raw_data!FY:FY, BF12)</f>
        <v>0</v>
      </c>
    </row>
    <row r="13" spans="1:61" ht="15" thickBot="1">
      <c r="A13" s="318"/>
      <c r="B13" s="282"/>
      <c r="C13" s="5" t="s">
        <v>251</v>
      </c>
      <c r="D13" s="23">
        <v>1</v>
      </c>
      <c r="E13" s="1">
        <f>COUNTIF(coded_data!C:C,D13)</f>
        <v>0</v>
      </c>
      <c r="G13" s="18">
        <v>10</v>
      </c>
      <c r="H13" s="31" t="s">
        <v>350</v>
      </c>
      <c r="I13" s="23">
        <f>SUM(coded_data!AD:AD)</f>
        <v>3</v>
      </c>
      <c r="J13" s="32">
        <f>I13/COUNT(coded_data!AD:AD)</f>
        <v>0.3</v>
      </c>
      <c r="K13" s="39">
        <f t="shared" si="0"/>
        <v>2</v>
      </c>
      <c r="L13" s="5" t="str">
        <f t="shared" si="1"/>
        <v>low</v>
      </c>
      <c r="N13" s="17" t="s">
        <v>375</v>
      </c>
      <c r="O13" t="s">
        <v>374</v>
      </c>
      <c r="P13">
        <f>COUNTIF(coded_data!BB:BB, 1)</f>
        <v>0</v>
      </c>
      <c r="Q13">
        <f>COUNTIF(coded_data!BB:BB, 2)</f>
        <v>2</v>
      </c>
      <c r="R13">
        <f>COUNTIF(coded_data!BB:BB, 3)</f>
        <v>1</v>
      </c>
      <c r="S13">
        <f>COUNTIF(coded_data!BB:BB, 4)</f>
        <v>7</v>
      </c>
      <c r="T13">
        <f>COUNTIF(coded_data!BB:BB, 5)</f>
        <v>0</v>
      </c>
      <c r="U13" s="17">
        <f>SUM(coded_data!BB:BB)</f>
        <v>35</v>
      </c>
      <c r="V13" s="30">
        <f>U13/(COUNT(coded_data!A:A) * 5)</f>
        <v>0.7</v>
      </c>
      <c r="W13" s="39">
        <f t="shared" si="2"/>
        <v>4</v>
      </c>
      <c r="X13" t="str">
        <f t="shared" si="3"/>
        <v>high</v>
      </c>
      <c r="Z13" s="18">
        <v>10</v>
      </c>
      <c r="AA13" t="s">
        <v>423</v>
      </c>
      <c r="AB13" s="18">
        <f>SUM(coded_data!DC:DC)</f>
        <v>5</v>
      </c>
      <c r="AC13" s="37">
        <f>AB13/COUNT(coded_data!A:A)</f>
        <v>0.5</v>
      </c>
      <c r="AD13" s="39">
        <f t="shared" si="4"/>
        <v>3</v>
      </c>
      <c r="AE13" s="45" t="str">
        <f t="shared" si="5"/>
        <v>moderate</v>
      </c>
      <c r="AG13" s="18">
        <v>10</v>
      </c>
      <c r="AH13" t="s">
        <v>517</v>
      </c>
      <c r="AI13">
        <f>SUM(coded_data!ER:ER) + SUM(coded_data!ES:ES) + SUM(coded_data!ET:ET)</f>
        <v>3</v>
      </c>
      <c r="AJ13" s="37">
        <f>AI13/COUNT(coded_data!A:A) / 3</f>
        <v>9.9999999999999992E-2</v>
      </c>
      <c r="AK13" s="44">
        <f t="shared" si="6"/>
        <v>1</v>
      </c>
      <c r="AL13" s="45" t="str">
        <f t="shared" si="7"/>
        <v>very low</v>
      </c>
      <c r="AU13" s="287" t="s">
        <v>559</v>
      </c>
      <c r="AV13" s="218"/>
      <c r="AW13" s="218"/>
      <c r="AX13" s="218"/>
      <c r="AY13" s="218"/>
      <c r="AZ13" s="218"/>
      <c r="BA13" s="219"/>
      <c r="BC13" s="16" t="s">
        <v>220</v>
      </c>
      <c r="BD13" s="46">
        <f>COUNTIF(raw_data!FT:FT, "yes")</f>
        <v>8</v>
      </c>
      <c r="BF13" s="62" t="s">
        <v>220</v>
      </c>
      <c r="BG13" s="63">
        <f>COUNTIF(raw_data!FW:FW, BF13)</f>
        <v>3</v>
      </c>
      <c r="BH13" s="63">
        <f>COUNTIF(raw_data!FX:FX, BF13)</f>
        <v>4</v>
      </c>
      <c r="BI13" s="46">
        <f>COUNTIF(raw_data!FY:FY, BF13)</f>
        <v>1</v>
      </c>
    </row>
    <row r="14" spans="1:61" ht="15" thickBot="1">
      <c r="A14" s="318"/>
      <c r="B14" s="282"/>
      <c r="C14" s="5" t="s">
        <v>5</v>
      </c>
      <c r="D14" s="23">
        <v>2</v>
      </c>
      <c r="E14" s="1">
        <f>COUNTIF(coded_data!C:C,D14)</f>
        <v>6</v>
      </c>
      <c r="G14" s="18">
        <v>11</v>
      </c>
      <c r="H14" s="31" t="s">
        <v>351</v>
      </c>
      <c r="I14" s="35">
        <f>SUM(coded_data!AE:AE)</f>
        <v>3</v>
      </c>
      <c r="J14" s="32">
        <f>I14/COUNT(coded_data!AE:AE)</f>
        <v>0.3</v>
      </c>
      <c r="K14" s="39">
        <f t="shared" si="0"/>
        <v>2</v>
      </c>
      <c r="L14" s="5" t="str">
        <f t="shared" si="1"/>
        <v>low</v>
      </c>
      <c r="N14" s="17" t="s">
        <v>377</v>
      </c>
      <c r="O14" t="s">
        <v>376</v>
      </c>
      <c r="P14">
        <f>COUNTIF(coded_data!BC:BC, 1)</f>
        <v>0</v>
      </c>
      <c r="Q14">
        <f>COUNTIF(coded_data!BC:BC, 2)</f>
        <v>0</v>
      </c>
      <c r="R14">
        <f>COUNTIF(coded_data!BC:BC, 3)</f>
        <v>1</v>
      </c>
      <c r="S14">
        <f>COUNTIF(coded_data!BC:BC, 4)</f>
        <v>9</v>
      </c>
      <c r="T14">
        <f>COUNTIF(coded_data!BC:BC, 5)</f>
        <v>0</v>
      </c>
      <c r="U14" s="17">
        <f>SUM(coded_data!BC:BC)</f>
        <v>39</v>
      </c>
      <c r="V14" s="30">
        <f>U14/(COUNT(coded_data!A:A) * 5)</f>
        <v>0.78</v>
      </c>
      <c r="W14" s="39">
        <f t="shared" si="2"/>
        <v>4</v>
      </c>
      <c r="X14" t="str">
        <f t="shared" si="3"/>
        <v>high</v>
      </c>
      <c r="Z14" s="18">
        <v>11</v>
      </c>
      <c r="AA14" t="s">
        <v>424</v>
      </c>
      <c r="AB14" s="18">
        <f>SUM(coded_data!DD:DD) + SUM(coded_data!DE:DE) + SUM(coded_data!DF:DF) + SUM(coded_data!DG:DG) + SUM(coded_data!DH:DH)</f>
        <v>34</v>
      </c>
      <c r="AC14" s="37">
        <f>AB14/COUNT(coded_data!A:A) / 5</f>
        <v>0.67999999999999994</v>
      </c>
      <c r="AD14" s="39">
        <f t="shared" si="4"/>
        <v>4</v>
      </c>
      <c r="AE14" s="45" t="str">
        <f t="shared" si="5"/>
        <v>high</v>
      </c>
      <c r="AG14" s="18">
        <v>11</v>
      </c>
      <c r="AH14" t="s">
        <v>518</v>
      </c>
      <c r="AI14">
        <f>SUM(coded_data!EU:EU)</f>
        <v>8</v>
      </c>
      <c r="AJ14" s="37">
        <f>AI14/COUNT(coded_data!A:A)</f>
        <v>0.8</v>
      </c>
      <c r="AK14" s="44">
        <f t="shared" si="6"/>
        <v>5</v>
      </c>
      <c r="AL14" s="45" t="str">
        <f t="shared" si="7"/>
        <v>very high</v>
      </c>
      <c r="AU14" s="297" t="s">
        <v>533</v>
      </c>
      <c r="AV14" s="295" t="s">
        <v>530</v>
      </c>
      <c r="AW14" s="295"/>
      <c r="AX14" s="295"/>
      <c r="AY14" s="295" t="s">
        <v>531</v>
      </c>
      <c r="AZ14" s="295"/>
      <c r="BA14" s="296"/>
      <c r="BC14" s="57" t="s">
        <v>562</v>
      </c>
      <c r="BD14" s="46">
        <f>COUNTIF(raw_data!FU:FU, "yes")</f>
        <v>5</v>
      </c>
      <c r="BF14" s="64" t="s">
        <v>26</v>
      </c>
      <c r="BG14" s="48">
        <f>COUNTIF(coded_data!FW:FW, 2)</f>
        <v>2</v>
      </c>
      <c r="BH14" s="48">
        <f>COUNTIF(coded_data!FX:FX, 2)</f>
        <v>5</v>
      </c>
      <c r="BI14" s="49">
        <f>COUNTIF(coded_data!FY:FY, 2)</f>
        <v>0</v>
      </c>
    </row>
    <row r="15" spans="1:61" ht="15" thickBot="1">
      <c r="A15" s="318"/>
      <c r="B15" s="282"/>
      <c r="C15" s="5" t="s">
        <v>6</v>
      </c>
      <c r="D15" s="23">
        <v>3</v>
      </c>
      <c r="E15" s="1">
        <f>COUNTIF(coded_data!C:C,D15)</f>
        <v>2</v>
      </c>
      <c r="G15" s="18">
        <v>12</v>
      </c>
      <c r="H15" s="31" t="s">
        <v>352</v>
      </c>
      <c r="I15" s="23">
        <f>SUM(coded_data!AF:AF)</f>
        <v>4</v>
      </c>
      <c r="J15" s="32">
        <f>I15/COUNT(coded_data!AF:AF)</f>
        <v>0.4</v>
      </c>
      <c r="K15" s="39">
        <f t="shared" si="0"/>
        <v>3</v>
      </c>
      <c r="L15" s="5" t="str">
        <f t="shared" si="1"/>
        <v>moderate</v>
      </c>
      <c r="N15" s="17" t="s">
        <v>379</v>
      </c>
      <c r="O15" t="s">
        <v>378</v>
      </c>
      <c r="P15">
        <f>COUNTIF(coded_data!BD:BD, 1)</f>
        <v>0</v>
      </c>
      <c r="Q15">
        <f>COUNTIF(coded_data!BD:BD, 2)</f>
        <v>0</v>
      </c>
      <c r="R15">
        <f>COUNTIF(coded_data!BD:BD, 3)</f>
        <v>0</v>
      </c>
      <c r="S15">
        <f>COUNTIF(coded_data!BD:BD, 4)</f>
        <v>0</v>
      </c>
      <c r="T15">
        <f>COUNTIF(coded_data!BD:BD, 5)</f>
        <v>10</v>
      </c>
      <c r="U15" s="17">
        <f>SUM(coded_data!BD:BD)</f>
        <v>50</v>
      </c>
      <c r="V15" s="30">
        <f>U15/(COUNT(coded_data!A:A) * 5)</f>
        <v>1</v>
      </c>
      <c r="W15" s="39">
        <f t="shared" si="2"/>
        <v>5</v>
      </c>
      <c r="X15" t="str">
        <f t="shared" si="3"/>
        <v>very high</v>
      </c>
      <c r="Z15" s="18">
        <v>12</v>
      </c>
      <c r="AA15" t="s">
        <v>425</v>
      </c>
      <c r="AB15" s="18">
        <f>SUM(coded_data!DI:DI) + SUM(coded_data!DJ:DJ) + SUM(coded_data!DK:DK) + SUM(coded_data!DL:DL) + SUM(coded_data!DM:DM) + SUM(coded_data!DN:DN)</f>
        <v>29</v>
      </c>
      <c r="AC15" s="37">
        <f>AB15/COUNT(coded_data!A:A) / 6</f>
        <v>0.48333333333333334</v>
      </c>
      <c r="AD15" s="39">
        <f t="shared" si="4"/>
        <v>3</v>
      </c>
      <c r="AE15" s="45" t="str">
        <f t="shared" si="5"/>
        <v>moderate</v>
      </c>
      <c r="AG15" s="18">
        <v>12</v>
      </c>
      <c r="AH15" t="s">
        <v>519</v>
      </c>
      <c r="AI15">
        <f>SUM(coded_data!EV:EV)</f>
        <v>7</v>
      </c>
      <c r="AJ15" s="37">
        <f>AI15/COUNT(coded_data!A:A)</f>
        <v>0.7</v>
      </c>
      <c r="AK15" s="44">
        <f t="shared" si="6"/>
        <v>4</v>
      </c>
      <c r="AL15" s="45" t="str">
        <f t="shared" si="7"/>
        <v>high</v>
      </c>
      <c r="AU15" s="297"/>
      <c r="AV15" s="5" t="s">
        <v>526</v>
      </c>
      <c r="AW15" s="5" t="s">
        <v>527</v>
      </c>
      <c r="AX15" s="5" t="s">
        <v>528</v>
      </c>
      <c r="AY15" s="5" t="s">
        <v>526</v>
      </c>
      <c r="AZ15" s="5" t="s">
        <v>527</v>
      </c>
      <c r="BA15" s="46" t="s">
        <v>528</v>
      </c>
      <c r="BC15" s="58" t="s">
        <v>26</v>
      </c>
      <c r="BD15" s="49">
        <f>COUNT(raw_data!A:A)-COUNTIF(raw_data!FV:FV,"na")</f>
        <v>3</v>
      </c>
      <c r="BE15" s="3"/>
      <c r="BF15" s="3"/>
      <c r="BG15" s="3"/>
      <c r="BH15" s="3"/>
    </row>
    <row r="16" spans="1:61">
      <c r="A16" s="319"/>
      <c r="B16" s="282"/>
      <c r="C16" s="63" t="s">
        <v>252</v>
      </c>
      <c r="D16" s="152">
        <v>4</v>
      </c>
      <c r="E16" s="1">
        <f>COUNTIF(coded_data!C:C,D16)</f>
        <v>0</v>
      </c>
      <c r="G16" s="18">
        <v>13</v>
      </c>
      <c r="H16" s="31" t="s">
        <v>353</v>
      </c>
      <c r="I16" s="23">
        <f>SUM(coded_data!AG:AG)</f>
        <v>3</v>
      </c>
      <c r="J16" s="32">
        <f>I16/COUNT(coded_data!AG:AG)</f>
        <v>0.3</v>
      </c>
      <c r="K16" s="39">
        <f t="shared" si="0"/>
        <v>2</v>
      </c>
      <c r="L16" s="5" t="str">
        <f t="shared" si="1"/>
        <v>low</v>
      </c>
      <c r="N16" s="17" t="s">
        <v>381</v>
      </c>
      <c r="O16" t="s">
        <v>380</v>
      </c>
      <c r="P16">
        <f>COUNTIF(coded_data!BE:BE, 1)</f>
        <v>0</v>
      </c>
      <c r="Q16">
        <f>COUNTIF(coded_data!BE:BE, 2)</f>
        <v>0</v>
      </c>
      <c r="R16">
        <f>COUNTIF(coded_data!BE:BE, 3)</f>
        <v>0</v>
      </c>
      <c r="S16">
        <f>COUNTIF(coded_data!BE:BE, 4)</f>
        <v>0</v>
      </c>
      <c r="T16">
        <f>COUNTIF(coded_data!BE:BE, 5)</f>
        <v>10</v>
      </c>
      <c r="U16" s="17">
        <f>SUM(coded_data!BE:BE)</f>
        <v>50</v>
      </c>
      <c r="V16" s="30">
        <f>U16/(COUNT(coded_data!A:A) * 5)</f>
        <v>1</v>
      </c>
      <c r="W16" s="39">
        <f t="shared" si="2"/>
        <v>5</v>
      </c>
      <c r="X16" t="str">
        <f t="shared" si="3"/>
        <v>very high</v>
      </c>
      <c r="Z16" s="18">
        <v>13</v>
      </c>
      <c r="AA16" t="s">
        <v>426</v>
      </c>
      <c r="AB16" s="18">
        <f>SUM(coded_data!DO:DO) + SUM(coded_data!DP:DP) + SUM(coded_data!DQ:DQ) + SUM(coded_data!DR:DR) + SUM(coded_data!DS:DS) + SUM(coded_data!DT:DT)</f>
        <v>33</v>
      </c>
      <c r="AC16" s="37">
        <f>AB16/COUNT(coded_data!A:A) / 6</f>
        <v>0.54999999999999993</v>
      </c>
      <c r="AD16" s="39">
        <f t="shared" si="4"/>
        <v>3</v>
      </c>
      <c r="AE16" s="45" t="str">
        <f t="shared" si="5"/>
        <v>moderate</v>
      </c>
      <c r="AG16" s="18">
        <v>13</v>
      </c>
      <c r="AH16" t="s">
        <v>520</v>
      </c>
      <c r="AI16">
        <f>SUM(coded_data!EW:EW)</f>
        <v>9</v>
      </c>
      <c r="AJ16" s="37">
        <f>AI16/COUNT(coded_data!A:A)</f>
        <v>0.9</v>
      </c>
      <c r="AK16" s="44">
        <f t="shared" si="6"/>
        <v>5</v>
      </c>
      <c r="AL16" s="45" t="str">
        <f t="shared" si="7"/>
        <v>very high</v>
      </c>
      <c r="AU16" s="16" t="s">
        <v>227</v>
      </c>
      <c r="AV16" s="5">
        <f>COUNTIF(raw_data!FG:FG, AU16)</f>
        <v>0</v>
      </c>
      <c r="AW16" s="5">
        <f>COUNTIF(raw_data!FH:FH, AU16)</f>
        <v>0</v>
      </c>
      <c r="AX16" s="5">
        <f>COUNTIF(raw_data!FI:FI, AU16)</f>
        <v>1</v>
      </c>
      <c r="AY16" s="5">
        <f>COUNTIF(raw_data!FM:FM, AU16)</f>
        <v>0</v>
      </c>
      <c r="AZ16" s="5">
        <f>COUNTIF(raw_data!FN:FN, AU16)</f>
        <v>0</v>
      </c>
      <c r="BA16" s="46">
        <f>COUNTIF(raw_data!FO:FO, AU16)</f>
        <v>0</v>
      </c>
    </row>
    <row r="17" spans="1:53">
      <c r="A17" s="317">
        <v>3</v>
      </c>
      <c r="B17" s="281" t="s">
        <v>600</v>
      </c>
      <c r="C17" s="19" t="s">
        <v>605</v>
      </c>
      <c r="D17" s="21"/>
      <c r="E17" s="22">
        <f>AVERAGE(coded_data!D:D)</f>
        <v>34.9</v>
      </c>
      <c r="G17" s="18">
        <v>14</v>
      </c>
      <c r="H17" s="31" t="s">
        <v>354</v>
      </c>
      <c r="I17" s="35">
        <f>SUM(coded_data!AH:AH) + SUM(coded_data!AI:AI) + SUM(coded_data!AJ:AJ) + SUM(coded_data!AK:AK) + SUM(coded_data!AL:AL) + SUM(coded_data!AM:AM) + SUM(coded_data!AN:AN)</f>
        <v>3</v>
      </c>
      <c r="J17" s="32">
        <f>I17/COUNT(coded_data!A:A) / 7</f>
        <v>4.2857142857142858E-2</v>
      </c>
      <c r="K17" s="39">
        <f t="shared" si="0"/>
        <v>1</v>
      </c>
      <c r="L17" s="5" t="str">
        <f t="shared" si="1"/>
        <v>very low</v>
      </c>
      <c r="N17" s="17" t="s">
        <v>406</v>
      </c>
      <c r="O17" t="s">
        <v>382</v>
      </c>
      <c r="P17">
        <f>COUNTIF(coded_data!BF:BF, 1)</f>
        <v>0</v>
      </c>
      <c r="Q17">
        <f>COUNTIF(coded_data!BF:BF, 2)</f>
        <v>0</v>
      </c>
      <c r="R17">
        <f>COUNTIF(coded_data!BF:BF, 3)</f>
        <v>6</v>
      </c>
      <c r="S17">
        <f>COUNTIF(coded_data!BF:BF, 4)</f>
        <v>2</v>
      </c>
      <c r="T17">
        <f>COUNTIF(coded_data!BF:BF, 5)</f>
        <v>2</v>
      </c>
      <c r="U17" s="17">
        <f>SUM(coded_data!BF:BF)</f>
        <v>36</v>
      </c>
      <c r="V17" s="30">
        <f>U17/(COUNT(coded_data!A:A) * 5)</f>
        <v>0.72</v>
      </c>
      <c r="W17" s="39">
        <f t="shared" si="2"/>
        <v>4</v>
      </c>
      <c r="X17" t="str">
        <f t="shared" si="3"/>
        <v>high</v>
      </c>
      <c r="Z17" s="18">
        <v>14</v>
      </c>
      <c r="AA17" t="s">
        <v>427</v>
      </c>
      <c r="AB17" s="18">
        <f>SUM(coded_data!DU:DU)+SUM(coded_data!DV:DV)+SUM(coded_data!DW:DW)+(SUM(coded_data!DX:DX)+SUM(coded_data!DY:DY)+SUM(coded_data!DZ:DZ))</f>
        <v>32</v>
      </c>
      <c r="AC17" s="37">
        <f>AB17/COUNT(coded_data!A:A) / 6</f>
        <v>0.53333333333333333</v>
      </c>
      <c r="AD17" s="39">
        <f t="shared" si="4"/>
        <v>3</v>
      </c>
      <c r="AE17" s="45" t="str">
        <f t="shared" si="5"/>
        <v>moderate</v>
      </c>
      <c r="AU17" s="16" t="s">
        <v>224</v>
      </c>
      <c r="AV17" s="5">
        <f>COUNTIF(raw_data!FG:FG, AU17)</f>
        <v>6</v>
      </c>
      <c r="AW17" s="5">
        <f>COUNTIF(raw_data!FH:FH, AU17)</f>
        <v>3</v>
      </c>
      <c r="AX17" s="5">
        <f>COUNTIF(raw_data!FI:FI, AU17)</f>
        <v>3</v>
      </c>
      <c r="AY17" s="5">
        <f>COUNTIF(raw_data!FM:FM, AU17)</f>
        <v>0</v>
      </c>
      <c r="AZ17" s="5">
        <f>COUNTIF(raw_data!FN:FN, AU17)</f>
        <v>3</v>
      </c>
      <c r="BA17" s="46">
        <f>COUNTIF(raw_data!FO:FO, AU17)</f>
        <v>3</v>
      </c>
    </row>
    <row r="18" spans="1:53" ht="15" customHeight="1">
      <c r="A18" s="318"/>
      <c r="B18" s="282"/>
      <c r="C18" s="66" t="s">
        <v>606</v>
      </c>
      <c r="D18" s="152"/>
      <c r="E18" s="1">
        <f>MEDIAN(coded_data!D:D)</f>
        <v>37</v>
      </c>
      <c r="G18" s="18">
        <v>15</v>
      </c>
      <c r="H18" s="31" t="s">
        <v>355</v>
      </c>
      <c r="I18" s="23">
        <f>SUM(coded_data!AO:AO)</f>
        <v>11</v>
      </c>
      <c r="J18" s="32">
        <f>I18/COUNT(coded_data!A:A) / 5</f>
        <v>0.22000000000000003</v>
      </c>
      <c r="K18" s="39">
        <f t="shared" si="0"/>
        <v>2</v>
      </c>
      <c r="L18" s="5" t="str">
        <f t="shared" si="1"/>
        <v>low</v>
      </c>
      <c r="N18" s="17" t="s">
        <v>383</v>
      </c>
      <c r="O18" t="s">
        <v>384</v>
      </c>
      <c r="P18">
        <f>COUNTIF(coded_data!BG:BG, 1)</f>
        <v>1</v>
      </c>
      <c r="Q18">
        <f>COUNTIF(coded_data!BG:BG, 2)</f>
        <v>7</v>
      </c>
      <c r="R18">
        <f>COUNTIF(coded_data!BG:BG, 3)</f>
        <v>2</v>
      </c>
      <c r="S18">
        <f>COUNTIF(coded_data!BG:BG, 4)</f>
        <v>0</v>
      </c>
      <c r="T18">
        <f>COUNTIF(coded_data!BG:BG, 5)</f>
        <v>0</v>
      </c>
      <c r="U18" s="17">
        <f>SUM(coded_data!BG:BG)</f>
        <v>21</v>
      </c>
      <c r="V18" s="30">
        <f>U18/(COUNT(coded_data!A:A) * 5)</f>
        <v>0.42</v>
      </c>
      <c r="W18" s="39">
        <f t="shared" si="2"/>
        <v>3</v>
      </c>
      <c r="X18" t="str">
        <f t="shared" si="3"/>
        <v>moderate</v>
      </c>
      <c r="Z18" s="18">
        <v>15</v>
      </c>
      <c r="AA18" t="s">
        <v>428</v>
      </c>
      <c r="AB18" s="18">
        <f>SUM(coded_data!EA:EA)</f>
        <v>9</v>
      </c>
      <c r="AC18" s="37">
        <f>AB18/COUNT(coded_data!A:A)</f>
        <v>0.9</v>
      </c>
      <c r="AD18" s="39">
        <f t="shared" si="4"/>
        <v>5</v>
      </c>
      <c r="AE18" s="45" t="str">
        <f t="shared" si="5"/>
        <v>very high</v>
      </c>
      <c r="AU18" s="16" t="s">
        <v>226</v>
      </c>
      <c r="AV18" s="5">
        <f>COUNTIF(raw_data!FG:FG, AU18)</f>
        <v>2</v>
      </c>
      <c r="AW18" s="5">
        <f>COUNTIF(raw_data!FH:FH, AU18)</f>
        <v>3</v>
      </c>
      <c r="AX18" s="5">
        <f>COUNTIF(raw_data!FI:FI, AU18)</f>
        <v>0</v>
      </c>
      <c r="AY18" s="5">
        <f>COUNTIF(raw_data!FM:FM, AU18)</f>
        <v>6</v>
      </c>
      <c r="AZ18" s="5">
        <f>COUNTIF(raw_data!FN:FN, AU18)</f>
        <v>7</v>
      </c>
      <c r="BA18" s="46">
        <f>COUNTIF(raw_data!FO:FO, AU18)</f>
        <v>2</v>
      </c>
    </row>
    <row r="19" spans="1:53" ht="15" thickBot="1">
      <c r="A19" s="318"/>
      <c r="B19" s="282"/>
      <c r="C19" s="66" t="s">
        <v>607</v>
      </c>
      <c r="D19" s="152"/>
      <c r="E19" s="1">
        <f>MODE(coded_data!D:D)</f>
        <v>27</v>
      </c>
      <c r="G19" s="18">
        <v>16</v>
      </c>
      <c r="H19" s="31" t="s">
        <v>356</v>
      </c>
      <c r="I19" s="23">
        <f>SUM(coded_data!AP:AP)</f>
        <v>10</v>
      </c>
      <c r="J19" s="32">
        <f>I19/COUNT(coded_data!A:A) / 4</f>
        <v>0.25</v>
      </c>
      <c r="K19" s="39">
        <f t="shared" si="0"/>
        <v>2</v>
      </c>
      <c r="L19" s="5" t="str">
        <f t="shared" si="1"/>
        <v>low</v>
      </c>
      <c r="N19" s="17" t="s">
        <v>385</v>
      </c>
      <c r="O19" t="s">
        <v>386</v>
      </c>
      <c r="P19">
        <f>COUNTIF(coded_data!BH:BH, 1)</f>
        <v>0</v>
      </c>
      <c r="Q19">
        <f>COUNTIF(coded_data!BH:BH, 2)</f>
        <v>0</v>
      </c>
      <c r="R19">
        <f>COUNTIF(coded_data!BH:BH, 3)</f>
        <v>7</v>
      </c>
      <c r="S19">
        <f>COUNTIF(coded_data!BH:BH, 4)</f>
        <v>1</v>
      </c>
      <c r="T19">
        <f>COUNTIF(coded_data!BH:BH, 5)</f>
        <v>2</v>
      </c>
      <c r="U19" s="17">
        <f>SUM(coded_data!BH:BH)</f>
        <v>35</v>
      </c>
      <c r="V19" s="30">
        <f>U19/(COUNT(coded_data!A:A) * 5)</f>
        <v>0.7</v>
      </c>
      <c r="W19" s="39">
        <f t="shared" si="2"/>
        <v>4</v>
      </c>
      <c r="X19" t="str">
        <f t="shared" si="3"/>
        <v>high</v>
      </c>
      <c r="Z19" s="18">
        <v>16</v>
      </c>
      <c r="AA19" t="s">
        <v>429</v>
      </c>
      <c r="AB19" s="18">
        <f>SUM(coded_data!EB:EB)</f>
        <v>8</v>
      </c>
      <c r="AC19" s="37">
        <f>AB19/COUNT(coded_data!A:A)</f>
        <v>0.8</v>
      </c>
      <c r="AD19" s="39">
        <f t="shared" si="4"/>
        <v>5</v>
      </c>
      <c r="AE19" s="45" t="str">
        <f t="shared" si="5"/>
        <v>very high</v>
      </c>
      <c r="AU19" s="47" t="s">
        <v>225</v>
      </c>
      <c r="AV19" s="48">
        <f>COUNTIF(raw_data!FG:FG, AU19)</f>
        <v>2</v>
      </c>
      <c r="AW19" s="48">
        <f>COUNTIF(raw_data!FH:FH, AU19)</f>
        <v>4</v>
      </c>
      <c r="AX19" s="48">
        <f>COUNTIF(raw_data!FI:FI, AU19)</f>
        <v>2</v>
      </c>
      <c r="AY19" s="48">
        <f>COUNTIF(raw_data!FM:FM, AU19)</f>
        <v>4</v>
      </c>
      <c r="AZ19" s="48">
        <f>COUNTIF(raw_data!FN:FN, AU19)</f>
        <v>0</v>
      </c>
      <c r="BA19" s="49">
        <f>COUNTIF(raw_data!FO:FO, AU19)</f>
        <v>0</v>
      </c>
    </row>
    <row r="20" spans="1:53">
      <c r="A20" s="318"/>
      <c r="B20" s="282"/>
      <c r="C20" s="66" t="s">
        <v>595</v>
      </c>
      <c r="D20" s="152"/>
      <c r="E20" s="1">
        <f>MAX(coded_data!D:D) - MIN(coded_data!D:D)</f>
        <v>22</v>
      </c>
      <c r="G20" s="18">
        <v>17</v>
      </c>
      <c r="H20" s="31" t="s">
        <v>357</v>
      </c>
      <c r="I20" s="23">
        <f>SUM(coded_data!AQ:AQ)</f>
        <v>5</v>
      </c>
      <c r="J20" s="32">
        <f>I20/COUNT(coded_data!AQ:AQ) / 3</f>
        <v>0.16666666666666666</v>
      </c>
      <c r="K20" s="39">
        <f t="shared" si="0"/>
        <v>1</v>
      </c>
      <c r="L20" s="5" t="str">
        <f t="shared" si="1"/>
        <v>very low</v>
      </c>
      <c r="N20" s="17" t="s">
        <v>387</v>
      </c>
      <c r="O20" t="s">
        <v>388</v>
      </c>
      <c r="P20">
        <f>COUNTIF(coded_data!BI:BI, 1)</f>
        <v>0</v>
      </c>
      <c r="Q20">
        <f>COUNTIF(coded_data!BI:BI, 2)</f>
        <v>0</v>
      </c>
      <c r="R20">
        <f>COUNTIF(coded_data!BI:BI, 3)</f>
        <v>0</v>
      </c>
      <c r="S20">
        <f>COUNTIF(coded_data!BI:BI, 4)</f>
        <v>4</v>
      </c>
      <c r="T20">
        <f>COUNTIF(coded_data!BI:BI, 5)</f>
        <v>6</v>
      </c>
      <c r="U20" s="17">
        <f>SUM(coded_data!BI:BI)</f>
        <v>46</v>
      </c>
      <c r="V20" s="30">
        <f>U20/(COUNT(coded_data!A:A) * 5)</f>
        <v>0.92</v>
      </c>
      <c r="W20" s="39">
        <f t="shared" si="2"/>
        <v>5</v>
      </c>
      <c r="X20" t="str">
        <f t="shared" si="3"/>
        <v>very high</v>
      </c>
      <c r="Z20" s="18">
        <v>17</v>
      </c>
      <c r="AA20" t="s">
        <v>431</v>
      </c>
      <c r="AB20" s="18">
        <f>SUM(coded_data!EC:EC)</f>
        <v>1</v>
      </c>
      <c r="AC20" s="37">
        <f>AB20/COUNT(coded_data!A:A)</f>
        <v>0.1</v>
      </c>
      <c r="AD20" s="39">
        <f t="shared" si="4"/>
        <v>1</v>
      </c>
      <c r="AE20" s="45" t="str">
        <f t="shared" si="5"/>
        <v>very low</v>
      </c>
    </row>
    <row r="21" spans="1:53" ht="16" customHeight="1">
      <c r="A21" s="319"/>
      <c r="B21" s="283"/>
      <c r="C21" s="153" t="s">
        <v>608</v>
      </c>
      <c r="D21" s="29"/>
      <c r="E21" s="25">
        <f>_xlfn.STDEV.S(coded_data!D:D)</f>
        <v>7.4154493382996591</v>
      </c>
      <c r="G21" s="18">
        <v>18</v>
      </c>
      <c r="H21" s="33" t="s">
        <v>358</v>
      </c>
      <c r="I21" s="29">
        <f>SUM(coded_data!AR:AR)</f>
        <v>10</v>
      </c>
      <c r="J21" s="34">
        <f>I21/COUNT(coded_data!AR:AR) / 4</f>
        <v>0.25</v>
      </c>
      <c r="K21" s="39">
        <f t="shared" si="0"/>
        <v>2</v>
      </c>
      <c r="L21" s="20" t="str">
        <f t="shared" si="1"/>
        <v>low</v>
      </c>
      <c r="N21" s="17" t="s">
        <v>389</v>
      </c>
      <c r="O21" t="s">
        <v>390</v>
      </c>
      <c r="P21">
        <f>COUNTIF(coded_data!BJ:BJ, 1)</f>
        <v>0</v>
      </c>
      <c r="Q21">
        <f>COUNTIF(coded_data!BJ:BJ, 2)</f>
        <v>0</v>
      </c>
      <c r="R21">
        <f>COUNTIF(coded_data!BJ:BJ, 3)</f>
        <v>2</v>
      </c>
      <c r="S21">
        <f>COUNTIF(coded_data!BJ:BJ, 4)</f>
        <v>6</v>
      </c>
      <c r="T21">
        <f>COUNTIF(coded_data!BJ:BJ, 5)</f>
        <v>2</v>
      </c>
      <c r="U21" s="17">
        <f>SUM(coded_data!BJ:BJ)</f>
        <v>40</v>
      </c>
      <c r="V21" s="30">
        <f>U21/(COUNT(coded_data!A:A) * 5)</f>
        <v>0.8</v>
      </c>
      <c r="W21" s="39">
        <f t="shared" si="2"/>
        <v>5</v>
      </c>
      <c r="X21" t="str">
        <f t="shared" si="3"/>
        <v>very high</v>
      </c>
    </row>
    <row r="22" spans="1:53" ht="15.5" customHeight="1">
      <c r="A22" s="317">
        <v>4</v>
      </c>
      <c r="B22" s="281" t="s">
        <v>609</v>
      </c>
      <c r="C22" s="63" t="s">
        <v>8</v>
      </c>
      <c r="D22" s="152">
        <v>0</v>
      </c>
      <c r="E22" s="1">
        <f>COUNTIF(coded_data!E:E,D22)</f>
        <v>1</v>
      </c>
      <c r="N22" s="17" t="s">
        <v>391</v>
      </c>
      <c r="O22" t="s">
        <v>392</v>
      </c>
      <c r="P22">
        <f>COUNTIF(coded_data!BK:BK, 1)</f>
        <v>0</v>
      </c>
      <c r="Q22">
        <f>COUNTIF(coded_data!BK:BK, 2)</f>
        <v>0</v>
      </c>
      <c r="R22">
        <f>COUNTIF(coded_data!BK:BK, 3)</f>
        <v>7</v>
      </c>
      <c r="S22">
        <f>COUNTIF(coded_data!BK:BK, 4)</f>
        <v>1</v>
      </c>
      <c r="T22">
        <f>COUNTIF(coded_data!BK:BK, 5)</f>
        <v>2</v>
      </c>
      <c r="U22" s="17">
        <f>SUM(coded_data!BK:BK)</f>
        <v>35</v>
      </c>
      <c r="V22" s="30">
        <f>U22/(COUNT(coded_data!A:A) * 5)</f>
        <v>0.7</v>
      </c>
      <c r="W22" s="39">
        <f t="shared" si="2"/>
        <v>4</v>
      </c>
      <c r="X22" t="str">
        <f t="shared" si="3"/>
        <v>high</v>
      </c>
      <c r="AN22" s="201" t="s">
        <v>710</v>
      </c>
    </row>
    <row r="23" spans="1:53" ht="15" customHeight="1">
      <c r="A23" s="318"/>
      <c r="B23" s="282"/>
      <c r="C23" s="5" t="s">
        <v>253</v>
      </c>
      <c r="D23" s="23">
        <v>1</v>
      </c>
      <c r="E23" s="1">
        <f>COUNTIF(coded_data!E:E,D23)</f>
        <v>3</v>
      </c>
      <c r="N23" s="17" t="s">
        <v>393</v>
      </c>
      <c r="O23" t="s">
        <v>394</v>
      </c>
      <c r="P23">
        <f>COUNTIF(coded_data!BL:BL, 1)</f>
        <v>3</v>
      </c>
      <c r="Q23">
        <f>COUNTIF(coded_data!BL:BL, 2)</f>
        <v>4</v>
      </c>
      <c r="R23">
        <f>COUNTIF(coded_data!BL:BL, 3)</f>
        <v>0</v>
      </c>
      <c r="S23">
        <f>COUNTIF(coded_data!BL:BL, 4)</f>
        <v>2</v>
      </c>
      <c r="T23">
        <f>COUNTIF(coded_data!BL:BL, 5)</f>
        <v>1</v>
      </c>
      <c r="U23" s="17">
        <f>SUM(coded_data!BL:BL)</f>
        <v>24</v>
      </c>
      <c r="V23" s="30">
        <f>U23/(COUNT(coded_data!A:A) * 5)</f>
        <v>0.48</v>
      </c>
      <c r="W23" s="39">
        <f t="shared" si="2"/>
        <v>3</v>
      </c>
      <c r="X23" t="str">
        <f t="shared" si="3"/>
        <v>moderate</v>
      </c>
    </row>
    <row r="24" spans="1:53">
      <c r="A24" s="318"/>
      <c r="B24" s="282"/>
      <c r="C24" s="5" t="s">
        <v>254</v>
      </c>
      <c r="D24" s="23">
        <v>2</v>
      </c>
      <c r="E24" s="1">
        <f>COUNTIF(coded_data!E:E,D24)</f>
        <v>3</v>
      </c>
      <c r="N24" s="17" t="s">
        <v>395</v>
      </c>
      <c r="O24" t="s">
        <v>396</v>
      </c>
      <c r="P24">
        <f>COUNTIF(coded_data!BM:BM, 1)</f>
        <v>0</v>
      </c>
      <c r="Q24">
        <f>COUNTIF(coded_data!BM:BM, 2)</f>
        <v>0</v>
      </c>
      <c r="R24">
        <f>COUNTIF(coded_data!BM:BM, 3)</f>
        <v>3</v>
      </c>
      <c r="S24">
        <f>COUNTIF(coded_data!BM:BM, 4)</f>
        <v>5</v>
      </c>
      <c r="T24">
        <f>COUNTIF(coded_data!BM:BM, 5)</f>
        <v>2</v>
      </c>
      <c r="U24" s="17">
        <f>SUM(coded_data!BM:BM)</f>
        <v>39</v>
      </c>
      <c r="V24" s="30">
        <f>U24/(COUNT(coded_data!A:A) * 5)</f>
        <v>0.78</v>
      </c>
      <c r="W24" s="39">
        <f t="shared" si="2"/>
        <v>4</v>
      </c>
      <c r="X24" t="str">
        <f t="shared" si="3"/>
        <v>high</v>
      </c>
    </row>
    <row r="25" spans="1:53">
      <c r="A25" s="318"/>
      <c r="B25" s="282"/>
      <c r="C25" s="5" t="s">
        <v>255</v>
      </c>
      <c r="D25" s="23">
        <v>3</v>
      </c>
      <c r="E25" s="1">
        <f>COUNTIF(coded_data!E:E,D25)</f>
        <v>1</v>
      </c>
      <c r="N25" s="17" t="s">
        <v>397</v>
      </c>
      <c r="O25" t="s">
        <v>398</v>
      </c>
      <c r="P25">
        <f>COUNTIF(coded_data!BN:BN, 1)</f>
        <v>0</v>
      </c>
      <c r="Q25">
        <f>COUNTIF(coded_data!BN:BN, 2)</f>
        <v>0</v>
      </c>
      <c r="R25">
        <f>COUNTIF(coded_data!BN:BN, 3)</f>
        <v>0</v>
      </c>
      <c r="S25">
        <f>COUNTIF(coded_data!BN:BN, 4)</f>
        <v>3</v>
      </c>
      <c r="T25">
        <f>COUNTIF(coded_data!BN:BN, 5)</f>
        <v>7</v>
      </c>
      <c r="U25" s="17">
        <f>SUM(coded_data!BN:BN)</f>
        <v>47</v>
      </c>
      <c r="V25" s="30">
        <f>U25/(COUNT(coded_data!A:A) * 5)</f>
        <v>0.94</v>
      </c>
      <c r="W25" s="39">
        <f t="shared" si="2"/>
        <v>5</v>
      </c>
      <c r="X25" t="str">
        <f t="shared" si="3"/>
        <v>very high</v>
      </c>
    </row>
    <row r="26" spans="1:53" ht="14.5" customHeight="1">
      <c r="A26" s="319"/>
      <c r="B26" s="283"/>
      <c r="C26" s="20" t="s">
        <v>256</v>
      </c>
      <c r="D26" s="24">
        <v>4</v>
      </c>
      <c r="E26" s="25">
        <f>COUNTIF(coded_data!E:E,D26)</f>
        <v>2</v>
      </c>
      <c r="N26" s="17" t="s">
        <v>399</v>
      </c>
      <c r="O26" t="s">
        <v>400</v>
      </c>
      <c r="P26">
        <f>COUNTIF(coded_data!BO:BO, 1)</f>
        <v>0</v>
      </c>
      <c r="Q26">
        <f>COUNTIF(coded_data!BO:BO, 2)</f>
        <v>0</v>
      </c>
      <c r="R26">
        <f>COUNTIF(coded_data!BO:BO, 3)</f>
        <v>0</v>
      </c>
      <c r="S26">
        <f>COUNTIF(coded_data!BO:BO, 4)</f>
        <v>0</v>
      </c>
      <c r="T26">
        <f>COUNTIF(coded_data!BO:BO, 5)</f>
        <v>10</v>
      </c>
      <c r="U26" s="17">
        <f>SUM(coded_data!BO:BO)</f>
        <v>50</v>
      </c>
      <c r="V26" s="30">
        <f>U26/(COUNT(coded_data!A:A) * 5)</f>
        <v>1</v>
      </c>
      <c r="W26" s="39">
        <f t="shared" si="2"/>
        <v>5</v>
      </c>
      <c r="X26" t="str">
        <f t="shared" si="3"/>
        <v>very high</v>
      </c>
    </row>
    <row r="27" spans="1:53" ht="14" customHeight="1">
      <c r="A27" s="317">
        <v>5</v>
      </c>
      <c r="B27" s="281" t="s">
        <v>610</v>
      </c>
      <c r="C27" s="19" t="s">
        <v>9</v>
      </c>
      <c r="D27" s="21">
        <v>2</v>
      </c>
      <c r="E27" s="22">
        <f>COUNTIF(coded_data!F:F,D27)</f>
        <v>2</v>
      </c>
      <c r="N27" s="17" t="s">
        <v>401</v>
      </c>
      <c r="O27" t="s">
        <v>402</v>
      </c>
      <c r="P27">
        <f>COUNTIF(coded_data!BP:BP, 1)</f>
        <v>0</v>
      </c>
      <c r="Q27">
        <f>COUNTIF(coded_data!BP:BP, 2)</f>
        <v>0</v>
      </c>
      <c r="R27">
        <f>COUNTIF(coded_data!BP:BP, 3)</f>
        <v>2</v>
      </c>
      <c r="S27">
        <f>COUNTIF(coded_data!BP:BP, 4)</f>
        <v>6</v>
      </c>
      <c r="T27">
        <f>COUNTIF(coded_data!BP:BP, 5)</f>
        <v>2</v>
      </c>
      <c r="U27" s="17">
        <f>SUM(coded_data!BP:BP)</f>
        <v>40</v>
      </c>
      <c r="V27" s="30">
        <f>U27/(COUNT(coded_data!A:A) * 5)</f>
        <v>0.8</v>
      </c>
      <c r="W27" s="39">
        <f t="shared" si="2"/>
        <v>5</v>
      </c>
      <c r="X27" t="str">
        <f t="shared" si="3"/>
        <v>very high</v>
      </c>
    </row>
    <row r="28" spans="1:53">
      <c r="A28" s="318"/>
      <c r="B28" s="282"/>
      <c r="C28" s="5" t="s">
        <v>11</v>
      </c>
      <c r="D28" s="23">
        <v>1</v>
      </c>
      <c r="E28" s="1">
        <f>COUNTIF(coded_data!F:F,D28)</f>
        <v>4</v>
      </c>
      <c r="N28" s="17" t="s">
        <v>403</v>
      </c>
      <c r="O28" t="s">
        <v>404</v>
      </c>
      <c r="P28">
        <f>COUNTIF(coded_data!BQ:BQ, 1)</f>
        <v>8</v>
      </c>
      <c r="Q28">
        <f>COUNTIF(coded_data!BQ:BQ, 2)</f>
        <v>0</v>
      </c>
      <c r="R28">
        <f>COUNTIF(coded_data!BQ:BQ, 3)</f>
        <v>0</v>
      </c>
      <c r="S28">
        <f>COUNTIF(coded_data!BQ:BQ, 4)</f>
        <v>0</v>
      </c>
      <c r="T28">
        <f>COUNTIF(coded_data!BQ:BQ, 5)</f>
        <v>2</v>
      </c>
      <c r="U28" s="17">
        <f>SUM(coded_data!BQ:BQ)</f>
        <v>18</v>
      </c>
      <c r="V28" s="30">
        <f>U28/(COUNT(coded_data!A:A) * 5)</f>
        <v>0.36</v>
      </c>
      <c r="W28" s="39">
        <f t="shared" si="2"/>
        <v>2</v>
      </c>
      <c r="X28" t="str">
        <f t="shared" si="3"/>
        <v>low</v>
      </c>
    </row>
    <row r="29" spans="1:53" ht="14.5" customHeight="1">
      <c r="A29" s="319"/>
      <c r="B29" s="283"/>
      <c r="C29" s="20" t="s">
        <v>10</v>
      </c>
      <c r="D29" s="24">
        <v>0</v>
      </c>
      <c r="E29" s="25">
        <f>COUNTIF(coded_data!F:F,D29)</f>
        <v>4</v>
      </c>
      <c r="U29" s="17"/>
    </row>
    <row r="30" spans="1:53" ht="17" customHeight="1">
      <c r="A30" s="317">
        <v>6</v>
      </c>
      <c r="B30" s="281" t="s">
        <v>601</v>
      </c>
      <c r="C30" s="19" t="s">
        <v>323</v>
      </c>
      <c r="D30" s="21">
        <v>2</v>
      </c>
      <c r="E30" s="22">
        <f>COUNTIF(coded_data!G:G,D30)</f>
        <v>3</v>
      </c>
    </row>
    <row r="31" spans="1:53">
      <c r="A31" s="318"/>
      <c r="B31" s="282"/>
      <c r="C31" s="26" t="s">
        <v>325</v>
      </c>
      <c r="D31" s="23">
        <v>1</v>
      </c>
      <c r="E31" s="1">
        <f>COUNTIF(coded_data!G:G,D31)</f>
        <v>6</v>
      </c>
    </row>
    <row r="32" spans="1:53">
      <c r="A32" s="319"/>
      <c r="B32" s="283"/>
      <c r="C32" s="27" t="s">
        <v>324</v>
      </c>
      <c r="D32" s="24">
        <v>0</v>
      </c>
      <c r="E32" s="25">
        <f>COUNTIF(coded_data!G:G,D32)</f>
        <v>1</v>
      </c>
    </row>
    <row r="33" spans="1:5" ht="17" customHeight="1">
      <c r="A33" s="317">
        <v>7</v>
      </c>
      <c r="B33" s="281" t="s">
        <v>602</v>
      </c>
      <c r="C33" s="28" t="s">
        <v>326</v>
      </c>
      <c r="D33" s="21">
        <v>6</v>
      </c>
      <c r="E33" s="22">
        <f>COUNTIF(coded_data!H:H,D33)</f>
        <v>1</v>
      </c>
    </row>
    <row r="34" spans="1:5">
      <c r="A34" s="318"/>
      <c r="B34" s="282"/>
      <c r="C34" s="26" t="s">
        <v>327</v>
      </c>
      <c r="D34" s="23">
        <v>5</v>
      </c>
      <c r="E34" s="1">
        <f>COUNTIF(coded_data!H:H,D34)</f>
        <v>2</v>
      </c>
    </row>
    <row r="35" spans="1:5">
      <c r="A35" s="318"/>
      <c r="B35" s="282"/>
      <c r="C35" s="26" t="s">
        <v>328</v>
      </c>
      <c r="D35" s="23">
        <v>4</v>
      </c>
      <c r="E35" s="1">
        <f>COUNTIF(coded_data!H:H,D35)</f>
        <v>4</v>
      </c>
    </row>
    <row r="36" spans="1:5">
      <c r="A36" s="318"/>
      <c r="B36" s="282"/>
      <c r="C36" s="26" t="s">
        <v>330</v>
      </c>
      <c r="D36" s="23">
        <v>3</v>
      </c>
      <c r="E36" s="1">
        <f>COUNTIF(coded_data!H:H,D36)</f>
        <v>1</v>
      </c>
    </row>
    <row r="37" spans="1:5">
      <c r="A37" s="318"/>
      <c r="B37" s="282"/>
      <c r="C37" s="26" t="s">
        <v>329</v>
      </c>
      <c r="D37" s="23">
        <v>2</v>
      </c>
      <c r="E37" s="1">
        <f>COUNTIF(coded_data!H:H,D37)</f>
        <v>0</v>
      </c>
    </row>
    <row r="38" spans="1:5">
      <c r="A38" s="318"/>
      <c r="B38" s="282"/>
      <c r="C38" s="26" t="s">
        <v>331</v>
      </c>
      <c r="D38" s="23">
        <v>1</v>
      </c>
      <c r="E38" s="1">
        <f>COUNTIF(coded_data!H:H,D38)</f>
        <v>2</v>
      </c>
    </row>
    <row r="39" spans="1:5" ht="15" customHeight="1">
      <c r="A39" s="319"/>
      <c r="B39" s="283"/>
      <c r="C39" s="27" t="s">
        <v>332</v>
      </c>
      <c r="D39" s="24">
        <v>0</v>
      </c>
      <c r="E39" s="25">
        <f>COUNTIF(coded_data!H:H,D39)</f>
        <v>0</v>
      </c>
    </row>
    <row r="40" spans="1:5">
      <c r="A40" s="317">
        <v>8</v>
      </c>
      <c r="B40" s="281" t="s">
        <v>603</v>
      </c>
      <c r="C40" s="28" t="s">
        <v>333</v>
      </c>
      <c r="D40" s="21">
        <v>0</v>
      </c>
      <c r="E40" s="22">
        <f>COUNTIF(coded_data!I:I,D40)</f>
        <v>8</v>
      </c>
    </row>
    <row r="41" spans="1:5">
      <c r="A41" s="318"/>
      <c r="B41" s="282"/>
      <c r="C41" s="26" t="s">
        <v>334</v>
      </c>
      <c r="D41" s="23">
        <v>1</v>
      </c>
      <c r="E41" s="1">
        <f>COUNTIF(coded_data!I:I,D41)</f>
        <v>2</v>
      </c>
    </row>
    <row r="42" spans="1:5">
      <c r="A42" s="319"/>
      <c r="B42" s="283"/>
      <c r="C42" s="27" t="s">
        <v>332</v>
      </c>
      <c r="D42" s="24">
        <v>2</v>
      </c>
      <c r="E42" s="25">
        <f>COUNTIF(coded_data!I:I,D42)</f>
        <v>0</v>
      </c>
    </row>
    <row r="43" spans="1:5" ht="14" customHeight="1">
      <c r="A43" s="317">
        <v>9</v>
      </c>
      <c r="B43" s="281" t="s">
        <v>604</v>
      </c>
      <c r="C43" s="28" t="s">
        <v>335</v>
      </c>
      <c r="D43" s="21">
        <v>1</v>
      </c>
      <c r="E43" s="22">
        <f>COUNTIF(coded_data!J:J,D43)</f>
        <v>4</v>
      </c>
    </row>
    <row r="44" spans="1:5">
      <c r="A44" s="319"/>
      <c r="B44" s="283"/>
      <c r="C44" s="27" t="s">
        <v>336</v>
      </c>
      <c r="D44" s="24">
        <v>0</v>
      </c>
      <c r="E44" s="25">
        <f>COUNTIF(coded_data!J:J,D44)</f>
        <v>6</v>
      </c>
    </row>
    <row r="68" spans="33:33">
      <c r="AG68" s="201" t="s">
        <v>710</v>
      </c>
    </row>
    <row r="91" spans="7:7">
      <c r="G91" s="201" t="s">
        <v>710</v>
      </c>
    </row>
    <row r="109" spans="26:26">
      <c r="Z109" s="201" t="s">
        <v>710</v>
      </c>
    </row>
    <row r="145" spans="14:14">
      <c r="N145" s="201" t="s">
        <v>710</v>
      </c>
    </row>
  </sheetData>
  <mergeCells count="37">
    <mergeCell ref="A1:A2"/>
    <mergeCell ref="B40:B42"/>
    <mergeCell ref="B43:B44"/>
    <mergeCell ref="A4:A11"/>
    <mergeCell ref="A12:A16"/>
    <mergeCell ref="A17:A21"/>
    <mergeCell ref="A22:A26"/>
    <mergeCell ref="A27:A29"/>
    <mergeCell ref="A30:A32"/>
    <mergeCell ref="A33:A39"/>
    <mergeCell ref="A40:A42"/>
    <mergeCell ref="A43:A44"/>
    <mergeCell ref="B17:B21"/>
    <mergeCell ref="B22:B26"/>
    <mergeCell ref="B27:B29"/>
    <mergeCell ref="B30:B32"/>
    <mergeCell ref="B33:B39"/>
    <mergeCell ref="BC3:BD3"/>
    <mergeCell ref="BF3:BI3"/>
    <mergeCell ref="BC9:BD9"/>
    <mergeCell ref="AU1:BI2"/>
    <mergeCell ref="AV14:AX14"/>
    <mergeCell ref="AY14:BA14"/>
    <mergeCell ref="AU3:BA3"/>
    <mergeCell ref="AV4:AX4"/>
    <mergeCell ref="AY4:BA4"/>
    <mergeCell ref="AU13:BA13"/>
    <mergeCell ref="AU4:AU5"/>
    <mergeCell ref="AU14:AU15"/>
    <mergeCell ref="G1:L2"/>
    <mergeCell ref="N1:X2"/>
    <mergeCell ref="Z1:AE2"/>
    <mergeCell ref="AN1:AS2"/>
    <mergeCell ref="AG1:AL2"/>
    <mergeCell ref="B1:E2"/>
    <mergeCell ref="B4:B11"/>
    <mergeCell ref="B12:B16"/>
  </mergeCells>
  <conditionalFormatting sqref="E4:E1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{D1B062D8-74A7-4940-81FB-03F12F173BF0}</x14:id>
        </ext>
      </extLst>
    </cfRule>
  </conditionalFormatting>
  <conditionalFormatting sqref="E22:E44 E12:E16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{DA5FB024-B1AD-49F5-90DD-1B1E0ED70493}</x14:id>
        </ext>
      </extLst>
    </cfRule>
  </conditionalFormatting>
  <conditionalFormatting sqref="J4:J2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{E7DC351C-D8E3-4A2C-8C4D-BEA6CFDADF72}</x14:id>
        </ext>
      </extLst>
    </cfRule>
  </conditionalFormatting>
  <conditionalFormatting sqref="P4:T4">
    <cfRule type="top10" dxfId="116" priority="60" percent="1" rank="10"/>
  </conditionalFormatting>
  <conditionalFormatting sqref="P5:T5">
    <cfRule type="top10" dxfId="115" priority="59" percent="1" rank="10"/>
  </conditionalFormatting>
  <conditionalFormatting sqref="P6:T6">
    <cfRule type="top10" dxfId="114" priority="58" percent="1" rank="10"/>
  </conditionalFormatting>
  <conditionalFormatting sqref="P7:T7">
    <cfRule type="top10" dxfId="113" priority="57" percent="1" rank="10"/>
  </conditionalFormatting>
  <conditionalFormatting sqref="P8:T8">
    <cfRule type="top10" dxfId="112" priority="56" percent="1" rank="10"/>
  </conditionalFormatting>
  <conditionalFormatting sqref="P9:T9">
    <cfRule type="top10" dxfId="111" priority="55" percent="1" rank="10"/>
  </conditionalFormatting>
  <conditionalFormatting sqref="P10:T10">
    <cfRule type="top10" dxfId="110" priority="54" percent="1" rank="10"/>
  </conditionalFormatting>
  <conditionalFormatting sqref="P11:T11">
    <cfRule type="top10" dxfId="109" priority="53" percent="1" rank="10"/>
  </conditionalFormatting>
  <conditionalFormatting sqref="P12:T12">
    <cfRule type="top10" dxfId="108" priority="52" percent="1" rank="10"/>
  </conditionalFormatting>
  <conditionalFormatting sqref="P13:T13">
    <cfRule type="top10" dxfId="107" priority="51" percent="1" rank="10"/>
  </conditionalFormatting>
  <conditionalFormatting sqref="P14:T14">
    <cfRule type="top10" dxfId="106" priority="50" percent="1" rank="10"/>
  </conditionalFormatting>
  <conditionalFormatting sqref="P15:T15">
    <cfRule type="top10" dxfId="105" priority="49" percent="1" rank="10"/>
  </conditionalFormatting>
  <conditionalFormatting sqref="P16:T16">
    <cfRule type="top10" dxfId="104" priority="48" percent="1" rank="10"/>
  </conditionalFormatting>
  <conditionalFormatting sqref="P17:T17">
    <cfRule type="top10" dxfId="103" priority="47" percent="1" rank="10"/>
  </conditionalFormatting>
  <conditionalFormatting sqref="P18:T18">
    <cfRule type="top10" dxfId="102" priority="46" percent="1" rank="10"/>
  </conditionalFormatting>
  <conditionalFormatting sqref="P19:T19">
    <cfRule type="top10" dxfId="101" priority="45" percent="1" rank="10"/>
  </conditionalFormatting>
  <conditionalFormatting sqref="P20:T20">
    <cfRule type="top10" dxfId="100" priority="44" percent="1" rank="10"/>
  </conditionalFormatting>
  <conditionalFormatting sqref="P21:T21">
    <cfRule type="top10" dxfId="99" priority="43" percent="1" rank="10"/>
  </conditionalFormatting>
  <conditionalFormatting sqref="P22:T22">
    <cfRule type="top10" dxfId="98" priority="42" percent="1" rank="10"/>
  </conditionalFormatting>
  <conditionalFormatting sqref="P23:T23">
    <cfRule type="top10" dxfId="97" priority="41" percent="1" rank="10"/>
  </conditionalFormatting>
  <conditionalFormatting sqref="P24:T24">
    <cfRule type="top10" dxfId="96" priority="40" percent="1" rank="10"/>
  </conditionalFormatting>
  <conditionalFormatting sqref="P25:T25">
    <cfRule type="top10" dxfId="95" priority="39" percent="1" rank="10"/>
  </conditionalFormatting>
  <conditionalFormatting sqref="P26:T26">
    <cfRule type="top10" dxfId="94" priority="38" percent="1" rank="10"/>
  </conditionalFormatting>
  <conditionalFormatting sqref="P27:T27">
    <cfRule type="top10" dxfId="93" priority="37" percent="1" rank="10"/>
  </conditionalFormatting>
  <conditionalFormatting sqref="P28:T28">
    <cfRule type="top10" dxfId="92" priority="36" percent="1" rank="10"/>
  </conditionalFormatting>
  <conditionalFormatting sqref="P29:T29">
    <cfRule type="top10" dxfId="91" priority="35" percent="1" rank="10"/>
  </conditionalFormatting>
  <conditionalFormatting sqref="W4:W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4:AC20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{EBD2F699-0822-4E33-8A76-67B4E61BCC33}</x14:id>
        </ext>
      </extLst>
    </cfRule>
  </conditionalFormatting>
  <conditionalFormatting sqref="V4:V2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{AB5B353F-68A0-483F-82F2-6D9CFAF12C72}</x14:id>
        </ext>
      </extLst>
    </cfRule>
  </conditionalFormatting>
  <conditionalFormatting sqref="K4:K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:AD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4:AK1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4:AJ1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{554AFD53-7C55-47C3-8629-E9760EE30B3A}</x14:id>
        </ext>
      </extLst>
    </cfRule>
  </conditionalFormatting>
  <conditionalFormatting sqref="AR4:AR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4:AQ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{11FA06E7-97FE-4455-A16D-D631A1460492}</x14:id>
        </ext>
      </extLst>
    </cfRule>
  </conditionalFormatting>
  <conditionalFormatting sqref="AV6:AV12 AW11:AX11">
    <cfRule type="top10" dxfId="90" priority="21" percent="1" rank="10"/>
  </conditionalFormatting>
  <conditionalFormatting sqref="AW6:AW10 AW12">
    <cfRule type="top10" dxfId="89" priority="20" percent="1" rank="10"/>
  </conditionalFormatting>
  <conditionalFormatting sqref="AX6:AX10 AX12">
    <cfRule type="top10" dxfId="88" priority="19" percent="1" rank="10"/>
  </conditionalFormatting>
  <conditionalFormatting sqref="AY6:BA12">
    <cfRule type="top10" dxfId="87" priority="18" percent="1" rank="10"/>
  </conditionalFormatting>
  <conditionalFormatting sqref="AV16:AX19">
    <cfRule type="top10" dxfId="86" priority="17" percent="1" rank="10"/>
  </conditionalFormatting>
  <conditionalFormatting sqref="AW16:AW19">
    <cfRule type="top10" dxfId="85" priority="16" percent="1" rank="10"/>
  </conditionalFormatting>
  <conditionalFormatting sqref="AX16:AX19">
    <cfRule type="top10" dxfId="84" priority="15" percent="1" rank="10"/>
  </conditionalFormatting>
  <conditionalFormatting sqref="AY16:BA19">
    <cfRule type="top10" dxfId="83" priority="14" percent="1" rank="10"/>
  </conditionalFormatting>
  <conditionalFormatting sqref="AY16:BA19">
    <cfRule type="top10" dxfId="82" priority="13" percent="1" rank="10"/>
  </conditionalFormatting>
  <conditionalFormatting sqref="AY16:AY19">
    <cfRule type="top10" dxfId="81" priority="12" percent="1" rank="10"/>
  </conditionalFormatting>
  <conditionalFormatting sqref="BA16:BA19">
    <cfRule type="top10" dxfId="80" priority="11" percent="1" rank="10"/>
  </conditionalFormatting>
  <conditionalFormatting sqref="BD4:BD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{68EE48D7-ADC4-4059-BC54-CC55D76BE6BD}</x14:id>
        </ext>
      </extLst>
    </cfRule>
  </conditionalFormatting>
  <conditionalFormatting sqref="BD10:BD1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{D0BFD148-A6A1-4CE1-837C-9F692EBE2563}</x14:id>
        </ext>
      </extLst>
    </cfRule>
  </conditionalFormatting>
  <conditionalFormatting sqref="BG5:BG14 BI14">
    <cfRule type="top10" dxfId="79" priority="7" percent="1" rank="10"/>
  </conditionalFormatting>
  <conditionalFormatting sqref="BI5:BI13">
    <cfRule type="top10" dxfId="78" priority="3" percent="1" rank="10"/>
  </conditionalFormatting>
  <conditionalFormatting sqref="BG5:BG14">
    <cfRule type="top10" dxfId="77" priority="2" percent="1" rank="10"/>
  </conditionalFormatting>
  <conditionalFormatting sqref="BH5:BH14">
    <cfRule type="top10" dxfId="76" priority="1" percent="1" rank="10"/>
  </conditionalFormatting>
  <hyperlinks>
    <hyperlink ref="A1:A2" location="Intro!A1" display="Intro!A1" xr:uid="{C0C2F9D2-DBBF-46E9-A496-997E40B630E1}"/>
  </hyperlinks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B062D8-74A7-4940-81FB-03F12F173B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E4:E11</xm:sqref>
        </x14:conditionalFormatting>
        <x14:conditionalFormatting xmlns:xm="http://schemas.microsoft.com/office/excel/2006/main">
          <x14:cfRule type="dataBar" id="{DA5FB024-B1AD-49F5-90DD-1B1E0ED70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E22:E44 E12:E16</xm:sqref>
        </x14:conditionalFormatting>
        <x14:conditionalFormatting xmlns:xm="http://schemas.microsoft.com/office/excel/2006/main">
          <x14:cfRule type="dataBar" id="{E7DC351C-D8E3-4A2C-8C4D-BEA6CFDAD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J4:J21</xm:sqref>
        </x14:conditionalFormatting>
        <x14:conditionalFormatting xmlns:xm="http://schemas.microsoft.com/office/excel/2006/main">
          <x14:cfRule type="dataBar" id="{EBD2F699-0822-4E33-8A76-67B4E61BC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AC4:AC20</xm:sqref>
        </x14:conditionalFormatting>
        <x14:conditionalFormatting xmlns:xm="http://schemas.microsoft.com/office/excel/2006/main">
          <x14:cfRule type="dataBar" id="{AB5B353F-68A0-483F-82F2-6D9CFAF12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V4:V28</xm:sqref>
        </x14:conditionalFormatting>
        <x14:conditionalFormatting xmlns:xm="http://schemas.microsoft.com/office/excel/2006/main">
          <x14:cfRule type="dataBar" id="{554AFD53-7C55-47C3-8629-E9760EE30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AJ4:AJ16</xm:sqref>
        </x14:conditionalFormatting>
        <x14:conditionalFormatting xmlns:xm="http://schemas.microsoft.com/office/excel/2006/main">
          <x14:cfRule type="dataBar" id="{11FA06E7-97FE-4455-A16D-D631A1460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AQ4:AQ6</xm:sqref>
        </x14:conditionalFormatting>
        <x14:conditionalFormatting xmlns:xm="http://schemas.microsoft.com/office/excel/2006/main">
          <x14:cfRule type="dataBar" id="{68EE48D7-ADC4-4059-BC54-CC55D76BE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BD4:BD8</xm:sqref>
        </x14:conditionalFormatting>
        <x14:conditionalFormatting xmlns:xm="http://schemas.microsoft.com/office/excel/2006/main">
          <x14:cfRule type="dataBar" id="{D0BFD148-A6A1-4CE1-837C-9F692EBE2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BD10:BD15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5"/>
  <sheetViews>
    <sheetView showGridLines="0" zoomScale="54" zoomScaleNormal="54" workbookViewId="0">
      <selection activeCell="H38" sqref="H38"/>
    </sheetView>
  </sheetViews>
  <sheetFormatPr defaultRowHeight="14.5"/>
  <cols>
    <col min="1" max="1" width="9.54296875" style="18" customWidth="1"/>
    <col min="2" max="2" width="41.1796875" customWidth="1"/>
    <col min="3" max="3" width="8.81640625" style="18" customWidth="1"/>
    <col min="4" max="4" width="8.54296875" style="18" customWidth="1"/>
    <col min="5" max="5" width="10.26953125" style="18" customWidth="1"/>
    <col min="6" max="6" width="9.26953125" style="18" customWidth="1"/>
    <col min="7" max="7" width="12.26953125" style="37" customWidth="1"/>
    <col min="8" max="8" width="19.1796875" customWidth="1"/>
    <col min="9" max="9" width="29.54296875" customWidth="1"/>
    <col min="10" max="10" width="19.7265625" customWidth="1"/>
    <col min="11" max="11" width="6.81640625" customWidth="1"/>
    <col min="13" max="13" width="14.6328125" customWidth="1"/>
  </cols>
  <sheetData>
    <row r="1" spans="1:13">
      <c r="A1" s="322" t="s">
        <v>322</v>
      </c>
      <c r="B1" s="325" t="str">
        <f>CONCATENATE("Score summaries at (n = ", COUNT(raw_data!A:A), ")")</f>
        <v>Score summaries at (n = 10)</v>
      </c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7"/>
    </row>
    <row r="2" spans="1:13" ht="15" thickBot="1">
      <c r="A2" s="322"/>
      <c r="B2" s="328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30"/>
    </row>
    <row r="3" spans="1:13">
      <c r="A3" s="323" t="s">
        <v>549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</row>
    <row r="4" spans="1:13">
      <c r="A4" s="51" t="s">
        <v>548</v>
      </c>
      <c r="B4" s="50" t="s">
        <v>547</v>
      </c>
      <c r="C4" s="35" t="s">
        <v>240</v>
      </c>
      <c r="D4" s="35" t="s">
        <v>241</v>
      </c>
      <c r="E4" s="35" t="s">
        <v>281</v>
      </c>
      <c r="F4" s="74" t="s">
        <v>596</v>
      </c>
      <c r="G4" s="74" t="s">
        <v>597</v>
      </c>
      <c r="H4" s="35" t="s">
        <v>540</v>
      </c>
      <c r="I4" s="41" t="s">
        <v>554</v>
      </c>
      <c r="J4" s="46" t="s">
        <v>340</v>
      </c>
      <c r="K4" t="s">
        <v>280</v>
      </c>
      <c r="L4" t="s">
        <v>595</v>
      </c>
      <c r="M4" t="s">
        <v>594</v>
      </c>
    </row>
    <row r="5" spans="1:13">
      <c r="A5" s="18" t="s">
        <v>546</v>
      </c>
      <c r="B5" s="63" t="s">
        <v>534</v>
      </c>
      <c r="C5" s="74">
        <f>MIN(processed_data!B:B)</f>
        <v>1</v>
      </c>
      <c r="D5" s="74">
        <f>MAX(processed_data!B:B)</f>
        <v>5</v>
      </c>
      <c r="E5" s="74">
        <f>AVERAGE(processed_data!B:B)</f>
        <v>2.6</v>
      </c>
      <c r="F5" s="74">
        <f>MEDIAN(processed_data!B:B)</f>
        <v>2</v>
      </c>
      <c r="G5" s="74">
        <f>MODE(processed_data!B:B)</f>
        <v>2</v>
      </c>
      <c r="H5" s="74">
        <f>SUM(processed_data!B:B)</f>
        <v>26</v>
      </c>
      <c r="I5" s="41">
        <f>H5/COUNT(processed_data!A:A)/ 5</f>
        <v>0.52</v>
      </c>
      <c r="J5" s="63" t="str">
        <f>IF(I5&lt;=20%,"very low",IF(I5&lt;=40%,"low",IF(I5&lt;=60%,"moderate", IF(I5&lt;=80%,"high","very high"))))</f>
        <v>moderate</v>
      </c>
      <c r="K5">
        <f>IF(J5="very high", 5, IF(J5="high", 4, IF(J5="moderate", 3, IF(J5="low", 2, 1))))</f>
        <v>3</v>
      </c>
      <c r="L5">
        <f>D5-C5</f>
        <v>4</v>
      </c>
      <c r="M5">
        <f>_xlfn.STDEV.P(coded_data!B:B)</f>
        <v>2.2825424421026654</v>
      </c>
    </row>
    <row r="6" spans="1:13">
      <c r="A6" s="18" t="s">
        <v>579</v>
      </c>
      <c r="B6" s="63" t="s">
        <v>536</v>
      </c>
      <c r="C6" s="74">
        <f>MIN(processed_data!J:J)</f>
        <v>1</v>
      </c>
      <c r="D6" s="74">
        <f>MAX(processed_data!J:J)</f>
        <v>8</v>
      </c>
      <c r="E6" s="74">
        <f>AVERAGE(processed_data!J:J)</f>
        <v>3</v>
      </c>
      <c r="F6" s="74">
        <f>MEDIAN(processed_data!J:J)</f>
        <v>2</v>
      </c>
      <c r="G6" s="74">
        <f>MODE(processed_data!J:J)</f>
        <v>1</v>
      </c>
      <c r="H6" s="74">
        <f>SUM(processed_data!J:J)</f>
        <v>30</v>
      </c>
      <c r="I6" s="41">
        <f>H6/COUNT(processed_data!A:A)/ 9</f>
        <v>0.33333333333333331</v>
      </c>
      <c r="J6" s="63" t="str">
        <f>IF(I6&lt;=20%,"very low",IF(I6&lt;=40%,"low",IF(I6&lt;=60%,"moderate", IF(I6&lt;=80%,"high","very high"))))</f>
        <v>low</v>
      </c>
      <c r="K6" s="60">
        <f>IF(J6="very high", 5, IF(J6="high", 4, IF(J6="moderate", 3, IF(J6="low", 2, 1))))</f>
        <v>2</v>
      </c>
      <c r="L6" s="60">
        <f>D6-C6</f>
        <v>7</v>
      </c>
      <c r="M6" s="60">
        <f>_xlfn.STDEV.P(coded_data!J:J)</f>
        <v>0.4898979485566356</v>
      </c>
    </row>
    <row r="7" spans="1:13">
      <c r="A7" s="18" t="s">
        <v>580</v>
      </c>
      <c r="B7" s="63" t="s">
        <v>535</v>
      </c>
      <c r="C7" s="74">
        <f>MIN(processed_data!F:F)</f>
        <v>0</v>
      </c>
      <c r="D7" s="74">
        <f>MAX(processed_data!F:F)</f>
        <v>5</v>
      </c>
      <c r="E7" s="74">
        <f>AVERAGE(processed_data!F:F)</f>
        <v>1.2</v>
      </c>
      <c r="F7" s="74">
        <f>MEDIAN(processed_data!F:F)</f>
        <v>0</v>
      </c>
      <c r="G7" s="74">
        <f>MODE(processed_data!F:F)</f>
        <v>0</v>
      </c>
      <c r="H7" s="74">
        <f>SUM(processed_data!F:F)</f>
        <v>12</v>
      </c>
      <c r="I7" s="41">
        <f>H7/COUNT(processed_data!A:A)/ 5</f>
        <v>0.24</v>
      </c>
      <c r="J7" s="63" t="str">
        <f>IF(I7&lt;=20%,"very low",IF(I7&lt;=40%,"low",IF(I7&lt;=60%,"moderate", IF(I7&lt;=80%,"high","very high"))))</f>
        <v>low</v>
      </c>
      <c r="K7" s="60">
        <f>IF(J7="very high", 5, IF(J7="high", 4, IF(J7="moderate", 3, IF(J7="low", 2, 1))))</f>
        <v>2</v>
      </c>
      <c r="L7" s="60">
        <f>D7-C7</f>
        <v>5</v>
      </c>
      <c r="M7" s="60">
        <f>_xlfn.STDEV.P(coded_data!F:F)</f>
        <v>0.74833147735478833</v>
      </c>
    </row>
    <row r="8" spans="1:13">
      <c r="A8" s="18" t="s">
        <v>581</v>
      </c>
      <c r="B8" s="63" t="s">
        <v>537</v>
      </c>
      <c r="C8" s="74">
        <f>MIN(processed_data!N:N)</f>
        <v>0</v>
      </c>
      <c r="D8" s="74">
        <f>MAX(processed_data!N:N)</f>
        <v>22</v>
      </c>
      <c r="E8" s="74">
        <f>AVERAGE(processed_data!N:N)</f>
        <v>5.2</v>
      </c>
      <c r="F8" s="74">
        <f>MEDIAN(processed_data!N:N)</f>
        <v>0</v>
      </c>
      <c r="G8" s="74">
        <f>MODE(processed_data!N:N)</f>
        <v>0</v>
      </c>
      <c r="H8" s="74">
        <f>SUM(processed_data!N:N)</f>
        <v>52</v>
      </c>
      <c r="I8" s="41">
        <f>H8/COUNT(processed_data!A:A)/ 31</f>
        <v>0.16774193548387098</v>
      </c>
      <c r="J8" s="63" t="str">
        <f>IF(I8&lt;=20%,"very low",IF(I8&lt;=40%,"low",IF(I8&lt;=60%,"moderate", IF(I8&lt;=80%,"high","very high"))))</f>
        <v>very low</v>
      </c>
      <c r="K8" s="60">
        <f>IF(J8="very high", 5, IF(J8="high", 4, IF(J8="moderate", 3, IF(J8="low", 2, 1))))</f>
        <v>1</v>
      </c>
      <c r="L8" s="60">
        <f>D8-C8</f>
        <v>22</v>
      </c>
      <c r="M8" s="60">
        <f>_xlfn.STDEV.P(coded_data!N:N)</f>
        <v>0.4898979485566356</v>
      </c>
    </row>
    <row r="10" spans="1:13">
      <c r="A10" s="331" t="s">
        <v>550</v>
      </c>
      <c r="B10" s="332"/>
      <c r="C10" s="332"/>
      <c r="D10" s="332"/>
      <c r="E10" s="332"/>
      <c r="F10" s="332"/>
      <c r="G10" s="332"/>
      <c r="H10" s="332"/>
      <c r="I10" s="332"/>
      <c r="J10" s="332"/>
      <c r="K10" s="332"/>
      <c r="L10" s="332"/>
      <c r="M10" s="332"/>
    </row>
    <row r="11" spans="1:13">
      <c r="A11" s="51" t="s">
        <v>548</v>
      </c>
      <c r="B11" s="50" t="s">
        <v>547</v>
      </c>
      <c r="C11" s="151" t="s">
        <v>240</v>
      </c>
      <c r="D11" s="151" t="s">
        <v>241</v>
      </c>
      <c r="E11" s="151" t="s">
        <v>281</v>
      </c>
      <c r="F11" s="151" t="s">
        <v>596</v>
      </c>
      <c r="G11" s="151" t="s">
        <v>597</v>
      </c>
      <c r="H11" s="151" t="s">
        <v>540</v>
      </c>
      <c r="I11" s="56" t="s">
        <v>555</v>
      </c>
      <c r="J11" s="46" t="s">
        <v>340</v>
      </c>
      <c r="K11" s="60" t="s">
        <v>280</v>
      </c>
      <c r="L11" s="60" t="s">
        <v>595</v>
      </c>
      <c r="M11" s="60" t="s">
        <v>594</v>
      </c>
    </row>
    <row r="12" spans="1:13">
      <c r="A12" s="68" t="s">
        <v>582</v>
      </c>
      <c r="B12" s="63" t="s">
        <v>572</v>
      </c>
      <c r="C12" s="151">
        <f>MIN(processed_data!Z:Z)</f>
        <v>46</v>
      </c>
      <c r="D12" s="151">
        <f>MAX(processed_data!Z:Z)</f>
        <v>54</v>
      </c>
      <c r="E12" s="151">
        <f>AVERAGE(processed_data!Z:Z)</f>
        <v>49.3</v>
      </c>
      <c r="F12" s="151">
        <f>MEDIAN(processed_data!Z:Z)</f>
        <v>48</v>
      </c>
      <c r="G12" s="151">
        <f>MODE(processed_data!Z:Z)</f>
        <v>48</v>
      </c>
      <c r="H12" s="151">
        <f>SUM(processed_data!Z:Z)</f>
        <v>493</v>
      </c>
      <c r="I12" s="41">
        <f>H12/COUNT(processed_data!A:A)/ 60</f>
        <v>0.82166666666666666</v>
      </c>
      <c r="J12" s="63" t="str">
        <f>IF(I12&lt;=20%,"very low",IF(I12&lt;=40%,"low",IF(I12&lt;=60%,"moderate", IF(I12&lt;=80%,"high","very high"))))</f>
        <v>very high</v>
      </c>
      <c r="K12" s="60">
        <f>IF(J12="very high", 5, IF(J12="high", 4, IF(J12="moderate", 3, IF(J12="low", 2, 1))))</f>
        <v>5</v>
      </c>
      <c r="L12" s="60">
        <f>D12-C12</f>
        <v>8</v>
      </c>
      <c r="M12" s="60">
        <f>_xlfn.STDEV.P(processed_data!Z:Z)</f>
        <v>2.4515301344262523</v>
      </c>
    </row>
    <row r="13" spans="1:13">
      <c r="A13" s="68" t="s">
        <v>583</v>
      </c>
      <c r="B13" s="63" t="s">
        <v>289</v>
      </c>
      <c r="C13" s="151">
        <f>MIN(processed_data!AD:AD)</f>
        <v>36</v>
      </c>
      <c r="D13" s="151">
        <f>MAX(processed_data!AD:AD)</f>
        <v>51</v>
      </c>
      <c r="E13" s="151">
        <f>AVERAGE(processed_data!AD:AD)</f>
        <v>41.3</v>
      </c>
      <c r="F13" s="151">
        <f>MEDIAN(processed_data!AD:AD)</f>
        <v>38.5</v>
      </c>
      <c r="G13" s="151">
        <f>MODE(processed_data!AD:AD)</f>
        <v>38</v>
      </c>
      <c r="H13" s="151">
        <f>SUM(processed_data!AD:AD)</f>
        <v>413</v>
      </c>
      <c r="I13" s="41">
        <f>H13/COUNT(processed_data!A:A)/ 60</f>
        <v>0.68833333333333324</v>
      </c>
      <c r="J13" s="63" t="str">
        <f>IF(I13&lt;=20%,"very low",IF(I13&lt;=40%,"low",IF(I13&lt;=60%,"moderate", IF(I13&lt;=80%,"high","very high"))))</f>
        <v>high</v>
      </c>
      <c r="K13" s="60">
        <f>IF(J13="very high", 5, IF(J13="high", 4, IF(J13="moderate", 3, IF(J13="low", 2, 1))))</f>
        <v>4</v>
      </c>
      <c r="L13" s="60">
        <f>D13-C13</f>
        <v>15</v>
      </c>
      <c r="M13" s="60">
        <f>_xlfn.STDEV.P(processed_data!AD:AD)</f>
        <v>5.1195702944680814</v>
      </c>
    </row>
    <row r="14" spans="1:13">
      <c r="A14" s="68" t="s">
        <v>584</v>
      </c>
      <c r="B14" s="63" t="s">
        <v>286</v>
      </c>
      <c r="C14" s="151">
        <f>MIN(processed_data!R:R)</f>
        <v>1</v>
      </c>
      <c r="D14" s="151">
        <f>MAX(processed_data!R:R)</f>
        <v>5</v>
      </c>
      <c r="E14" s="151">
        <f>AVERAGE(processed_data!R:R)</f>
        <v>3.1</v>
      </c>
      <c r="F14" s="151">
        <f>MEDIAN(processed_data!R:R)</f>
        <v>4</v>
      </c>
      <c r="G14" s="151">
        <f>MODE(processed_data!R:R)</f>
        <v>4</v>
      </c>
      <c r="H14" s="151">
        <f>SUM(processed_data!R:R)</f>
        <v>31</v>
      </c>
      <c r="I14" s="41">
        <f>H14/COUNT(processed_data!A:A)/ 5</f>
        <v>0.62</v>
      </c>
      <c r="J14" s="63" t="str">
        <f>IF(I14&lt;=20%,"very low",IF(I14&lt;=40%,"low",IF(I14&lt;=60%,"moderate", IF(I14&lt;=80%,"high","very high"))))</f>
        <v>high</v>
      </c>
      <c r="K14" s="60">
        <f>IF(J14="very high", 5, IF(J14="high", 4, IF(J14="moderate", 3, IF(J14="low", 2, 1))))</f>
        <v>4</v>
      </c>
      <c r="L14" s="60">
        <f>D14-C14</f>
        <v>4</v>
      </c>
      <c r="M14" s="60">
        <f>_xlfn.STDEV.P(processed_data!R:R)</f>
        <v>1.57797338380595</v>
      </c>
    </row>
    <row r="15" spans="1:13">
      <c r="A15" s="68" t="s">
        <v>545</v>
      </c>
      <c r="B15" s="63" t="s">
        <v>573</v>
      </c>
      <c r="C15" s="151">
        <f>MIN(processed_data!V:V)</f>
        <v>0</v>
      </c>
      <c r="D15" s="151">
        <f>MAX(processed_data!A:A)</f>
        <v>10</v>
      </c>
      <c r="E15" s="151">
        <f>AVERAGE(processed_data!V:V)</f>
        <v>2.8</v>
      </c>
      <c r="F15" s="151">
        <f>MEDIAN(processed_data!V:V)</f>
        <v>3</v>
      </c>
      <c r="G15" s="151">
        <f>MODE(processed_data!V:V)</f>
        <v>3</v>
      </c>
      <c r="H15" s="151">
        <f>SUM(processed_data!V:V)</f>
        <v>28</v>
      </c>
      <c r="I15" s="41">
        <f>H15/COUNT(processed_data!A:A)/ 5</f>
        <v>0.55999999999999994</v>
      </c>
      <c r="J15" s="63" t="str">
        <f>IF(I15&lt;=20%,"very low",IF(I15&lt;=40%,"low",IF(I15&lt;=60%,"moderate", IF(I15&lt;=80%,"high","very high"))))</f>
        <v>moderate</v>
      </c>
      <c r="K15" s="60">
        <f>IF(J15="very high", 5, IF(J15="high", 4, IF(J15="moderate", 3, IF(J15="low", 2, 1))))</f>
        <v>3</v>
      </c>
      <c r="L15" s="60">
        <f>D15-C15</f>
        <v>10</v>
      </c>
      <c r="M15" s="60">
        <f>_xlfn.STDEV.P(processed_data!V:V)</f>
        <v>1.1661903789690602</v>
      </c>
    </row>
    <row r="17" spans="1:13">
      <c r="A17" s="333" t="s">
        <v>307</v>
      </c>
      <c r="B17" s="334"/>
      <c r="C17" s="334"/>
      <c r="D17" s="334"/>
      <c r="E17" s="334"/>
      <c r="F17" s="334"/>
      <c r="G17" s="334"/>
      <c r="H17" s="334"/>
      <c r="I17" s="334"/>
      <c r="J17" s="334"/>
      <c r="K17" s="334"/>
      <c r="L17" s="334"/>
      <c r="M17" s="334"/>
    </row>
    <row r="18" spans="1:13">
      <c r="A18" s="52" t="s">
        <v>548</v>
      </c>
      <c r="B18" s="75" t="s">
        <v>547</v>
      </c>
      <c r="C18" s="151" t="s">
        <v>240</v>
      </c>
      <c r="D18" s="151" t="s">
        <v>241</v>
      </c>
      <c r="E18" s="151" t="s">
        <v>281</v>
      </c>
      <c r="F18" s="151" t="s">
        <v>596</v>
      </c>
      <c r="G18" s="151" t="s">
        <v>597</v>
      </c>
      <c r="H18" s="151" t="s">
        <v>540</v>
      </c>
      <c r="I18" s="56" t="s">
        <v>554</v>
      </c>
      <c r="J18" s="46" t="s">
        <v>340</v>
      </c>
      <c r="K18" s="60" t="s">
        <v>280</v>
      </c>
      <c r="L18" s="60" t="s">
        <v>595</v>
      </c>
      <c r="M18" s="60" t="s">
        <v>594</v>
      </c>
    </row>
    <row r="19" spans="1:13">
      <c r="A19" s="68" t="s">
        <v>587</v>
      </c>
      <c r="B19" s="63" t="s">
        <v>293</v>
      </c>
      <c r="C19" s="151">
        <f>MIN(processed_data!AT:AT)</f>
        <v>2</v>
      </c>
      <c r="D19" s="151">
        <f>MAX(processed_data!AT:AT)</f>
        <v>6</v>
      </c>
      <c r="E19" s="151">
        <f>AVERAGE(processed_data!AT:AT)</f>
        <v>3.9</v>
      </c>
      <c r="F19" s="151">
        <f>MEDIAN(processed_data!AT:AT)</f>
        <v>4</v>
      </c>
      <c r="G19" s="151">
        <f>MODE(processed_data!AT:AT)</f>
        <v>4</v>
      </c>
      <c r="H19" s="151">
        <f>SUM(processed_data!AT:AT)</f>
        <v>39</v>
      </c>
      <c r="I19" s="41">
        <f>H19/COUNT(processed_data!A:A)/ 6</f>
        <v>0.65</v>
      </c>
      <c r="J19" s="63" t="str">
        <f t="shared" ref="J19:J25" si="0">IF(I19&lt;=20%,"very low",IF(I19&lt;=40%,"low",IF(I19&lt;=60%,"moderate", IF(I19&lt;=80%,"high","very high"))))</f>
        <v>high</v>
      </c>
      <c r="K19" s="60">
        <f t="shared" ref="K19:K25" si="1">IF(J19="very high", 5, IF(J19="high", 4, IF(J19="moderate", 3, IF(J19="low", 2, 1))))</f>
        <v>4</v>
      </c>
      <c r="L19" s="60">
        <f t="shared" ref="L19:L25" si="2">D19-C19</f>
        <v>4</v>
      </c>
      <c r="M19" s="60">
        <f>_xlfn.STDEV.P(processed_data!AT:AT)</f>
        <v>1.1357816691600546</v>
      </c>
    </row>
    <row r="20" spans="1:13">
      <c r="A20" s="68" t="s">
        <v>589</v>
      </c>
      <c r="B20" s="63" t="s">
        <v>295</v>
      </c>
      <c r="C20" s="151">
        <f>MIN(processed_data!BB:BB)</f>
        <v>4</v>
      </c>
      <c r="D20" s="151">
        <f>MAX(processed_data!BB:BB)</f>
        <v>6</v>
      </c>
      <c r="E20" s="151">
        <f>AVERAGE(processed_data!BB:BB)</f>
        <v>4.9000000000000004</v>
      </c>
      <c r="F20" s="151">
        <f>MEDIAN(processed_data!BB:BB)</f>
        <v>5</v>
      </c>
      <c r="G20" s="151">
        <f>MODE(processed_data!BB:BB)</f>
        <v>4</v>
      </c>
      <c r="H20" s="151">
        <f>SUM(processed_data!BB:BB)</f>
        <v>49</v>
      </c>
      <c r="I20" s="41">
        <f>H20/COUNT(processed_data!A:A)/ 8</f>
        <v>0.61250000000000004</v>
      </c>
      <c r="J20" s="63" t="str">
        <f t="shared" si="0"/>
        <v>high</v>
      </c>
      <c r="K20" s="60">
        <f t="shared" si="1"/>
        <v>4</v>
      </c>
      <c r="L20" s="60">
        <f t="shared" si="2"/>
        <v>2</v>
      </c>
      <c r="M20" s="60">
        <f>_xlfn.STDEV.P(processed_data!BB:BB)</f>
        <v>0.83066238629180744</v>
      </c>
    </row>
    <row r="21" spans="1:13">
      <c r="A21" s="68" t="s">
        <v>585</v>
      </c>
      <c r="B21" s="63" t="s">
        <v>538</v>
      </c>
      <c r="C21" s="151">
        <f>MIN(processed_data!AH:AH)</f>
        <v>8</v>
      </c>
      <c r="D21" s="151">
        <f>MAX(processed_data!AH:AH)</f>
        <v>14</v>
      </c>
      <c r="E21" s="151">
        <f>AVERAGE(processed_data!AD:AD)</f>
        <v>41.3</v>
      </c>
      <c r="F21" s="151">
        <f>MEDIAN(processed_data!AH:AH)</f>
        <v>11</v>
      </c>
      <c r="G21" s="151">
        <f>MODE(processed_data!AH:AH)</f>
        <v>9</v>
      </c>
      <c r="H21" s="151">
        <f>SUM(processed_data!AH:AH)</f>
        <v>109</v>
      </c>
      <c r="I21" s="41">
        <f>H21/COUNT(processed_data!A:A)/ 20</f>
        <v>0.54500000000000004</v>
      </c>
      <c r="J21" s="63" t="str">
        <f t="shared" si="0"/>
        <v>moderate</v>
      </c>
      <c r="K21" s="60">
        <f t="shared" si="1"/>
        <v>3</v>
      </c>
      <c r="L21" s="60">
        <f t="shared" si="2"/>
        <v>6</v>
      </c>
      <c r="M21" s="60">
        <f>_xlfn.STDEV.P(processed_data!AH:AH)</f>
        <v>2.0223748416156684</v>
      </c>
    </row>
    <row r="22" spans="1:13">
      <c r="A22" s="68" t="s">
        <v>588</v>
      </c>
      <c r="B22" s="63" t="s">
        <v>294</v>
      </c>
      <c r="C22" s="151">
        <f>MIN(processed_data!AX:AX)</f>
        <v>0</v>
      </c>
      <c r="D22" s="151">
        <f>MAX(processed_data!AX:AX)</f>
        <v>11</v>
      </c>
      <c r="E22" s="151">
        <f>AVERAGE(processed_data!AX:AX)</f>
        <v>6.2</v>
      </c>
      <c r="F22" s="151">
        <f>MEDIAN(processed_data!AX:AX)</f>
        <v>6</v>
      </c>
      <c r="G22" s="151">
        <f>MODE(processed_data!AX:AX)</f>
        <v>6</v>
      </c>
      <c r="H22" s="151">
        <f>SUM(processed_data!AX:AX)</f>
        <v>62</v>
      </c>
      <c r="I22" s="41">
        <f>H22/COUNT(processed_data!A:A)/ 12</f>
        <v>0.51666666666666672</v>
      </c>
      <c r="J22" s="63" t="str">
        <f t="shared" si="0"/>
        <v>moderate</v>
      </c>
      <c r="K22" s="60">
        <f t="shared" si="1"/>
        <v>3</v>
      </c>
      <c r="L22" s="60">
        <f t="shared" si="2"/>
        <v>11</v>
      </c>
      <c r="M22" s="60">
        <f>_xlfn.STDEV.P(processed_data!AX:AX)</f>
        <v>3.0919249667480613</v>
      </c>
    </row>
    <row r="23" spans="1:13">
      <c r="A23" s="68" t="s">
        <v>586</v>
      </c>
      <c r="B23" s="63" t="s">
        <v>291</v>
      </c>
      <c r="C23" s="151">
        <f>MIN(processed_data!AL:AL)</f>
        <v>1</v>
      </c>
      <c r="D23" s="151">
        <f>MAX(processed_data!AL:AL)</f>
        <v>3</v>
      </c>
      <c r="E23" s="151">
        <f>AVERAGE(processed_data!AL:AL)</f>
        <v>1.9</v>
      </c>
      <c r="F23" s="151">
        <f>MEDIAN(processed_data!AL:AL)</f>
        <v>2</v>
      </c>
      <c r="G23" s="151">
        <f>MODE(processed_data!AL:AL)</f>
        <v>2</v>
      </c>
      <c r="H23" s="151">
        <f>SUM(processed_data!AL:AL)</f>
        <v>19</v>
      </c>
      <c r="I23" s="41">
        <f>H23/COUNT(processed_data!A:A)/ 4</f>
        <v>0.47499999999999998</v>
      </c>
      <c r="J23" s="63" t="str">
        <f t="shared" si="0"/>
        <v>moderate</v>
      </c>
      <c r="K23" s="60">
        <f t="shared" si="1"/>
        <v>3</v>
      </c>
      <c r="L23" s="60">
        <f t="shared" si="2"/>
        <v>2</v>
      </c>
      <c r="M23" s="60">
        <f>_xlfn.STDEV.P(processed_data!AL:AL)</f>
        <v>0.7</v>
      </c>
    </row>
    <row r="24" spans="1:13">
      <c r="A24" s="68" t="s">
        <v>541</v>
      </c>
      <c r="B24" s="63" t="s">
        <v>310</v>
      </c>
      <c r="C24" s="151">
        <f>MIN(processed_data!AP:AP)</f>
        <v>4</v>
      </c>
      <c r="D24" s="151">
        <f>MAX(processed_data!AP:AP)</f>
        <v>9</v>
      </c>
      <c r="E24" s="151">
        <f>AVERAGE(processed_data!AP:AP)</f>
        <v>5</v>
      </c>
      <c r="F24" s="151">
        <f>MEDIAN(processed_data!AP:AP)</f>
        <v>4.5</v>
      </c>
      <c r="G24" s="151">
        <f>MODE(processed_data!AP:AP)</f>
        <v>4</v>
      </c>
      <c r="H24" s="151">
        <f>SUM(processed_data!AP:AP)</f>
        <v>50</v>
      </c>
      <c r="I24" s="41">
        <f>H24/COUNT(processed_data!A:A)/ 12</f>
        <v>0.41666666666666669</v>
      </c>
      <c r="J24" s="63" t="str">
        <f t="shared" si="0"/>
        <v>moderate</v>
      </c>
      <c r="K24" s="60">
        <f t="shared" si="1"/>
        <v>3</v>
      </c>
      <c r="L24" s="60">
        <f t="shared" si="2"/>
        <v>5</v>
      </c>
      <c r="M24" s="60">
        <f>_xlfn.STDEV.P(processed_data!AP:AP)</f>
        <v>1.4832396974191326</v>
      </c>
    </row>
    <row r="25" spans="1:13">
      <c r="A25" s="68" t="s">
        <v>590</v>
      </c>
      <c r="B25" s="63" t="s">
        <v>711</v>
      </c>
      <c r="C25" s="151">
        <f>MIN(processed_data!BF:BF)</f>
        <v>0</v>
      </c>
      <c r="D25" s="151">
        <f>MAX(processed_data!BF:BF)</f>
        <v>1</v>
      </c>
      <c r="E25" s="151">
        <f>AVERAGE(processed_data!BF:BF)</f>
        <v>0.1</v>
      </c>
      <c r="F25" s="151">
        <f>MEDIAN(processed_data!BF:BF)</f>
        <v>0</v>
      </c>
      <c r="G25" s="151">
        <f>MODE(processed_data!BF:BF)</f>
        <v>0</v>
      </c>
      <c r="H25" s="151">
        <f>SUM(processed_data!BF:BF)</f>
        <v>1</v>
      </c>
      <c r="I25" s="41">
        <f>H25/COUNT(processed_data!A:A)/ 8</f>
        <v>1.2500000000000001E-2</v>
      </c>
      <c r="J25" s="63" t="str">
        <f t="shared" si="0"/>
        <v>very low</v>
      </c>
      <c r="K25" s="60">
        <f t="shared" si="1"/>
        <v>1</v>
      </c>
      <c r="L25" s="60">
        <f t="shared" si="2"/>
        <v>1</v>
      </c>
      <c r="M25" s="60">
        <f>_xlfn.STDEV.P(processed_data!BF:BF)</f>
        <v>0.3</v>
      </c>
    </row>
    <row r="27" spans="1:13">
      <c r="A27" s="335" t="s">
        <v>315</v>
      </c>
      <c r="B27" s="336"/>
      <c r="C27" s="336"/>
      <c r="D27" s="336"/>
      <c r="E27" s="336"/>
      <c r="F27" s="336"/>
      <c r="G27" s="336"/>
      <c r="H27" s="336"/>
      <c r="I27" s="336"/>
      <c r="J27" s="336"/>
      <c r="K27" s="336"/>
      <c r="L27" s="336"/>
      <c r="M27" s="336"/>
    </row>
    <row r="28" spans="1:13">
      <c r="A28" s="53" t="s">
        <v>548</v>
      </c>
      <c r="B28" s="76" t="s">
        <v>547</v>
      </c>
      <c r="C28" s="151" t="s">
        <v>240</v>
      </c>
      <c r="D28" s="151" t="s">
        <v>241</v>
      </c>
      <c r="E28" s="151" t="s">
        <v>281</v>
      </c>
      <c r="F28" s="151" t="s">
        <v>596</v>
      </c>
      <c r="G28" s="151" t="s">
        <v>597</v>
      </c>
      <c r="H28" s="151" t="s">
        <v>540</v>
      </c>
      <c r="I28" s="56" t="s">
        <v>554</v>
      </c>
      <c r="J28" s="46" t="s">
        <v>340</v>
      </c>
      <c r="K28" s="60" t="s">
        <v>280</v>
      </c>
      <c r="L28" s="60" t="s">
        <v>595</v>
      </c>
      <c r="M28" s="60" t="s">
        <v>594</v>
      </c>
    </row>
    <row r="29" spans="1:13">
      <c r="A29" s="68" t="s">
        <v>591</v>
      </c>
      <c r="B29" s="66" t="s">
        <v>543</v>
      </c>
      <c r="C29" s="151">
        <f>MIN(processed_data!BN:BN)</f>
        <v>0</v>
      </c>
      <c r="D29" s="151">
        <f>MAX(processed_data!BN:BN)</f>
        <v>9</v>
      </c>
      <c r="E29" s="151">
        <f>AVERAGE(processed_data!BN:BN)</f>
        <v>3.5</v>
      </c>
      <c r="F29" s="151">
        <f>MEDIAN(processed_data!BN:BN)</f>
        <v>4</v>
      </c>
      <c r="G29" s="151">
        <f>MODE(processed_data!BN:BN)</f>
        <v>5</v>
      </c>
      <c r="H29" s="151">
        <f>SUM(processed_data!BN:BN)</f>
        <v>35</v>
      </c>
      <c r="I29" s="41">
        <f>H29/COUNT(processed_data!A:A)/ 8</f>
        <v>0.4375</v>
      </c>
      <c r="J29" s="63" t="str">
        <f>IF(I29&lt;=20%,"very low",IF(I29&lt;=40%,"low",IF(I29&lt;=60%,"moderate", IF(I29&lt;=80%,"high","very high"))))</f>
        <v>moderate</v>
      </c>
      <c r="K29" s="60">
        <f>IF(J29="very high", 5, IF(J29="high", 4, IF(J29="moderate", 3, IF(J29="low", 2, 1))))</f>
        <v>3</v>
      </c>
      <c r="L29" s="60">
        <f>D29-C29</f>
        <v>9</v>
      </c>
      <c r="M29" s="60">
        <f>_xlfn.STDEV.P(processed_data!BN:BN)</f>
        <v>2.6551836094703507</v>
      </c>
    </row>
    <row r="30" spans="1:13">
      <c r="A30" s="68" t="s">
        <v>592</v>
      </c>
      <c r="B30" s="66" t="s">
        <v>313</v>
      </c>
      <c r="C30" s="151">
        <f>MIN(processed_data!BR:BR)</f>
        <v>1</v>
      </c>
      <c r="D30" s="151">
        <f>MAX(processed_data!BR:BR)</f>
        <v>4</v>
      </c>
      <c r="E30" s="151">
        <f>AVERAGE(processed_data!BR:BR)</f>
        <v>2.4</v>
      </c>
      <c r="F30" s="151">
        <f>MEDIAN(processed_data!BR:BR)</f>
        <v>2</v>
      </c>
      <c r="G30" s="151">
        <f>MODE(processed_data!BR:BR)</f>
        <v>2</v>
      </c>
      <c r="H30" s="151">
        <f>SUM(processed_data!BR:BR)</f>
        <v>24</v>
      </c>
      <c r="I30" s="41">
        <f>H30/COUNT(processed_data!A:A)/ 8</f>
        <v>0.3</v>
      </c>
      <c r="J30" s="63" t="str">
        <f>IF(I30&lt;=20%,"very low",IF(I30&lt;=40%,"low",IF(I30&lt;=60%,"moderate", IF(I30&lt;=80%,"high","very high"))))</f>
        <v>low</v>
      </c>
      <c r="K30" s="60">
        <f>IF(J30="very high", 5, IF(J30="high", 4, IF(J30="moderate", 3, IF(J30="low", 2, 1))))</f>
        <v>2</v>
      </c>
      <c r="L30" s="60">
        <f>D30-C30</f>
        <v>3</v>
      </c>
      <c r="M30" s="60">
        <f>_xlfn.STDEV.P(processed_data!BR:BR)</f>
        <v>1.019803902718557</v>
      </c>
    </row>
    <row r="31" spans="1:13">
      <c r="A31" s="68" t="s">
        <v>542</v>
      </c>
      <c r="B31" s="66" t="s">
        <v>311</v>
      </c>
      <c r="C31" s="151">
        <f>MIN(processed_data!BJ:BJ)</f>
        <v>0</v>
      </c>
      <c r="D31" s="151">
        <f>MAX(processed_data!BJ:BJ)</f>
        <v>6</v>
      </c>
      <c r="E31" s="151">
        <f>AVERAGE(processed_data!BJ:BJ)</f>
        <v>1.8</v>
      </c>
      <c r="F31" s="151">
        <f>MEDIAN(processed_data!BJ:BJ)</f>
        <v>1</v>
      </c>
      <c r="G31" s="151">
        <f>MODE(processed_data!BJ:BJ)</f>
        <v>0</v>
      </c>
      <c r="H31" s="151">
        <f>SUM(processed_data!BJ:BJ)</f>
        <v>18</v>
      </c>
      <c r="I31" s="41">
        <f>H31/COUNT(processed_data!A:A)/ 8</f>
        <v>0.22500000000000001</v>
      </c>
      <c r="J31" s="63" t="str">
        <f>IF(I31&lt;=20%,"very low",IF(I31&lt;=40%,"low",IF(I31&lt;=60%,"moderate", IF(I31&lt;=80%,"high","very high"))))</f>
        <v>low</v>
      </c>
      <c r="K31" s="60">
        <f>IF(J31="very high", 5, IF(J31="high", 4, IF(J31="moderate", 3, IF(J31="low", 2, 1))))</f>
        <v>2</v>
      </c>
      <c r="L31" s="60">
        <f>D31-C31</f>
        <v>6</v>
      </c>
      <c r="M31" s="60">
        <f>_xlfn.STDEV.P(processed_data!BJ:BJ)</f>
        <v>2.2715633383201093</v>
      </c>
    </row>
    <row r="33" spans="1:13">
      <c r="A33" s="320" t="s">
        <v>551</v>
      </c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1"/>
    </row>
    <row r="34" spans="1:13">
      <c r="A34" s="55" t="s">
        <v>548</v>
      </c>
      <c r="B34" s="77" t="s">
        <v>547</v>
      </c>
      <c r="C34" s="151" t="s">
        <v>240</v>
      </c>
      <c r="D34" s="151" t="s">
        <v>241</v>
      </c>
      <c r="E34" s="151" t="s">
        <v>281</v>
      </c>
      <c r="F34" s="151" t="s">
        <v>596</v>
      </c>
      <c r="G34" s="151" t="s">
        <v>597</v>
      </c>
      <c r="H34" s="151" t="s">
        <v>540</v>
      </c>
      <c r="I34" s="56" t="s">
        <v>556</v>
      </c>
      <c r="J34" s="46" t="s">
        <v>340</v>
      </c>
      <c r="K34" s="60" t="s">
        <v>280</v>
      </c>
      <c r="L34" s="60" t="s">
        <v>595</v>
      </c>
      <c r="M34" s="60" t="s">
        <v>594</v>
      </c>
    </row>
    <row r="35" spans="1:13">
      <c r="A35" s="68" t="s">
        <v>593</v>
      </c>
      <c r="B35" s="78" t="s">
        <v>544</v>
      </c>
      <c r="C35" s="151">
        <f>MIN(processed_data!BV:BV)</f>
        <v>2</v>
      </c>
      <c r="D35" s="151">
        <f>MAX(processed_data!BV:BV)</f>
        <v>6</v>
      </c>
      <c r="E35" s="151">
        <f>AVERAGE(processed_data!BV:BV)</f>
        <v>4.0999999999999996</v>
      </c>
      <c r="F35" s="151">
        <f>MEDIAN(processed_data!BV:BV)</f>
        <v>3.5</v>
      </c>
      <c r="G35" s="151">
        <f>MODE(processed_data!BV:BV)</f>
        <v>6</v>
      </c>
      <c r="H35" s="151">
        <f>SUM(processed_data!BV:BV)</f>
        <v>41</v>
      </c>
      <c r="I35" s="41">
        <f>H35/COUNT(processed_data!A:A)/ 7</f>
        <v>0.58571428571428563</v>
      </c>
      <c r="J35" s="63">
        <v>5</v>
      </c>
      <c r="K35" s="60">
        <f t="shared" ref="K35" si="3">IF(J35="very high", 5, IF(J35="high", 4, IF(J35="moderate", 3, IF(J35="low", 2, 1))))</f>
        <v>1</v>
      </c>
      <c r="L35" s="60">
        <f>D35-C35</f>
        <v>4</v>
      </c>
      <c r="M35" s="60">
        <f>_xlfn.STDEV.P(processed_data!BV:BV)</f>
        <v>1.6401219466856725</v>
      </c>
    </row>
  </sheetData>
  <mergeCells count="7">
    <mergeCell ref="A33:M33"/>
    <mergeCell ref="A1:A2"/>
    <mergeCell ref="A3:M3"/>
    <mergeCell ref="B1:M2"/>
    <mergeCell ref="A10:M10"/>
    <mergeCell ref="A17:M17"/>
    <mergeCell ref="A27:M27"/>
  </mergeCells>
  <phoneticPr fontId="13" type="noConversion"/>
  <conditionalFormatting sqref="I5:I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{C43878C8-0087-483C-9A60-D590ED31363C}</x14:id>
        </ext>
      </extLst>
    </cfRule>
  </conditionalFormatting>
  <conditionalFormatting sqref="I12:I15">
    <cfRule type="dataBar" priority="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{14D56193-40A5-443F-BC18-293E05FF19A7}</x14:id>
        </ext>
      </extLst>
    </cfRule>
    <cfRule type="dataBar" priority="8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{A2A47BEA-5395-421E-BB64-A0386FA7F7EB}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{02C7FCAB-A177-437E-89E1-C1EC228447BC}</x14:id>
        </ext>
      </extLst>
    </cfRule>
  </conditionalFormatting>
  <conditionalFormatting sqref="I19:I25">
    <cfRule type="dataBar" priority="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{73B0196E-824E-40F6-8786-2CB877C16D15}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{66503B08-F419-4D6D-82C8-028A0EB5E569}</x14:id>
        </ext>
      </extLst>
    </cfRule>
  </conditionalFormatting>
  <conditionalFormatting sqref="I29:I31">
    <cfRule type="dataBar" priority="5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{0D9F6024-B4F5-469F-94E6-3670FD694BAF}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{9BF29DAF-213E-41A3-A143-D57720558BA8}</x14:id>
        </ext>
      </extLst>
    </cfRule>
  </conditionalFormatting>
  <conditionalFormatting sqref="K5:K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1" location="Intro!A1" display="Intro!A1" xr:uid="{00000000-0004-0000-0500-000000000000}"/>
  </hyperlink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3878C8-0087-483C-9A60-D590ED313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I5:I8</xm:sqref>
        </x14:conditionalFormatting>
        <x14:conditionalFormatting xmlns:xm="http://schemas.microsoft.com/office/excel/2006/main">
          <x14:cfRule type="dataBar" id="{14D56193-40A5-443F-BC18-293E05FF1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A47BEA-5395-421E-BB64-A0386FA7F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C7FCAB-A177-437E-89E1-C1EC22844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I12:I15</xm:sqref>
        </x14:conditionalFormatting>
        <x14:conditionalFormatting xmlns:xm="http://schemas.microsoft.com/office/excel/2006/main">
          <x14:cfRule type="dataBar" id="{73B0196E-824E-40F6-8786-2CB877C16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503B08-F419-4D6D-82C8-028A0EB5E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I19:I25</xm:sqref>
        </x14:conditionalFormatting>
        <x14:conditionalFormatting xmlns:xm="http://schemas.microsoft.com/office/excel/2006/main">
          <x14:cfRule type="dataBar" id="{0D9F6024-B4F5-469F-94E6-3670FD694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BF29DAF-213E-41A3-A143-D57720558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I29:I31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A96F-C81D-4FD4-95F1-869E670662EA}">
  <dimension ref="A1:X91"/>
  <sheetViews>
    <sheetView showGridLines="0" zoomScale="52" zoomScaleNormal="52" workbookViewId="0">
      <selection activeCell="A16" sqref="A16"/>
    </sheetView>
  </sheetViews>
  <sheetFormatPr defaultRowHeight="14.5"/>
  <cols>
    <col min="1" max="1" width="39.36328125" customWidth="1"/>
    <col min="2" max="2" width="15.36328125" style="68" customWidth="1"/>
    <col min="3" max="3" width="18.1796875" style="68" customWidth="1"/>
    <col min="4" max="4" width="15.81640625" style="68" customWidth="1"/>
    <col min="5" max="5" width="11.1796875" style="68" customWidth="1"/>
    <col min="6" max="6" width="12.7265625" style="68" customWidth="1"/>
    <col min="7" max="7" width="11.81640625" style="68" customWidth="1"/>
    <col min="8" max="8" width="12.453125" style="68" customWidth="1"/>
    <col min="9" max="9" width="13.1796875" style="68" customWidth="1"/>
    <col min="10" max="10" width="13.26953125" style="68" customWidth="1"/>
    <col min="11" max="11" width="14.1796875" style="68" customWidth="1"/>
    <col min="12" max="12" width="13.54296875" style="68" customWidth="1"/>
    <col min="13" max="13" width="14.1796875" style="68" customWidth="1"/>
    <col min="14" max="14" width="13.90625" style="68" customWidth="1"/>
    <col min="15" max="15" width="13.36328125" style="68" customWidth="1"/>
    <col min="16" max="16" width="13.1796875" style="68" customWidth="1"/>
    <col min="17" max="17" width="13.81640625" style="68" customWidth="1"/>
    <col min="18" max="18" width="13.1796875" style="68" customWidth="1"/>
    <col min="19" max="19" width="12.08984375" style="68" customWidth="1"/>
    <col min="20" max="20" width="10.90625" style="68" customWidth="1"/>
    <col min="24" max="24" width="12.36328125" customWidth="1"/>
  </cols>
  <sheetData>
    <row r="1" spans="1:24" ht="14.5" customHeight="1">
      <c r="A1" s="340" t="s">
        <v>322</v>
      </c>
      <c r="B1" s="342" t="s">
        <v>577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4"/>
    </row>
    <row r="2" spans="1:24" ht="15" customHeight="1" thickBot="1">
      <c r="A2" s="341"/>
      <c r="B2" s="345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7"/>
    </row>
    <row r="3" spans="1:24">
      <c r="A3" s="339" t="s">
        <v>576</v>
      </c>
    </row>
    <row r="4" spans="1:24" ht="15" thickBot="1">
      <c r="A4" s="338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</row>
    <row r="5" spans="1:24" ht="15" thickBot="1">
      <c r="A5" s="69" t="s">
        <v>569</v>
      </c>
      <c r="B5" s="88" t="s">
        <v>570</v>
      </c>
      <c r="C5" s="89" t="s">
        <v>277</v>
      </c>
      <c r="D5" s="89" t="s">
        <v>278</v>
      </c>
      <c r="E5" s="89" t="s">
        <v>279</v>
      </c>
      <c r="F5" s="90" t="s">
        <v>286</v>
      </c>
      <c r="G5" s="91" t="s">
        <v>573</v>
      </c>
      <c r="H5" s="90" t="s">
        <v>539</v>
      </c>
      <c r="I5" s="90" t="s">
        <v>289</v>
      </c>
      <c r="J5" s="92" t="s">
        <v>538</v>
      </c>
      <c r="K5" s="92" t="s">
        <v>291</v>
      </c>
      <c r="L5" s="92" t="s">
        <v>310</v>
      </c>
      <c r="M5" s="92" t="s">
        <v>293</v>
      </c>
      <c r="N5" s="92" t="s">
        <v>294</v>
      </c>
      <c r="O5" s="92" t="s">
        <v>295</v>
      </c>
      <c r="P5" s="93" t="s">
        <v>296</v>
      </c>
      <c r="Q5" s="94" t="s">
        <v>311</v>
      </c>
      <c r="R5" s="95" t="s">
        <v>543</v>
      </c>
      <c r="S5" s="95" t="s">
        <v>313</v>
      </c>
      <c r="T5" s="96" t="s">
        <v>544</v>
      </c>
    </row>
    <row r="6" spans="1:24" ht="15" thickBot="1">
      <c r="A6" s="147" t="s">
        <v>276</v>
      </c>
      <c r="B6" s="132">
        <v>1</v>
      </c>
      <c r="C6" s="21"/>
      <c r="D6" s="21"/>
      <c r="E6" s="133"/>
      <c r="F6" s="132"/>
      <c r="G6" s="21"/>
      <c r="H6" s="21"/>
      <c r="I6" s="133"/>
      <c r="J6" s="71"/>
      <c r="K6" s="71"/>
      <c r="L6" s="71"/>
      <c r="M6" s="71"/>
      <c r="N6" s="71"/>
      <c r="O6" s="71"/>
      <c r="P6" s="71"/>
      <c r="Q6" s="132"/>
      <c r="R6" s="21"/>
      <c r="S6" s="133"/>
      <c r="T6" s="127"/>
    </row>
    <row r="7" spans="1:24">
      <c r="A7" s="148" t="s">
        <v>277</v>
      </c>
      <c r="B7" s="134">
        <f>PEARSON(processed_data!B:B, processed_data!F:F)</f>
        <v>0.63910809935644419</v>
      </c>
      <c r="C7" s="87">
        <v>1</v>
      </c>
      <c r="D7" s="87"/>
      <c r="E7" s="135"/>
      <c r="F7" s="134"/>
      <c r="G7" s="87"/>
      <c r="H7" s="87"/>
      <c r="I7" s="135"/>
      <c r="J7" s="70"/>
      <c r="K7" s="70"/>
      <c r="L7" s="70"/>
      <c r="M7" s="70"/>
      <c r="N7" s="70"/>
      <c r="O7" s="70"/>
      <c r="P7" s="70"/>
      <c r="Q7" s="134"/>
      <c r="R7" s="87"/>
      <c r="S7" s="135"/>
      <c r="T7" s="128"/>
      <c r="V7" s="203"/>
      <c r="W7" s="15" t="s">
        <v>712</v>
      </c>
      <c r="X7" s="86" t="s">
        <v>68</v>
      </c>
    </row>
    <row r="8" spans="1:24">
      <c r="A8" s="148" t="s">
        <v>278</v>
      </c>
      <c r="B8" s="134">
        <f>PEARSON(processed_data!B:B, processed_data!J:J)</f>
        <v>0.90164031350797991</v>
      </c>
      <c r="C8" s="87">
        <f>PEARSON(processed_data!F:F, processed_data!J:J)</f>
        <v>0.84916891826666119</v>
      </c>
      <c r="D8" s="87">
        <v>1</v>
      </c>
      <c r="E8" s="135"/>
      <c r="F8" s="134"/>
      <c r="G8" s="87"/>
      <c r="H8" s="87"/>
      <c r="I8" s="135"/>
      <c r="J8" s="70"/>
      <c r="K8" s="70"/>
      <c r="L8" s="70"/>
      <c r="M8" s="70"/>
      <c r="N8" s="70"/>
      <c r="O8" s="70"/>
      <c r="P8" s="70"/>
      <c r="Q8" s="134"/>
      <c r="R8" s="87"/>
      <c r="S8" s="135"/>
      <c r="T8" s="128"/>
      <c r="V8" s="204"/>
      <c r="W8" s="63" t="s">
        <v>712</v>
      </c>
      <c r="X8" s="46" t="s">
        <v>713</v>
      </c>
    </row>
    <row r="9" spans="1:24" ht="15" thickBot="1">
      <c r="A9" s="149" t="s">
        <v>279</v>
      </c>
      <c r="B9" s="136">
        <f>PEARSON(processed_data!B:B, processed_data!N:N)</f>
        <v>0.86237498403234703</v>
      </c>
      <c r="C9" s="54">
        <f>PEARSON(processed_data!F:F, processed_data!K:K)</f>
        <v>0.84916891826666119</v>
      </c>
      <c r="D9" s="54">
        <f>PEARSON(processed_data!J:J, processed_data!N:N)</f>
        <v>0.97922961418324639</v>
      </c>
      <c r="E9" s="137">
        <v>1</v>
      </c>
      <c r="F9" s="136"/>
      <c r="G9" s="54"/>
      <c r="H9" s="54"/>
      <c r="I9" s="137"/>
      <c r="J9" s="54"/>
      <c r="K9" s="54"/>
      <c r="L9" s="54"/>
      <c r="M9" s="54"/>
      <c r="N9" s="54"/>
      <c r="O9" s="54"/>
      <c r="P9" s="54"/>
      <c r="Q9" s="136"/>
      <c r="R9" s="54"/>
      <c r="S9" s="137"/>
      <c r="T9" s="129"/>
      <c r="V9" s="205"/>
      <c r="W9" s="63" t="s">
        <v>712</v>
      </c>
      <c r="X9" s="46" t="s">
        <v>67</v>
      </c>
    </row>
    <row r="10" spans="1:24">
      <c r="A10" s="101" t="s">
        <v>286</v>
      </c>
      <c r="B10" s="138">
        <f>PEARSON(processed_data!B:B, processed_data!R:R)</f>
        <v>0.42113487104341957</v>
      </c>
      <c r="C10" s="71">
        <f>PEARSON(processed_data!F:F, processed_data!R:R)</f>
        <v>0.54905479125871659</v>
      </c>
      <c r="D10" s="71">
        <f>PEARSON(processed_data!J:J, processed_data!R:R)</f>
        <v>0.63627445901938773</v>
      </c>
      <c r="E10" s="139">
        <f>PEARSON(processed_data!N:N, processed_data!R:R)</f>
        <v>0.64818563583205957</v>
      </c>
      <c r="F10" s="138">
        <v>1</v>
      </c>
      <c r="G10" s="71"/>
      <c r="H10" s="71"/>
      <c r="I10" s="139"/>
      <c r="J10" s="71"/>
      <c r="K10" s="71"/>
      <c r="L10" s="71"/>
      <c r="M10" s="71"/>
      <c r="N10" s="71"/>
      <c r="O10" s="71"/>
      <c r="P10" s="71"/>
      <c r="Q10" s="138"/>
      <c r="R10" s="71"/>
      <c r="S10" s="139"/>
      <c r="T10" s="130"/>
      <c r="V10" s="206"/>
      <c r="W10" s="63" t="s">
        <v>712</v>
      </c>
      <c r="X10" s="46" t="s">
        <v>714</v>
      </c>
    </row>
    <row r="11" spans="1:24">
      <c r="A11" s="102" t="s">
        <v>573</v>
      </c>
      <c r="B11" s="134">
        <f>PEARSON(processed_data!B:B, processed_data!A:A)</f>
        <v>-0.12506107989614454</v>
      </c>
      <c r="C11" s="87">
        <f>PEARSON(processed_data!F:F, processed_data!V:V)</f>
        <v>0.37146329728054317</v>
      </c>
      <c r="D11" s="87">
        <f>PEARSON(processed_data!J:J, processed_data!V:V)</f>
        <v>0.48212842463062899</v>
      </c>
      <c r="E11" s="135">
        <f>PEARSON(processed_data!N:N, processed_data!V:V)</f>
        <v>0.47605736494926398</v>
      </c>
      <c r="F11" s="134">
        <f>PEARSON(processed_data!R:R, processed_data!V:V)</f>
        <v>0.66296515524621324</v>
      </c>
      <c r="G11" s="87">
        <v>1</v>
      </c>
      <c r="H11" s="87"/>
      <c r="I11" s="135"/>
      <c r="J11" s="70"/>
      <c r="K11" s="70"/>
      <c r="L11" s="70"/>
      <c r="M11" s="70"/>
      <c r="N11" s="70"/>
      <c r="O11" s="70"/>
      <c r="P11" s="70"/>
      <c r="Q11" s="134"/>
      <c r="R11" s="87"/>
      <c r="S11" s="135"/>
      <c r="T11" s="128"/>
      <c r="V11" s="207"/>
      <c r="W11" s="63" t="s">
        <v>712</v>
      </c>
      <c r="X11" s="46" t="s">
        <v>715</v>
      </c>
    </row>
    <row r="12" spans="1:24">
      <c r="A12" s="102" t="s">
        <v>539</v>
      </c>
      <c r="B12" s="134">
        <f>PEARSON(processed_data!B:B, processed_data!Z:Z)</f>
        <v>0.77658282667994882</v>
      </c>
      <c r="C12" s="87">
        <f>PEARSON(processed_data!F:F, processed_data!Z:Z)</f>
        <v>0.61846648781058933</v>
      </c>
      <c r="D12" s="87">
        <f>PEARSON(processed_data!J:J, processed_data!Z:Z)</f>
        <v>0.88462799521911673</v>
      </c>
      <c r="E12" s="135">
        <f>PEARSON(processed_data!N:N, processed_data!Z:Z)</f>
        <v>0.82831316001485156</v>
      </c>
      <c r="F12" s="134">
        <f>PEARSON(processed_data!R:R, processed_data!Z:Z)</f>
        <v>0.71604919282937352</v>
      </c>
      <c r="G12" s="87">
        <f>PEARSON(processed_data!V:V, processed_data!Z:Z)</f>
        <v>0.51067684380445688</v>
      </c>
      <c r="H12" s="87">
        <v>1</v>
      </c>
      <c r="I12" s="135"/>
      <c r="J12" s="70"/>
      <c r="K12" s="70"/>
      <c r="L12" s="70"/>
      <c r="M12" s="70"/>
      <c r="N12" s="70"/>
      <c r="O12" s="70"/>
      <c r="P12" s="70"/>
      <c r="Q12" s="134"/>
      <c r="R12" s="87"/>
      <c r="S12" s="135"/>
      <c r="T12" s="128"/>
      <c r="V12" s="208"/>
      <c r="W12" s="63" t="s">
        <v>712</v>
      </c>
      <c r="X12" s="46" t="s">
        <v>715</v>
      </c>
    </row>
    <row r="13" spans="1:24" ht="15" thickBot="1">
      <c r="A13" s="103" t="s">
        <v>289</v>
      </c>
      <c r="B13" s="136">
        <f>PEARSON(processed_data!B:B, processed_data!AD:AD)</f>
        <v>0.68760925570815723</v>
      </c>
      <c r="C13" s="54">
        <f>PEARSON(processed_data!F:F, processed_data!AD:AD)</f>
        <v>0.68901498745249146</v>
      </c>
      <c r="D13" s="54">
        <f>PEARSON(processed_data!J:J, processed_data!AD:AD)</f>
        <v>0.86290568443552151</v>
      </c>
      <c r="E13" s="137">
        <f>PEARSON(processed_data!N:N, processed_data!AD:AD)</f>
        <v>0.83871141294837448</v>
      </c>
      <c r="F13" s="136">
        <f>PEARSON(processed_data!R:R, processed_data!AD:AD)</f>
        <v>0.65234513995690568</v>
      </c>
      <c r="G13" s="54">
        <f>PEARSON(processed_data!V:V, processed_data!AD:AD)</f>
        <v>0.51252902133517997</v>
      </c>
      <c r="H13" s="54">
        <f>PEARSON(processed_data!Z:Z, processed_data!AD:AD)</f>
        <v>0.90113915087727037</v>
      </c>
      <c r="I13" s="137">
        <v>1</v>
      </c>
      <c r="J13" s="54"/>
      <c r="K13" s="54"/>
      <c r="L13" s="54"/>
      <c r="M13" s="54"/>
      <c r="N13" s="54"/>
      <c r="O13" s="54"/>
      <c r="P13" s="54"/>
      <c r="Q13" s="136"/>
      <c r="R13" s="54"/>
      <c r="S13" s="137"/>
      <c r="T13" s="129"/>
      <c r="V13" s="209"/>
      <c r="W13" s="63" t="s">
        <v>716</v>
      </c>
      <c r="X13" s="46" t="s">
        <v>714</v>
      </c>
    </row>
    <row r="14" spans="1:24">
      <c r="A14" s="104" t="s">
        <v>538</v>
      </c>
      <c r="B14" s="138">
        <f>PEARSON(processed_data!B:B, processed_data!AH:AH)</f>
        <v>0.55949736887782853</v>
      </c>
      <c r="C14" s="71">
        <f>PEARSON(processed_data!F:F, processed_data!AH:AH)</f>
        <v>0.82110802226456636</v>
      </c>
      <c r="D14" s="71">
        <f>PEARSON(processed_data!J:J, processed_data!AH:AH)</f>
        <v>0.71489951431034249</v>
      </c>
      <c r="E14" s="139">
        <f>PEARSON(processed_data!N:N, processed_data!AH:AH)</f>
        <v>0.82354691239780442</v>
      </c>
      <c r="F14" s="138">
        <f>PEARSON(processed_data!R:R, processed_data!AH:AH)</f>
        <v>0.66118216123495543</v>
      </c>
      <c r="G14" s="71">
        <f>PEARSON(processed_data!V:V, processed_data!AH:AH)</f>
        <v>0.28832201503193988</v>
      </c>
      <c r="H14" s="71">
        <f>PEARSON(processed_data!Z:Z, processed_data!AH:AH)</f>
        <v>0.63131403954824339</v>
      </c>
      <c r="I14" s="139">
        <f>PEARSON(processed_data!AD:AD, processed_data!AH:AH)</f>
        <v>0.65000979300892137</v>
      </c>
      <c r="J14" s="71">
        <v>1</v>
      </c>
      <c r="K14" s="71"/>
      <c r="L14" s="71"/>
      <c r="M14" s="71"/>
      <c r="N14" s="71"/>
      <c r="O14" s="71"/>
      <c r="P14" s="71"/>
      <c r="Q14" s="138"/>
      <c r="R14" s="71"/>
      <c r="S14" s="139"/>
      <c r="T14" s="130"/>
      <c r="V14" s="210"/>
      <c r="W14" s="63" t="s">
        <v>716</v>
      </c>
      <c r="X14" s="46" t="s">
        <v>67</v>
      </c>
    </row>
    <row r="15" spans="1:24">
      <c r="A15" s="105" t="s">
        <v>291</v>
      </c>
      <c r="B15" s="134">
        <f>PEARSON(processed_data!B:B, processed_data!AL:AL)</f>
        <v>0.71842120810709986</v>
      </c>
      <c r="C15" s="87">
        <f>PEARSON(processed_data!F:F, processed_data!AL:AL)</f>
        <v>0.5304452123616652</v>
      </c>
      <c r="D15" s="87">
        <f>PEARSON(processed_data!J:J, processed_data!AL:AL)</f>
        <v>0.74584651969517779</v>
      </c>
      <c r="E15" s="135">
        <f>PEARSON(processed_data!N:N, processed_data!AL:AL)</f>
        <v>0.7002188525924975</v>
      </c>
      <c r="F15" s="134">
        <f>PEARSON(processed_data!R:R, processed_data!AL:AL)</f>
        <v>0.55224541831418783</v>
      </c>
      <c r="G15" s="87">
        <f>PEARSON(processed_data!V:V, processed_data!AL:AL)</f>
        <v>0.465496159672524</v>
      </c>
      <c r="H15" s="87">
        <f>PEARSON(processed_data!Z:Z, processed_data!AL:AL)</f>
        <v>0.65848087756160356</v>
      </c>
      <c r="I15" s="135">
        <f>PEARSON(processed_data!AD:AD, processed_data!AL:AL)</f>
        <v>0.70597442878967942</v>
      </c>
      <c r="J15" s="70">
        <f>PEARSON(processed_data!AH:AH, processed_data!AL:AL)</f>
        <v>0.41676603442306814</v>
      </c>
      <c r="K15" s="70">
        <v>1</v>
      </c>
      <c r="L15" s="70"/>
      <c r="M15" s="70"/>
      <c r="N15" s="70"/>
      <c r="O15" s="70"/>
      <c r="P15" s="70"/>
      <c r="Q15" s="134"/>
      <c r="R15" s="87"/>
      <c r="S15" s="135"/>
      <c r="T15" s="128"/>
      <c r="V15" s="211"/>
      <c r="W15" s="63" t="s">
        <v>716</v>
      </c>
      <c r="X15" s="46" t="s">
        <v>713</v>
      </c>
    </row>
    <row r="16" spans="1:24" ht="15" thickBot="1">
      <c r="A16" s="105" t="s">
        <v>310</v>
      </c>
      <c r="B16" s="134">
        <f>PEARSON(processed_data!B:B, processed_data!AP:AP)</f>
        <v>0.12108986992412071</v>
      </c>
      <c r="C16" s="87">
        <f>PEARSON(processed_data!G:G, processed_data!AQ:AQ)</f>
        <v>-3.4769203118467248E-2</v>
      </c>
      <c r="D16" s="87">
        <f>PEARSON(processed_data!J:J, processed_data!AP:AP)</f>
        <v>0</v>
      </c>
      <c r="E16" s="135">
        <f>PEARSON(processed_data!N:N, processed_data!AP:AP)</f>
        <v>4.2150665545717031E-2</v>
      </c>
      <c r="F16" s="134">
        <f>PEARSON(processed_data!R:R, processed_data!AP:AP)</f>
        <v>-0.34180544203457935</v>
      </c>
      <c r="G16" s="87">
        <f>PEARSON(processed_data!V:V, processed_data!AP:AP)</f>
        <v>0.23124864503144013</v>
      </c>
      <c r="H16" s="87">
        <f>PEARSON(processed_data!Z:Z, processed_data!AP:AP)</f>
        <v>-0.24751067412798763</v>
      </c>
      <c r="I16" s="135">
        <f>PEARSON(processed_data!AD:AD, processed_data!AP:AP)</f>
        <v>-3.9507213907683483E-2</v>
      </c>
      <c r="J16" s="70">
        <f>PEARSON(processed_data!AH:AH, processed_data!AP:AP)</f>
        <v>-0.16668518827217657</v>
      </c>
      <c r="K16" s="70">
        <f>PEARSON(processed_data!AL:AL, processed_data!AP:AP)</f>
        <v>0.1926285321323549</v>
      </c>
      <c r="L16" s="70">
        <v>1</v>
      </c>
      <c r="M16" s="70"/>
      <c r="N16" s="70"/>
      <c r="O16" s="70"/>
      <c r="P16" s="70"/>
      <c r="Q16" s="134"/>
      <c r="R16" s="87"/>
      <c r="S16" s="135"/>
      <c r="T16" s="128"/>
      <c r="V16" s="212"/>
      <c r="W16" s="48" t="s">
        <v>716</v>
      </c>
      <c r="X16" s="49" t="s">
        <v>68</v>
      </c>
    </row>
    <row r="17" spans="1:20">
      <c r="A17" s="105" t="s">
        <v>293</v>
      </c>
      <c r="B17" s="134">
        <f>PEARSON(processed_data!B:B, processed_data!AT:AT)</f>
        <v>0.28464057171065049</v>
      </c>
      <c r="C17" s="87">
        <f>PEARSON(processed_data!F:F, processed_data!AT:AT)</f>
        <v>0.73557377456836792</v>
      </c>
      <c r="D17" s="87">
        <f>PEARSON(processed_data!J:J, processed_data!AT:AT)</f>
        <v>0.60111590819389504</v>
      </c>
      <c r="E17" s="135">
        <f>PEARSON(processed_data!N:N, processed_data!AT:AT)</f>
        <v>0.6517373704422873</v>
      </c>
      <c r="F17" s="134">
        <f>PEARSON(processed_data!R:R, processed_data!AT:AT)</f>
        <v>0.67513533978911189</v>
      </c>
      <c r="G17" s="87">
        <f>PEARSON(processed_data!V:V, processed_data!AT:AT)</f>
        <v>0.51338668805576582</v>
      </c>
      <c r="H17" s="87">
        <f>PEARSON(processed_data!Z:Z, processed_data!AT:AT)</f>
        <v>0.62131810927129782</v>
      </c>
      <c r="I17" s="135">
        <f>PEARSON(processed_data!AD:AD, processed_data!AT:AT)</f>
        <v>0.55548732879098783</v>
      </c>
      <c r="J17" s="70">
        <f>PEARSON(processed_data!AH:AH, processed_data!AT:AT)</f>
        <v>0.7357498724131557</v>
      </c>
      <c r="K17" s="70">
        <f>PEARSON(processed_data!AL:AL, processed_data!AT:AT)</f>
        <v>0.1132008308132945</v>
      </c>
      <c r="L17" s="70">
        <f>PEARSON(processed_data!AP:AP, processed_data!AT:AT)</f>
        <v>-0.41551991596526067</v>
      </c>
      <c r="M17" s="70">
        <v>1</v>
      </c>
      <c r="N17" s="70"/>
      <c r="O17" s="70"/>
      <c r="P17" s="70"/>
      <c r="Q17" s="134"/>
      <c r="R17" s="87"/>
      <c r="S17" s="135"/>
      <c r="T17" s="128"/>
    </row>
    <row r="18" spans="1:20">
      <c r="A18" s="105" t="s">
        <v>294</v>
      </c>
      <c r="B18" s="134">
        <f>PEARSON(processed_data!B:B, processed_data!AX:AX)</f>
        <v>0.54603195653462022</v>
      </c>
      <c r="C18" s="87">
        <f>PEARSON(processed_data!F:F, processed_data!AX:AX)</f>
        <v>0.69385777963256112</v>
      </c>
      <c r="D18" s="87">
        <f>PEARSON(processed_data!J:J, processed_data!AX:AX)</f>
        <v>0.77933908895656656</v>
      </c>
      <c r="E18" s="135">
        <f>PEARSON(processed_data!N:N, processed_data!AX:AX)</f>
        <v>0.75057621545767206</v>
      </c>
      <c r="F18" s="134">
        <f>PEARSON(processed_data!R:R, processed_data!AX:AX)</f>
        <v>0.71326452470309332</v>
      </c>
      <c r="G18" s="87">
        <f>PEARSON(processed_data!V:V, processed_data!AX:AX)</f>
        <v>0.6212259916566758</v>
      </c>
      <c r="H18" s="87">
        <f>PEARSON(processed_data!Z:Z, processed_data!AX:AX)</f>
        <v>0.73087580063035451</v>
      </c>
      <c r="I18" s="135">
        <f>PEARSON(processed_data!AD:AD, processed_data!AX:AX)</f>
        <v>0.88696125940993842</v>
      </c>
      <c r="J18" s="70">
        <f>PEARSON(processed_data!AH:AH, processed_data!AX:AX)</f>
        <v>0.49895800417728919</v>
      </c>
      <c r="K18" s="70">
        <f>PEARSON(processed_data!AL:AL, processed_data!AX:AX)</f>
        <v>0.74849349165150325</v>
      </c>
      <c r="L18" s="70">
        <f>PEARSON(processed_data!AP:AP, processed_data!AX:AX)</f>
        <v>2.1805181875818067E-2</v>
      </c>
      <c r="M18" s="70">
        <f>PEARSON(processed_data!AT:AT, processed_data!AX:AX)</f>
        <v>0.48978405852869739</v>
      </c>
      <c r="N18" s="70">
        <v>1</v>
      </c>
      <c r="O18" s="70"/>
      <c r="P18" s="70"/>
      <c r="Q18" s="134"/>
      <c r="R18" s="87"/>
      <c r="S18" s="135"/>
      <c r="T18" s="128"/>
    </row>
    <row r="19" spans="1:20">
      <c r="A19" s="105" t="s">
        <v>295</v>
      </c>
      <c r="B19" s="134">
        <f>PEARSON(processed_data!B:B, processed_data!BB:BB)</f>
        <v>0.60541425009017502</v>
      </c>
      <c r="C19" s="87">
        <f>PEARSON(processed_data!F:F, processed_data!BB:BB)</f>
        <v>0.7574280123920778</v>
      </c>
      <c r="D19" s="87">
        <f>PEARSON(processed_data!J:J, processed_data!BB:BB)</f>
        <v>0.821918075061704</v>
      </c>
      <c r="E19" s="135">
        <f>PEARSON(processed_data!N:N, processed_data!BB:BB)</f>
        <v>0.83092209002999307</v>
      </c>
      <c r="F19" s="134">
        <f>PEARSON(processed_data!R:R, processed_data!BB:BB)</f>
        <v>0.69425205413681379</v>
      </c>
      <c r="G19" s="87">
        <f>PEARSON(processed_data!V:V, processed_data!BB:BB)</f>
        <v>0.70196411816303395</v>
      </c>
      <c r="H19" s="87">
        <f>PEARSON(processed_data!Z:Z, processed_data!BB:BB)</f>
        <v>0.75132813027539702</v>
      </c>
      <c r="I19" s="135">
        <f>PEARSON(processed_data!AD:AD, processed_data!BB:BB)</f>
        <v>0.8771033625519814</v>
      </c>
      <c r="J19" s="70">
        <f>PEARSON(processed_data!AH:AH, processed_data!BB:BB)</f>
        <v>0.64884400835730682</v>
      </c>
      <c r="K19" s="70">
        <f>PEARSON(processed_data!AL:AL, processed_data!BB:BB)</f>
        <v>0.8427009716003846</v>
      </c>
      <c r="L19" s="70">
        <f>PEARSON(processed_data!AP:AP, processed_data!BB:BB)</f>
        <v>0.16232825118589134</v>
      </c>
      <c r="M19" s="70">
        <f>PEARSON(processed_data!AT:AT, processed_data!BB:BB)</f>
        <v>0.51936978394492961</v>
      </c>
      <c r="N19" s="70">
        <f>PEARSON(processed_data!AX:AX, processed_data!BB:BB)</f>
        <v>0.90330516478455791</v>
      </c>
      <c r="O19" s="70">
        <v>1</v>
      </c>
      <c r="P19" s="70"/>
      <c r="Q19" s="134"/>
      <c r="R19" s="87"/>
      <c r="S19" s="135"/>
      <c r="T19" s="128"/>
    </row>
    <row r="20" spans="1:20" ht="15" thickBot="1">
      <c r="A20" s="106" t="s">
        <v>296</v>
      </c>
      <c r="B20" s="136">
        <f>PEARSON(processed_data!B:B, processed_data!BF:BF)</f>
        <v>0.41907903806247482</v>
      </c>
      <c r="C20" s="54">
        <f>PEARSON(processed_data!F:F, processed_data!BF:BF)</f>
        <v>-3.4380708208626438E-2</v>
      </c>
      <c r="D20" s="54">
        <f>PEARSON(processed_data!J:J, processed_data!BF:BF)</f>
        <v>0.40160966445124935</v>
      </c>
      <c r="E20" s="137">
        <f>PEARSON(processed_data!N:N, processed_data!BF:BF)</f>
        <v>0.32510161013223088</v>
      </c>
      <c r="F20" s="136">
        <f>PEARSON(processed_data!R:R, processed_data!BF:BF)</f>
        <v>0.40135869199883595</v>
      </c>
      <c r="G20" s="54">
        <f>PEARSON(processed_data!V:V, processed_data!BF:BF)</f>
        <v>0.34299717028501769</v>
      </c>
      <c r="H20" s="54">
        <f>PEARSON(processed_data!Z:Z, processed_data!BF:BF)</f>
        <v>0.63905666288426999</v>
      </c>
      <c r="I20" s="137">
        <f>PEARSON(processed_data!AD:AD, processed_data!BF:BF)</f>
        <v>0.6315634218026247</v>
      </c>
      <c r="J20" s="54">
        <f>PEARSON(processed_data!AH:AH, processed_data!BF:BF)</f>
        <v>0.18130499802585451</v>
      </c>
      <c r="K20" s="54">
        <f>PEARSON(processed_data!AL:AL, processed_data!BF:BF)</f>
        <v>0.52380952380952384</v>
      </c>
      <c r="L20" s="54">
        <f>PEARSON(processed_data!AP:AP, processed_data!BF:BF)</f>
        <v>0</v>
      </c>
      <c r="M20" s="54">
        <f>PEARSON(processed_data!AT:AT, processed_data!BF:BF)</f>
        <v>2.9348363544187454E-2</v>
      </c>
      <c r="N20" s="54">
        <f>PEARSON(processed_data!AX:AX, processed_data!BF:BF)</f>
        <v>0.40966927732366221</v>
      </c>
      <c r="O20" s="54">
        <f>PEARSON(processed_data!BB:BB, processed_data!BF:BF)</f>
        <v>0.4414147946478203</v>
      </c>
      <c r="P20" s="54">
        <v>1</v>
      </c>
      <c r="Q20" s="136"/>
      <c r="R20" s="54"/>
      <c r="S20" s="137"/>
      <c r="T20" s="129"/>
    </row>
    <row r="21" spans="1:20">
      <c r="A21" s="143" t="s">
        <v>311</v>
      </c>
      <c r="B21" s="138">
        <f>PEARSON(processed_data!B:B, processed_data!BJ:BJ)</f>
        <v>0.67997469908655395</v>
      </c>
      <c r="C21" s="71">
        <f>PEARSON(processed_data!F:F, processed_data!BJ:BJ)</f>
        <v>0.91719692878277936</v>
      </c>
      <c r="D21" s="71">
        <f>PEARSON(processed_data!J:J, processed_data!BJ:BJ)</f>
        <v>0.84863422333255745</v>
      </c>
      <c r="E21" s="139">
        <f>PEARSON(processed_data!N:N, processed_data!BJ:BJ)</f>
        <v>0.89393706891746172</v>
      </c>
      <c r="F21" s="138">
        <f>PEARSON(processed_data!R:R, processed_data!BJ:BJ)</f>
        <v>0.56354272164215125</v>
      </c>
      <c r="G21" s="71">
        <f>PEARSON(processed_data!V:V, processed_data!BJ:BJ)</f>
        <v>0.36239060333348166</v>
      </c>
      <c r="H21" s="71">
        <f>PEARSON(processed_data!Z:Z, processed_data!BJ:BJ)</f>
        <v>0.65723245084767323</v>
      </c>
      <c r="I21" s="139">
        <f>PEARSON(processed_data!AD:AD, processed_data!BJ:BJ)</f>
        <v>0.69306932972993196</v>
      </c>
      <c r="J21" s="71">
        <f>PEARSON(processed_data!AH:AH, processed_data!BJ:BJ)</f>
        <v>0.77928536782221813</v>
      </c>
      <c r="K21" s="71">
        <f>PEARSON(processed_data!AL:AL, processed_data!BJ:BJ)</f>
        <v>0.36475823262061574</v>
      </c>
      <c r="L21" s="71">
        <f>PEARSON(processed_data!AP:AP, processed_data!BJ:BJ)</f>
        <v>-5.9359987995037243E-2</v>
      </c>
      <c r="M21" s="71">
        <f>PEARSON(processed_data!AT:AT, processed_data!BJ:BJ)</f>
        <v>0.7674418604651162</v>
      </c>
      <c r="N21" s="71">
        <f>PEARSON(processed_data!AX:AX, processed_data!BJ:BJ)</f>
        <v>0.66063896266661482</v>
      </c>
      <c r="O21" s="71">
        <f>PEARSON(processed_data!BB:BB, processed_data!BJ:BJ)</f>
        <v>0.62536361740307855</v>
      </c>
      <c r="P21" s="71">
        <f>PEARSON(processed_data!BF:BF, processed_data!BJ:BJ)</f>
        <v>2.9348363544187461E-2</v>
      </c>
      <c r="Q21" s="138">
        <v>1</v>
      </c>
      <c r="R21" s="71"/>
      <c r="S21" s="139"/>
      <c r="T21" s="130"/>
    </row>
    <row r="22" spans="1:20">
      <c r="A22" s="144" t="s">
        <v>543</v>
      </c>
      <c r="B22" s="134">
        <f>PEARSON(processed_data!B:B, processed_data!BN:BN)</f>
        <v>0.74407597096029965</v>
      </c>
      <c r="C22" s="87">
        <f>PEARSON(processed_data!F:F, processed_data!BN:BN)</f>
        <v>0.54383800035973939</v>
      </c>
      <c r="D22" s="87">
        <f>PEARSON(processed_data!J:J, processed_data!BN:BN)</f>
        <v>0.69577277062367182</v>
      </c>
      <c r="E22" s="135">
        <f>PEARSON(processed_data!N:N, processed_data!BN:BN)</f>
        <v>0.70638663390795386</v>
      </c>
      <c r="F22" s="134">
        <f>PEARSON(processed_data!R:R, processed_data!BN:BN)</f>
        <v>0.60861961977829981</v>
      </c>
      <c r="G22" s="87">
        <f>PEARSON(processed_data!V:V, processed_data!BN:BN)</f>
        <v>0.48442577906143069</v>
      </c>
      <c r="H22" s="87">
        <f>PEARSON(processed_data!Z:Z, processed_data!BN:BN)</f>
        <v>0.5914648429814906</v>
      </c>
      <c r="I22" s="135">
        <f>PEARSON(processed_data!AD:AD, processed_data!BN:BN)</f>
        <v>0.54806012292342521</v>
      </c>
      <c r="J22" s="70">
        <f>PEARSON(processed_data!AH:AH, processed_data!BN:BN)</f>
        <v>0.51212559475883312</v>
      </c>
      <c r="K22" s="70">
        <f>PEARSON(processed_data!AL:AL, processed_data!BN:BN)</f>
        <v>0.61873579551993996</v>
      </c>
      <c r="L22" s="70">
        <f>PEARSON(processed_data!AP:AP, processed_data!BN:BN)</f>
        <v>0.22852652225356151</v>
      </c>
      <c r="M22" s="70">
        <f>PEARSON(processed_data!AT:AT, processed_data!BN:BN)</f>
        <v>0.28185744583067313</v>
      </c>
      <c r="N22" s="70">
        <f>PEARSON(processed_data!AX:AX, processed_data!BN:BN)</f>
        <v>0.60904095770064481</v>
      </c>
      <c r="O22" s="70">
        <f>PEARSON(processed_data!BB:BB, processed_data!BN:BN)</f>
        <v>0.61208912666573623</v>
      </c>
      <c r="P22" s="70">
        <f>PEARSON(processed_data!BF:BF, processed_data!BN:BN)</f>
        <v>0.18831089428867734</v>
      </c>
      <c r="Q22" s="134">
        <f>PEARSON(processed_data!BJ:BJ, processed_data!BN:BN)</f>
        <v>0.61345444092558243</v>
      </c>
      <c r="R22" s="87">
        <v>1</v>
      </c>
      <c r="S22" s="135"/>
      <c r="T22" s="128"/>
    </row>
    <row r="23" spans="1:20" ht="15" thickBot="1">
      <c r="A23" s="145" t="s">
        <v>313</v>
      </c>
      <c r="B23" s="134">
        <f>PEARSON(processed_data!B:B, processed_data!BR:BR)</f>
        <v>0.58118771178298612</v>
      </c>
      <c r="C23" s="87">
        <f>PEARSON(processed_data!F:F, processed_data!BR:BR)</f>
        <v>0.86979689861744003</v>
      </c>
      <c r="D23" s="87">
        <f>PEARSON(processed_data!J:J, processed_data!BR:BR)</f>
        <v>0.78762135226321972</v>
      </c>
      <c r="E23" s="135">
        <f>PEARSON(processed_data!N:N, processed_data!BR:BR)</f>
        <v>0.83620638136383973</v>
      </c>
      <c r="F23" s="134">
        <f>PEARSON(processed_data!R:R, processed_data!BR:BR)</f>
        <v>0.72084459438597692</v>
      </c>
      <c r="G23" s="87">
        <f>PEARSON(processed_data!V:V, processed_data!BR:BR)</f>
        <v>0.31951957714824836</v>
      </c>
      <c r="H23" s="87">
        <f>PEARSON(processed_data!Z:Z, processed_data!BR:BR)</f>
        <v>0.71197721709357387</v>
      </c>
      <c r="I23" s="135">
        <f>PEARSON(processed_data!AD:AD, processed_data!BR:BR)</f>
        <v>0.7048515166286059</v>
      </c>
      <c r="J23" s="70">
        <f>PEARSON(processed_data!AH:AH, processed_data!BR:BR)</f>
        <v>0.89215332694203653</v>
      </c>
      <c r="K23" s="70">
        <f>PEARSON(processed_data!AL:AL, processed_data!BR:BR)</f>
        <v>0.61636499614857843</v>
      </c>
      <c r="L23" s="70">
        <f>PEARSON(processed_data!AP:AP, processed_data!BR:BR)</f>
        <v>-0.33055367834246563</v>
      </c>
      <c r="M23" s="70">
        <f>PEARSON(processed_data!AT:AT, processed_data!BR:BR)</f>
        <v>0.72521664149546938</v>
      </c>
      <c r="N23" s="70">
        <f>PEARSON(processed_data!AX:AX, processed_data!BR:BR)</f>
        <v>0.64062775979293596</v>
      </c>
      <c r="O23" s="70">
        <f>PEARSON(processed_data!BB:BB, processed_data!BR:BR)</f>
        <v>0.75550746343981723</v>
      </c>
      <c r="P23" s="70">
        <f>PEARSON(processed_data!BF:BF, processed_data!BR:BR)</f>
        <v>0.19611613513818399</v>
      </c>
      <c r="Q23" s="134">
        <f>PEARSON(processed_data!BJ:BJ, processed_data!BR:BR)</f>
        <v>0.72521664149546916</v>
      </c>
      <c r="R23" s="87">
        <f>PEARSON(processed_data!BN:BN, processed_data!BR:BR)</f>
        <v>0.44316965750772647</v>
      </c>
      <c r="S23" s="135">
        <v>1</v>
      </c>
      <c r="T23" s="128"/>
    </row>
    <row r="24" spans="1:20" s="60" customFormat="1" ht="15" thickBot="1">
      <c r="A24" s="150" t="s">
        <v>544</v>
      </c>
      <c r="B24" s="140">
        <f>PEARSON(processed_data!B:B, processed_data!BV:BV)</f>
        <v>-0.25186675630818256</v>
      </c>
      <c r="C24" s="141">
        <f>PEARSON(processed_data!F:F, processed_data!BV:BV)</f>
        <v>0.30814563007836365</v>
      </c>
      <c r="D24" s="141">
        <f>PEARSON(processed_data!J:J, processed_data!BV:BV)</f>
        <v>2.4486573407716095E-2</v>
      </c>
      <c r="E24" s="142">
        <f>PEARSON(processed_data!N:N, processed_data!BV:BV)</f>
        <v>9.7584221571536026E-2</v>
      </c>
      <c r="F24" s="140">
        <f>PEARSON(processed_data!R:R, processed_data!BV:BV)</f>
        <v>0.26660806151976446</v>
      </c>
      <c r="G24" s="141">
        <f>PEARSON(processed_data!V:V, processed_data!BV:BV)</f>
        <v>0.32415005177884293</v>
      </c>
      <c r="H24" s="141">
        <f>PEARSON(processed_data!Z:Z, processed_data!BV:BV)</f>
        <v>0.11689191724597002</v>
      </c>
      <c r="I24" s="142">
        <f>PEARSON(processed_data!AD:AD, processed_data!BV:BV)</f>
        <v>7.9793065877169944E-2</v>
      </c>
      <c r="J24" s="59">
        <f>PEARSON(processed_data!AH:AH, processed_data!BV:BV)</f>
        <v>0.364793907364246</v>
      </c>
      <c r="K24" s="59">
        <f>PEARSON(processed_data!AL:AL, processed_data!BV:BV)</f>
        <v>8.7101537264241656E-3</v>
      </c>
      <c r="L24" s="59">
        <f>PEARSON(processed_data!AP:AP, processed_data!BV:BV)</f>
        <v>-0.28774683777505489</v>
      </c>
      <c r="M24" s="59">
        <f>PEARSON(processed_data!AT:AT, processed_data!BV:BV)</f>
        <v>0.54218859590646351</v>
      </c>
      <c r="N24" s="59">
        <f>PEARSON(processed_data!AX:AX, processed_data!BV:BV)</f>
        <v>7.4933930032126159E-2</v>
      </c>
      <c r="O24" s="59">
        <f>PEARSON(processed_data!BB:BB, processed_data!BV:BV)</f>
        <v>0.30094225532990093</v>
      </c>
      <c r="P24" s="59">
        <f>PEARSON(processed_data!BF:BF, processed_data!BV:BV)</f>
        <v>-0.22356061231155386</v>
      </c>
      <c r="Q24" s="140">
        <f>PEARSON(processed_data!BJ:BJ, processed_data!BV:BV)</f>
        <v>5.9050243118525712E-2</v>
      </c>
      <c r="R24" s="141">
        <f>PEARSON(processed_data!BR:BR, processed_data!BV:BV)</f>
        <v>0.45438164828601241</v>
      </c>
      <c r="S24" s="142">
        <f>PEARSON(processed_data!BR:BR, processed_data!BV:BV)</f>
        <v>0.45438164828601241</v>
      </c>
      <c r="T24" s="131">
        <v>1</v>
      </c>
    </row>
    <row r="25" spans="1:20">
      <c r="A25" s="339" t="s">
        <v>575</v>
      </c>
    </row>
    <row r="26" spans="1:20" ht="15" thickBot="1">
      <c r="A26" s="338"/>
    </row>
    <row r="27" spans="1:20" ht="15" thickBot="1">
      <c r="A27" s="69" t="s">
        <v>569</v>
      </c>
      <c r="B27" s="88" t="s">
        <v>570</v>
      </c>
      <c r="C27" s="89" t="s">
        <v>277</v>
      </c>
      <c r="D27" s="89" t="s">
        <v>278</v>
      </c>
      <c r="E27" s="89" t="s">
        <v>279</v>
      </c>
      <c r="F27" s="90" t="s">
        <v>286</v>
      </c>
      <c r="G27" s="91" t="s">
        <v>573</v>
      </c>
      <c r="H27" s="90" t="s">
        <v>539</v>
      </c>
      <c r="I27" s="90" t="s">
        <v>289</v>
      </c>
      <c r="J27" s="92" t="s">
        <v>538</v>
      </c>
      <c r="K27" s="92" t="s">
        <v>291</v>
      </c>
      <c r="L27" s="92" t="s">
        <v>310</v>
      </c>
      <c r="M27" s="92" t="s">
        <v>293</v>
      </c>
      <c r="N27" s="92" t="s">
        <v>294</v>
      </c>
      <c r="O27" s="92" t="s">
        <v>295</v>
      </c>
      <c r="P27" s="93" t="s">
        <v>296</v>
      </c>
      <c r="Q27" s="94" t="s">
        <v>311</v>
      </c>
      <c r="R27" s="95" t="s">
        <v>543</v>
      </c>
      <c r="S27" s="95" t="s">
        <v>313</v>
      </c>
      <c r="T27" s="96" t="s">
        <v>544</v>
      </c>
    </row>
    <row r="28" spans="1:20">
      <c r="A28" s="98" t="s">
        <v>276</v>
      </c>
      <c r="B28" s="132">
        <v>1</v>
      </c>
      <c r="C28" s="21"/>
      <c r="D28" s="21"/>
      <c r="E28" s="133"/>
      <c r="F28" s="132"/>
      <c r="G28" s="21"/>
      <c r="H28" s="21"/>
      <c r="I28" s="133"/>
      <c r="J28" s="71"/>
      <c r="K28" s="71"/>
      <c r="L28" s="71"/>
      <c r="M28" s="71"/>
      <c r="N28" s="71"/>
      <c r="O28" s="71"/>
      <c r="P28" s="71"/>
      <c r="Q28" s="132"/>
      <c r="R28" s="21"/>
      <c r="S28" s="133"/>
      <c r="T28" s="127"/>
    </row>
    <row r="29" spans="1:20">
      <c r="A29" s="99" t="s">
        <v>277</v>
      </c>
      <c r="B29" s="134">
        <f>ABS(B7 * SQRT(COUNT(raw_data!A:A) - 2)) / SQRT(1 - B7^2)</f>
        <v>2.3503197443438748</v>
      </c>
      <c r="C29" s="87">
        <v>1</v>
      </c>
      <c r="D29" s="87"/>
      <c r="E29" s="135"/>
      <c r="F29" s="134"/>
      <c r="G29" s="87"/>
      <c r="H29" s="87"/>
      <c r="I29" s="135"/>
      <c r="J29" s="70"/>
      <c r="K29" s="70"/>
      <c r="L29" s="70"/>
      <c r="M29" s="70"/>
      <c r="N29" s="70"/>
      <c r="O29" s="70"/>
      <c r="P29" s="70"/>
      <c r="Q29" s="134"/>
      <c r="R29" s="87"/>
      <c r="S29" s="135"/>
      <c r="T29" s="128"/>
    </row>
    <row r="30" spans="1:20">
      <c r="A30" s="99" t="s">
        <v>278</v>
      </c>
      <c r="B30" s="134">
        <f>ABS(B8 * SQRT(COUNT(raw_data!A:A) - 2)) / SQRT(1 - B8^2)</f>
        <v>5.8966528305146326</v>
      </c>
      <c r="C30" s="87">
        <f>ABS(C8 * SQRT(COUNT(raw_data!A:A) - 2)) / SQRT(1 - C8^2)</f>
        <v>4.547841994860006</v>
      </c>
      <c r="D30" s="87">
        <v>1</v>
      </c>
      <c r="E30" s="135"/>
      <c r="F30" s="134"/>
      <c r="G30" s="87"/>
      <c r="H30" s="87"/>
      <c r="I30" s="135"/>
      <c r="J30" s="70"/>
      <c r="K30" s="70"/>
      <c r="L30" s="70"/>
      <c r="M30" s="70"/>
      <c r="N30" s="70"/>
      <c r="O30" s="70"/>
      <c r="P30" s="70"/>
      <c r="Q30" s="134"/>
      <c r="R30" s="87"/>
      <c r="S30" s="135"/>
      <c r="T30" s="128"/>
    </row>
    <row r="31" spans="1:20" ht="15" thickBot="1">
      <c r="A31" s="100" t="s">
        <v>279</v>
      </c>
      <c r="B31" s="136">
        <f>ABS(B9 * SQRT(COUNT(raw_data!A:A) - 2)) / SQRT(1 - B9^2)</f>
        <v>4.8179122688629814</v>
      </c>
      <c r="C31" s="54">
        <f>ABS(C9 * SQRT(COUNT(raw_data!A:A) - 2)) / SQRT(1 - C9^2)</f>
        <v>4.547841994860006</v>
      </c>
      <c r="D31" s="54">
        <f>ABS(D9 * SQRT(COUNT(raw_data!A:A) - 2)) / SQRT(1 - D9^2)</f>
        <v>13.66026613259773</v>
      </c>
      <c r="E31" s="137">
        <v>1</v>
      </c>
      <c r="F31" s="136"/>
      <c r="G31" s="54"/>
      <c r="H31" s="54"/>
      <c r="I31" s="137"/>
      <c r="J31" s="54"/>
      <c r="K31" s="54"/>
      <c r="L31" s="54"/>
      <c r="M31" s="54"/>
      <c r="N31" s="54"/>
      <c r="O31" s="54"/>
      <c r="P31" s="54"/>
      <c r="Q31" s="136"/>
      <c r="R31" s="54"/>
      <c r="S31" s="137"/>
      <c r="T31" s="129"/>
    </row>
    <row r="32" spans="1:20">
      <c r="A32" s="101" t="s">
        <v>286</v>
      </c>
      <c r="B32" s="138">
        <f>ABS(B10 * SQRT(COUNT(raw_data!A:A) - 2)) / SQRT(1 - B10^2)</f>
        <v>1.3132876339358486</v>
      </c>
      <c r="C32" s="71">
        <f>ABS(C10 * SQRT(COUNT(raw_data!A:A) - 2)) / SQRT(1 - C10^2)</f>
        <v>1.8580842457273528</v>
      </c>
      <c r="D32" s="71">
        <f>ABS(D10 * SQRT(COUNT(raw_data!A:A) - 2)) / SQRT(1 - D10^2)</f>
        <v>2.332783897829962</v>
      </c>
      <c r="E32" s="139">
        <f>ABS(E10 * SQRT(COUNT(raw_data!A:A) - 2)) / SQRT(1 - E10^2)</f>
        <v>2.4076011939966824</v>
      </c>
      <c r="F32" s="138">
        <v>1</v>
      </c>
      <c r="G32" s="71"/>
      <c r="H32" s="71"/>
      <c r="I32" s="139"/>
      <c r="J32" s="71"/>
      <c r="K32" s="71"/>
      <c r="L32" s="71"/>
      <c r="M32" s="71"/>
      <c r="N32" s="71"/>
      <c r="O32" s="71"/>
      <c r="P32" s="71"/>
      <c r="Q32" s="138"/>
      <c r="R32" s="71"/>
      <c r="S32" s="139"/>
      <c r="T32" s="130"/>
    </row>
    <row r="33" spans="1:20">
      <c r="A33" s="102" t="s">
        <v>573</v>
      </c>
      <c r="B33" s="134">
        <f>ABS(B11 * SQRT(COUNT(raw_data!A:A) - 2)) / SQRT(1 - B11^2)</f>
        <v>0.3565252142572693</v>
      </c>
      <c r="C33" s="87">
        <f>ABS(C11 * SQRT(COUNT(raw_data!A:A) - 2)) / SQRT(1 - C11^2)</f>
        <v>1.131627483870224</v>
      </c>
      <c r="D33" s="87">
        <f>ABS(D11 * SQRT(COUNT(raw_data!A:A) - 2)) / SQRT(1 - D11^2)</f>
        <v>1.5565166650420965</v>
      </c>
      <c r="E33" s="135">
        <f>ABS(E11 * SQRT(COUNT(raw_data!A:A) - 2)) / SQRT(1 - E11^2)</f>
        <v>1.531125515519218</v>
      </c>
      <c r="F33" s="134">
        <f>ABS(F11 * SQRT(COUNT(raw_data!A:A) - 2)) / SQRT(1 - F11^2)</f>
        <v>2.5047057923891627</v>
      </c>
      <c r="G33" s="87">
        <v>1</v>
      </c>
      <c r="H33" s="87"/>
      <c r="I33" s="135"/>
      <c r="J33" s="70"/>
      <c r="K33" s="70"/>
      <c r="L33" s="70"/>
      <c r="M33" s="70"/>
      <c r="N33" s="70"/>
      <c r="O33" s="70"/>
      <c r="P33" s="70"/>
      <c r="Q33" s="134"/>
      <c r="R33" s="87"/>
      <c r="S33" s="135"/>
      <c r="T33" s="128"/>
    </row>
    <row r="34" spans="1:20">
      <c r="A34" s="102" t="s">
        <v>539</v>
      </c>
      <c r="B34" s="134">
        <f>ABS(B12 * SQRT(COUNT(raw_data!A:A) - 2)) / SQRT(1 - B12^2)</f>
        <v>3.486436580097982</v>
      </c>
      <c r="C34" s="87">
        <f>ABS(C12 * SQRT(COUNT(raw_data!A:A) - 2)) / SQRT(1 - C12^2)</f>
        <v>2.2260912602547029</v>
      </c>
      <c r="D34" s="87">
        <f>ABS(D12 * SQRT(COUNT(raw_data!A:A) - 2)) / SQRT(1 - D12^2)</f>
        <v>5.3659007300066071</v>
      </c>
      <c r="E34" s="135">
        <f>ABS(E12 * SQRT(COUNT(raw_data!A:A) - 2)) / SQRT(1 - E12^2)</f>
        <v>4.1816314999799298</v>
      </c>
      <c r="F34" s="134">
        <f>ABS(F12 * SQRT(COUNT(raw_data!A:A) - 2)) / SQRT(1 - F12^2)</f>
        <v>2.901358752564156</v>
      </c>
      <c r="G34" s="87">
        <f>ABS(G12 * SQRT(COUNT(raw_data!A:A) - 2)) / SQRT(1 - G12^2)</f>
        <v>1.6799930644077454</v>
      </c>
      <c r="H34" s="87">
        <v>1</v>
      </c>
      <c r="I34" s="135"/>
      <c r="J34" s="70"/>
      <c r="K34" s="70"/>
      <c r="L34" s="70"/>
      <c r="M34" s="70"/>
      <c r="N34" s="70"/>
      <c r="O34" s="70"/>
      <c r="P34" s="70"/>
      <c r="Q34" s="134"/>
      <c r="R34" s="87"/>
      <c r="S34" s="135"/>
      <c r="T34" s="128"/>
    </row>
    <row r="35" spans="1:20" ht="15" thickBot="1">
      <c r="A35" s="103" t="s">
        <v>289</v>
      </c>
      <c r="B35" s="136">
        <f>ABS(B13 * SQRT(COUNT(raw_data!A:A) - 2)) / SQRT(1 - B13^2)</f>
        <v>2.6785618513838814</v>
      </c>
      <c r="C35" s="54">
        <f>ABS(C13 * SQRT(COUNT(raw_data!A:A) - 2)) / SQRT(1 - C13^2)</f>
        <v>2.6889775784261229</v>
      </c>
      <c r="D35" s="54">
        <f>ABS(D13 * SQRT(COUNT(raw_data!A:A) - 2)) / SQRT(1 - D13^2)</f>
        <v>4.8295110671877834</v>
      </c>
      <c r="E35" s="137">
        <f>ABS(E13 * SQRT(COUNT(raw_data!A:A) - 2)) / SQRT(1 - E13^2)</f>
        <v>4.3561110409337092</v>
      </c>
      <c r="F35" s="136">
        <f>ABS(F13 * SQRT(COUNT(raw_data!A:A) - 2)) / SQRT(1 - F13^2)</f>
        <v>2.4344333476587754</v>
      </c>
      <c r="G35" s="54">
        <f>ABS(G13 * SQRT(COUNT(raw_data!A:A) - 2)) / SQRT(1 - G13^2)</f>
        <v>1.688251773035977</v>
      </c>
      <c r="H35" s="54">
        <f>ABS(H13 * SQRT(COUNT(raw_data!A:A) - 2)) / SQRT(1 - H13^2)</f>
        <v>5.8791931859510225</v>
      </c>
      <c r="I35" s="137">
        <v>1</v>
      </c>
      <c r="J35" s="54"/>
      <c r="K35" s="54"/>
      <c r="L35" s="54"/>
      <c r="M35" s="54"/>
      <c r="N35" s="54"/>
      <c r="O35" s="54"/>
      <c r="P35" s="54"/>
      <c r="Q35" s="136"/>
      <c r="R35" s="54"/>
      <c r="S35" s="137"/>
      <c r="T35" s="129"/>
    </row>
    <row r="36" spans="1:20">
      <c r="A36" s="104" t="s">
        <v>538</v>
      </c>
      <c r="B36" s="138">
        <f>ABS(B14 * SQRT(COUNT(raw_data!A:A) - 2)) / SQRT(1 - B14^2)</f>
        <v>1.9093100803113185</v>
      </c>
      <c r="C36" s="71">
        <f>ABS(C14 * SQRT(COUNT(raw_data!A:A) - 2)) / SQRT(1 - C14^2)</f>
        <v>4.0689467120262668</v>
      </c>
      <c r="D36" s="71">
        <f>ABS(D14 * SQRT(COUNT(raw_data!A:A) - 2)) / SQRT(1 - D14^2)</f>
        <v>2.8918228049699715</v>
      </c>
      <c r="E36" s="139">
        <f>ABS(E14 * SQRT(COUNT(raw_data!A:A) - 2)) / SQRT(1 - E14^2)</f>
        <v>4.106390395986967</v>
      </c>
      <c r="F36" s="138">
        <f>ABS(F14 * SQRT(COUNT(raw_data!A:A) - 2)) / SQRT(1 - F14^2)</f>
        <v>2.4927249345729523</v>
      </c>
      <c r="G36" s="71">
        <f>ABS(G14 * SQRT(COUNT(raw_data!A:A) - 2)) / SQRT(1 - G14^2)</f>
        <v>0.85166503587580289</v>
      </c>
      <c r="H36" s="71">
        <f>ABS(H14 * SQRT(COUNT(raw_data!A:A) - 2)) / SQRT(1 - H14^2)</f>
        <v>2.3024666802915554</v>
      </c>
      <c r="I36" s="139">
        <f>ABS(I14 * SQRT(COUNT(raw_data!A:A) - 2)) / SQRT(1 - I14^2)</f>
        <v>2.4193220631630248</v>
      </c>
      <c r="J36" s="71">
        <v>1</v>
      </c>
      <c r="K36" s="71"/>
      <c r="L36" s="71"/>
      <c r="M36" s="71"/>
      <c r="N36" s="71"/>
      <c r="O36" s="71"/>
      <c r="P36" s="71"/>
      <c r="Q36" s="138"/>
      <c r="R36" s="71"/>
      <c r="S36" s="139"/>
      <c r="T36" s="130"/>
    </row>
    <row r="37" spans="1:20">
      <c r="A37" s="105" t="s">
        <v>291</v>
      </c>
      <c r="B37" s="134">
        <f>ABS(B15 * SQRT(COUNT(raw_data!A:A) - 2)) / SQRT(1 - B15^2)</f>
        <v>2.9211869733608884</v>
      </c>
      <c r="C37" s="87">
        <f>ABS(C15 * SQRT(COUNT(raw_data!A:A) - 2)) / SQRT(1 - C15^2)</f>
        <v>1.7698379259095776</v>
      </c>
      <c r="D37" s="87">
        <f>ABS(D15 * SQRT(COUNT(raw_data!A:A) - 2)) / SQRT(1 - D15^2)</f>
        <v>3.1669659913716264</v>
      </c>
      <c r="E37" s="135">
        <f>ABS(E15 * SQRT(COUNT(raw_data!A:A) - 2)) / SQRT(1 - E15^2)</f>
        <v>2.7741134658611917</v>
      </c>
      <c r="F37" s="134">
        <f>ABS(F15 * SQRT(COUNT(raw_data!A:A) - 2)) / SQRT(1 - F15^2)</f>
        <v>1.8736001063435508</v>
      </c>
      <c r="G37" s="87">
        <f>ABS(G15 * SQRT(COUNT(raw_data!A:A) - 2)) / SQRT(1 - G15^2)</f>
        <v>1.4876245561039156</v>
      </c>
      <c r="H37" s="87">
        <f>ABS(H15 * SQRT(COUNT(raw_data!A:A) - 2)) / SQRT(1 - H15^2)</f>
        <v>2.4747162713129778</v>
      </c>
      <c r="I37" s="135">
        <f>ABS(I15 * SQRT(COUNT(raw_data!A:A) - 2)) / SQRT(1 - I15^2)</f>
        <v>2.8193899961385247</v>
      </c>
      <c r="J37" s="70">
        <f>ABS(J15 * SQRT(COUNT(raw_data!A:A) - 2)) / SQRT(1 - J15^2)</f>
        <v>1.296781597678381</v>
      </c>
      <c r="K37" s="70">
        <v>1</v>
      </c>
      <c r="L37" s="70"/>
      <c r="M37" s="70"/>
      <c r="N37" s="70"/>
      <c r="O37" s="70"/>
      <c r="P37" s="70"/>
      <c r="Q37" s="134"/>
      <c r="R37" s="87"/>
      <c r="S37" s="135"/>
      <c r="T37" s="128"/>
    </row>
    <row r="38" spans="1:20">
      <c r="A38" s="105" t="s">
        <v>310</v>
      </c>
      <c r="B38" s="134">
        <f>ABS(B16 * SQRT(COUNT(raw_data!A:A) - 2)) / SQRT(1 - B16^2)</f>
        <v>0.34503277967117724</v>
      </c>
      <c r="C38" s="87">
        <f>ABS(C16 * SQRT(COUNT(raw_data!A:A) - 2)) / SQRT(1 - C16^2)</f>
        <v>9.8401653948899589E-2</v>
      </c>
      <c r="D38" s="87">
        <f>ABS(D16 * SQRT(COUNT(raw_data!A:A) - 2)) / SQRT(1 - D16^2)</f>
        <v>0</v>
      </c>
      <c r="E38" s="135">
        <f>ABS(E16 * SQRT(COUNT(raw_data!A:A) - 2)) / SQRT(1 - E16^2)</f>
        <v>0.11932613497596775</v>
      </c>
      <c r="F38" s="134">
        <f>ABS(F16 * SQRT(COUNT(raw_data!A:A) - 2)) / SQRT(1 - F16^2)</f>
        <v>1.028731524250708</v>
      </c>
      <c r="G38" s="87">
        <f>ABS(G16 * SQRT(COUNT(raw_data!A:A) - 2)) / SQRT(1 - G16^2)</f>
        <v>0.67229264545281431</v>
      </c>
      <c r="H38" s="87">
        <f>ABS(H16 * SQRT(COUNT(raw_data!A:A) - 2)) / SQRT(1 - H16^2)</f>
        <v>0.7225478606242528</v>
      </c>
      <c r="I38" s="135">
        <f>ABS(I16 * SQRT(COUNT(raw_data!A:A) - 2)) / SQRT(1 - I16^2)</f>
        <v>0.11183058322357804</v>
      </c>
      <c r="J38" s="70">
        <f>ABS(J16 * SQRT(COUNT(raw_data!A:A) - 2)) / SQRT(1 - J16^2)</f>
        <v>0.47814609212437231</v>
      </c>
      <c r="K38" s="70">
        <f>ABS(K16 * SQRT(COUNT(raw_data!A:A) - 2)) / SQRT(1 - K16^2)</f>
        <v>0.55523433231068597</v>
      </c>
      <c r="L38" s="70">
        <v>1</v>
      </c>
      <c r="M38" s="70"/>
      <c r="N38" s="70"/>
      <c r="O38" s="70"/>
      <c r="P38" s="70"/>
      <c r="Q38" s="134"/>
      <c r="R38" s="87"/>
      <c r="S38" s="135"/>
      <c r="T38" s="128"/>
    </row>
    <row r="39" spans="1:20">
      <c r="A39" s="105" t="s">
        <v>293</v>
      </c>
      <c r="B39" s="134">
        <f>ABS(B17 * SQRT(COUNT(raw_data!A:A) - 2)) / SQRT(1 - B17^2)</f>
        <v>0.83982505466851831</v>
      </c>
      <c r="C39" s="87">
        <f>ABS(C17 * SQRT(COUNT(raw_data!A:A) - 2)) / SQRT(1 - C17^2)</f>
        <v>3.0711245383278003</v>
      </c>
      <c r="D39" s="87">
        <f>ABS(D17 * SQRT(COUNT(raw_data!A:A) - 2)) / SQRT(1 - D17^2)</f>
        <v>2.1274946203072251</v>
      </c>
      <c r="E39" s="135">
        <f>ABS(E17 * SQRT(COUNT(raw_data!A:A) - 2)) / SQRT(1 - E17^2)</f>
        <v>2.4304891279057528</v>
      </c>
      <c r="F39" s="134">
        <f>ABS(F17 * SQRT(COUNT(raw_data!A:A) - 2)) / SQRT(1 - F17^2)</f>
        <v>2.5885684265353763</v>
      </c>
      <c r="G39" s="87">
        <f>ABS(G17 * SQRT(COUNT(raw_data!A:A) - 2)) / SQRT(1 - G17^2)</f>
        <v>1.6920868460976943</v>
      </c>
      <c r="H39" s="87">
        <f>ABS(H17 * SQRT(COUNT(raw_data!A:A) - 2)) / SQRT(1 - H17^2)</f>
        <v>2.2427848834904904</v>
      </c>
      <c r="I39" s="135">
        <f>ABS(I17 * SQRT(COUNT(raw_data!A:A) - 2)) / SQRT(1 - I17^2)</f>
        <v>1.889486697351394</v>
      </c>
      <c r="J39" s="70">
        <f>ABS(J17 * SQRT(COUNT(raw_data!A:A) - 2)) / SQRT(1 - J17^2)</f>
        <v>3.0727272727272714</v>
      </c>
      <c r="K39" s="70">
        <f>ABS(K17 * SQRT(COUNT(raw_data!A:A) - 2)) / SQRT(1 - K17^2)</f>
        <v>0.32225169331774484</v>
      </c>
      <c r="L39" s="70">
        <f>ABS(L17 * SQRT(COUNT(raw_data!A:A) - 2)) / SQRT(1 - L17^2)</f>
        <v>1.292093635353605</v>
      </c>
      <c r="M39" s="70">
        <v>1</v>
      </c>
      <c r="N39" s="70"/>
      <c r="O39" s="70"/>
      <c r="P39" s="70"/>
      <c r="Q39" s="134"/>
      <c r="R39" s="87"/>
      <c r="S39" s="135"/>
      <c r="T39" s="128"/>
    </row>
    <row r="40" spans="1:20">
      <c r="A40" s="105" t="s">
        <v>294</v>
      </c>
      <c r="B40" s="134">
        <f>ABS(B18 * SQRT(COUNT(raw_data!A:A) - 2)) / SQRT(1 - B18^2)</f>
        <v>1.8434916702989306</v>
      </c>
      <c r="C40" s="87">
        <f>ABS(C18 * SQRT(COUNT(raw_data!A:A) - 2)) / SQRT(1 - C18^2)</f>
        <v>2.7253066134545398</v>
      </c>
      <c r="D40" s="87">
        <f>ABS(D18 * SQRT(COUNT(raw_data!A:A) - 2)) / SQRT(1 - D18^2)</f>
        <v>3.5178667869655516</v>
      </c>
      <c r="E40" s="135">
        <f>ABS(E18 * SQRT(COUNT(raw_data!A:A) - 2)) / SQRT(1 - E18^2)</f>
        <v>3.2127752659278639</v>
      </c>
      <c r="F40" s="134">
        <f>ABS(F18 * SQRT(COUNT(raw_data!A:A) - 2)) / SQRT(1 - F18^2)</f>
        <v>2.8783439740304422</v>
      </c>
      <c r="G40" s="87">
        <f>ABS(G18 * SQRT(COUNT(raw_data!A:A) - 2)) / SQRT(1 - G18^2)</f>
        <v>2.2422433656098173</v>
      </c>
      <c r="H40" s="87">
        <f>ABS(H18 * SQRT(COUNT(raw_data!A:A) - 2)) / SQRT(1 - H18^2)</f>
        <v>3.0288603332849973</v>
      </c>
      <c r="I40" s="135">
        <f>ABS(I18 * SQRT(COUNT(raw_data!A:A) - 2)) / SQRT(1 - I18^2)</f>
        <v>5.4319341645244705</v>
      </c>
      <c r="J40" s="70">
        <f>ABS(J18 * SQRT(COUNT(raw_data!A:A) - 2)) / SQRT(1 - J18^2)</f>
        <v>1.6284603557196331</v>
      </c>
      <c r="K40" s="70">
        <f>ABS(K18 * SQRT(COUNT(raw_data!A:A) - 2)) / SQRT(1 - K18^2)</f>
        <v>3.1924668612523104</v>
      </c>
      <c r="L40" s="70">
        <f>ABS(L18 * SQRT(COUNT(raw_data!A:A) - 2)) / SQRT(1 - L18^2)</f>
        <v>6.1689035139294308E-2</v>
      </c>
      <c r="M40" s="70">
        <f>ABS(M18 * SQRT(COUNT(raw_data!A:A) - 2)) / SQRT(1 - M18^2)</f>
        <v>1.5889526872131328</v>
      </c>
      <c r="N40" s="70">
        <v>1</v>
      </c>
      <c r="O40" s="70"/>
      <c r="P40" s="70"/>
      <c r="Q40" s="134"/>
      <c r="R40" s="87"/>
      <c r="S40" s="135"/>
      <c r="T40" s="128"/>
    </row>
    <row r="41" spans="1:20">
      <c r="A41" s="105" t="s">
        <v>295</v>
      </c>
      <c r="B41" s="134">
        <f>ABS(B19 * SQRT(COUNT(raw_data!A:A) - 2)) / SQRT(1 - B19^2)</f>
        <v>2.1514605011068375</v>
      </c>
      <c r="C41" s="87">
        <f>ABS(C19 * SQRT(COUNT(raw_data!A:A) - 2)) / SQRT(1 - C19^2)</f>
        <v>3.2811588831747449</v>
      </c>
      <c r="D41" s="87">
        <f>ABS(D19 * SQRT(COUNT(raw_data!A:A) - 2)) / SQRT(1 - D19^2)</f>
        <v>4.0813062270224201</v>
      </c>
      <c r="E41" s="135">
        <f>ABS(E19 * SQRT(COUNT(raw_data!A:A) - 2)) / SQRT(1 - E19^2)</f>
        <v>4.2240293846544441</v>
      </c>
      <c r="F41" s="134">
        <f>ABS(F19 * SQRT(COUNT(raw_data!A:A) - 2)) / SQRT(1 - F19^2)</f>
        <v>2.7282953479449357</v>
      </c>
      <c r="G41" s="87">
        <f>ABS(G19 * SQRT(COUNT(raw_data!A:A) - 2)) / SQRT(1 - G19^2)</f>
        <v>2.7877282097486789</v>
      </c>
      <c r="H41" s="87">
        <f>ABS(H19 * SQRT(COUNT(raw_data!A:A) - 2)) / SQRT(1 - H19^2)</f>
        <v>3.2201607438056334</v>
      </c>
      <c r="I41" s="135">
        <f>ABS(I19 * SQRT(COUNT(raw_data!A:A) - 2)) / SQRT(1 - I19^2)</f>
        <v>5.1651349805411684</v>
      </c>
      <c r="J41" s="70">
        <f>ABS(J19 * SQRT(COUNT(raw_data!A:A) - 2)) / SQRT(1 - J19^2)</f>
        <v>2.4118231827543815</v>
      </c>
      <c r="K41" s="70">
        <f>ABS(K19 * SQRT(COUNT(raw_data!A:A) - 2)) / SQRT(1 - K19^2)</f>
        <v>4.4271887242357337</v>
      </c>
      <c r="L41" s="70">
        <f>ABS(L19 * SQRT(COUNT(raw_data!A:A) - 2)) / SQRT(1 - L19^2)</f>
        <v>0.46530505657022914</v>
      </c>
      <c r="M41" s="70">
        <f>ABS(M19 * SQRT(COUNT(raw_data!A:A) - 2)) / SQRT(1 - M19^2)</f>
        <v>1.7190337178417776</v>
      </c>
      <c r="N41" s="70">
        <f>ABS(N19 * SQRT(COUNT(raw_data!A:A) - 2)) / SQRT(1 - N19^2)</f>
        <v>5.9555741336956016</v>
      </c>
      <c r="O41" s="70">
        <v>1</v>
      </c>
      <c r="P41" s="70"/>
      <c r="Q41" s="134"/>
      <c r="R41" s="87"/>
      <c r="S41" s="135"/>
      <c r="T41" s="128"/>
    </row>
    <row r="42" spans="1:20" ht="15" thickBot="1">
      <c r="A42" s="106" t="s">
        <v>296</v>
      </c>
      <c r="B42" s="136">
        <f>ABS(B20 * SQRT(COUNT(raw_data!A:A) - 2)) / SQRT(1 - B20^2)</f>
        <v>1.3055067315364397</v>
      </c>
      <c r="C42" s="54">
        <f>ABS(C20 * SQRT(COUNT(raw_data!A:A) - 2)) / SQRT(1 - C20^2)</f>
        <v>9.7300851082103956E-2</v>
      </c>
      <c r="D42" s="54">
        <f>ABS(D20 * SQRT(COUNT(raw_data!A:A) - 2)) / SQRT(1 - D20^2)</f>
        <v>1.2403473458920844</v>
      </c>
      <c r="E42" s="137">
        <f>ABS(E20 * SQRT(COUNT(raw_data!A:A) - 2)) / SQRT(1 - E20^2)</f>
        <v>0.97234486960879518</v>
      </c>
      <c r="F42" s="136">
        <f>ABS(F20 * SQRT(COUNT(raw_data!A:A) - 2)) / SQRT(1 - F20^2)</f>
        <v>1.2394233388015399</v>
      </c>
      <c r="G42" s="54">
        <f>ABS(G20 * SQRT(COUNT(raw_data!A:A) - 2)) / SQRT(1 - G20^2)</f>
        <v>1.0327955589886446</v>
      </c>
      <c r="H42" s="54">
        <f>ABS(H20 * SQRT(COUNT(raw_data!A:A) - 2)) / SQRT(1 - H20^2)</f>
        <v>2.3500000000000005</v>
      </c>
      <c r="I42" s="137">
        <f>ABS(I20 * SQRT(COUNT(raw_data!A:A) - 2)) / SQRT(1 - I20^2)</f>
        <v>2.3039795093901554</v>
      </c>
      <c r="J42" s="54">
        <f>ABS(J20 * SQRT(COUNT(raw_data!A:A) - 2)) / SQRT(1 - J20^2)</f>
        <v>0.52145000945397491</v>
      </c>
      <c r="K42" s="54">
        <f>ABS(K20 * SQRT(COUNT(raw_data!A:A) - 2)) / SQRT(1 - K20^2)</f>
        <v>1.739252713092609</v>
      </c>
      <c r="L42" s="54">
        <f>ABS(L20 * SQRT(COUNT(raw_data!A:A) - 2)) / SQRT(1 - L20^2)</f>
        <v>0</v>
      </c>
      <c r="M42" s="54">
        <f>ABS(M20 * SQRT(COUNT(raw_data!A:A) - 2)) / SQRT(1 - M20^2)</f>
        <v>8.3045479853739959E-2</v>
      </c>
      <c r="N42" s="54">
        <f>ABS(N20 * SQRT(COUNT(raw_data!A:A) - 2)) / SQRT(1 - N20^2)</f>
        <v>1.2701999138832636</v>
      </c>
      <c r="O42" s="54">
        <f>ABS(O20 * SQRT(COUNT(raw_data!A:A) - 2)) / SQRT(1 - O20^2)</f>
        <v>1.3914021704740864</v>
      </c>
      <c r="P42" s="54">
        <v>1</v>
      </c>
      <c r="Q42" s="136"/>
      <c r="R42" s="54"/>
      <c r="S42" s="137"/>
      <c r="T42" s="129"/>
    </row>
    <row r="43" spans="1:20">
      <c r="A43" s="143" t="s">
        <v>311</v>
      </c>
      <c r="B43" s="138">
        <f>ABS(B21 * SQRT(COUNT(raw_data!A:A) - 2)) / SQRT(1 - B21^2)</f>
        <v>2.6229754097208007</v>
      </c>
      <c r="C43" s="71">
        <f>ABS(C21 * SQRT(COUNT(raw_data!A:A) - 2)) / SQRT(1 - C21^2)</f>
        <v>6.5110495493250582</v>
      </c>
      <c r="D43" s="71">
        <f>ABS(D21 * SQRT(COUNT(raw_data!A:A) - 2)) / SQRT(1 - D21^2)</f>
        <v>4.5375998426965438</v>
      </c>
      <c r="E43" s="139">
        <f>ABS(E21 * SQRT(COUNT(raw_data!A:A) - 2)) / SQRT(1 - E21^2)</f>
        <v>5.6414059919765345</v>
      </c>
      <c r="F43" s="138">
        <f>ABS(F21 * SQRT(COUNT(raw_data!A:A) - 2)) / SQRT(1 - F21^2)</f>
        <v>1.9295058177496971</v>
      </c>
      <c r="G43" s="71">
        <f>ABS(G21 * SQRT(COUNT(raw_data!A:A) - 2)) / SQRT(1 - G21^2)</f>
        <v>1.0997494345975529</v>
      </c>
      <c r="H43" s="71">
        <f>ABS(H21 * SQRT(COUNT(raw_data!A:A) - 2)) / SQRT(1 - H21^2)</f>
        <v>2.4664506373722563</v>
      </c>
      <c r="I43" s="139">
        <f>ABS(I21 * SQRT(COUNT(raw_data!A:A) - 2)) / SQRT(1 - I21^2)</f>
        <v>2.7193440569686556</v>
      </c>
      <c r="J43" s="71">
        <f>ABS(J21 * SQRT(COUNT(raw_data!A:A) - 2)) / SQRT(1 - J21^2)</f>
        <v>3.5172492762160696</v>
      </c>
      <c r="K43" s="71">
        <f>ABS(K21 * SQRT(COUNT(raw_data!A:A) - 2)) / SQRT(1 - K21^2)</f>
        <v>1.1080330438562622</v>
      </c>
      <c r="L43" s="71">
        <f>ABS(L21 * SQRT(COUNT(raw_data!A:A) - 2)) / SQRT(1 - L21^2)</f>
        <v>0.1681919829838161</v>
      </c>
      <c r="M43" s="71">
        <f>ABS(M21 * SQRT(COUNT(raw_data!A:A) - 2)) / SQRT(1 - M21^2)</f>
        <v>3.3857285618810078</v>
      </c>
      <c r="N43" s="71">
        <f>ABS(N21 * SQRT(COUNT(raw_data!A:A) - 2)) / SQRT(1 - N21^2)</f>
        <v>2.4890898628462041</v>
      </c>
      <c r="O43" s="71">
        <f>ABS(O21 * SQRT(COUNT(raw_data!A:A) - 2)) / SQRT(1 - O21^2)</f>
        <v>2.2667173136661316</v>
      </c>
      <c r="P43" s="71">
        <f>ABS(P21 * SQRT(COUNT(raw_data!A:A) - 2)) / SQRT(1 - P21^2)</f>
        <v>8.3045479853739973E-2</v>
      </c>
      <c r="Q43" s="138">
        <v>1</v>
      </c>
      <c r="R43" s="71"/>
      <c r="S43" s="139"/>
      <c r="T43" s="130"/>
    </row>
    <row r="44" spans="1:20">
      <c r="A44" s="144" t="s">
        <v>543</v>
      </c>
      <c r="B44" s="134">
        <f>ABS(B22 * SQRT(COUNT(raw_data!A:A) - 2)) / SQRT(1 - B22^2)</f>
        <v>3.150097831907678</v>
      </c>
      <c r="C44" s="87">
        <f>ABS(C22 * SQRT(COUNT(raw_data!A:A) - 2)) / SQRT(1 - C22^2)</f>
        <v>1.8329648161221297</v>
      </c>
      <c r="D44" s="87">
        <f>ABS(D22 * SQRT(COUNT(raw_data!A:A) - 2)) / SQRT(1 - D22^2)</f>
        <v>2.7398674446386431</v>
      </c>
      <c r="E44" s="135">
        <f>ABS(E22 * SQRT(COUNT(raw_data!A:A) - 2)) / SQRT(1 - E22^2)</f>
        <v>2.8226747297677273</v>
      </c>
      <c r="F44" s="134">
        <f>ABS(F22 * SQRT(COUNT(raw_data!A:A) - 2)) / SQRT(1 - F22^2)</f>
        <v>2.1695253837831623</v>
      </c>
      <c r="G44" s="158">
        <f>ABS(G22 * SQRT(COUNT(raw_data!A:A) - 2)) / SQRT(1 - G22^2)</f>
        <v>1.5662006462876095</v>
      </c>
      <c r="H44" s="87">
        <f>ABS(H22 * SQRT(COUNT(raw_data!A:A) - 2)) / SQRT(1 - H22^2)</f>
        <v>2.074725696109978</v>
      </c>
      <c r="I44" s="135">
        <f>ABS(I22 * SQRT(COUNT(raw_data!A:A) - 2)) / SQRT(1 - I22^2)</f>
        <v>1.8532711021487618</v>
      </c>
      <c r="J44" s="70">
        <f>ABS(J22 * SQRT(COUNT(raw_data!A:A) - 2)) / SQRT(1 - J22^2)</f>
        <v>1.6864502153028402</v>
      </c>
      <c r="K44" s="70">
        <f>ABS(K22 * SQRT(COUNT(raw_data!A:A) - 2)) / SQRT(1 - K22^2)</f>
        <v>2.2276616771499222</v>
      </c>
      <c r="L44" s="70">
        <f>ABS(L22 * SQRT(COUNT(raw_data!A:A) - 2)) / SQRT(1 - L22^2)</f>
        <v>0.66394000220698579</v>
      </c>
      <c r="M44" s="70">
        <f>ABS(M22 * SQRT(COUNT(raw_data!A:A) - 2)) / SQRT(1 - M22^2)</f>
        <v>0.83090105305131134</v>
      </c>
      <c r="N44" s="70">
        <f>ABS(N22 * SQRT(COUNT(raw_data!A:A) - 2)) / SQRT(1 - N22^2)</f>
        <v>2.1719124387693931</v>
      </c>
      <c r="O44" s="70">
        <f>ABS(O22 * SQRT(COUNT(raw_data!A:A) - 2)) / SQRT(1 - O22^2)</f>
        <v>2.1892691493473397</v>
      </c>
      <c r="P44" s="70">
        <f>ABS(P22 * SQRT(COUNT(raw_data!A:A) - 2)) / SQRT(1 - P22^2)</f>
        <v>0.54232614454664041</v>
      </c>
      <c r="Q44" s="134">
        <f>ABS(Q22 * SQRT(COUNT(raw_data!A:A) - 2)) / SQRT(1 - Q22^2)</f>
        <v>2.1970938620473137</v>
      </c>
      <c r="R44" s="87">
        <v>1</v>
      </c>
      <c r="S44" s="135"/>
      <c r="T44" s="128"/>
    </row>
    <row r="45" spans="1:20" ht="15" thickBot="1">
      <c r="A45" s="145" t="s">
        <v>313</v>
      </c>
      <c r="B45" s="136">
        <f>ABS(B23 * SQRT(COUNT(raw_data!A:A) - 2)) / SQRT(1 - B23^2)</f>
        <v>2.0200401136833714</v>
      </c>
      <c r="C45" s="54">
        <f>ABS(C23 * SQRT(COUNT(raw_data!A:A) - 2)) / SQRT(1 - C23^2)</f>
        <v>4.9860309066110577</v>
      </c>
      <c r="D45" s="54">
        <f>ABS(D23 * SQRT(COUNT(raw_data!A:A) - 2)) / SQRT(1 - D23^2)</f>
        <v>3.6155076303109364</v>
      </c>
      <c r="E45" s="137">
        <f>ABS(E23 * SQRT(COUNT(raw_data!A:A) - 2)) / SQRT(1 - E23^2)</f>
        <v>4.3126998719994658</v>
      </c>
      <c r="F45" s="136">
        <f>ABS(F23 * SQRT(COUNT(raw_data!A:A) - 2)) / SQRT(1 - F23^2)</f>
        <v>2.941662150177649</v>
      </c>
      <c r="G45" s="54">
        <f>ABS(G23 * SQRT(COUNT(raw_data!A:A) - 2)) / SQRT(1 - G23^2)</f>
        <v>0.95373282381000091</v>
      </c>
      <c r="H45" s="54">
        <f>ABS(H23 * SQRT(COUNT(raw_data!A:A) - 2)) / SQRT(1 - H23^2)</f>
        <v>2.8677987995281264</v>
      </c>
      <c r="I45" s="137">
        <f>ABS(I23 * SQRT(COUNT(raw_data!A:A) - 2)) / SQRT(1 - I23^2)</f>
        <v>2.8104707773048574</v>
      </c>
      <c r="J45" s="54">
        <f>ABS(J23 * SQRT(COUNT(raw_data!A:A) - 2)) / SQRT(1 - J23^2)</f>
        <v>5.586026014614025</v>
      </c>
      <c r="K45" s="54">
        <f>ABS(K23 * SQRT(COUNT(raw_data!A:A) - 2)) / SQRT(1 - K23^2)</f>
        <v>2.213880263877162</v>
      </c>
      <c r="L45" s="54">
        <f>ABS(L23 * SQRT(COUNT(raw_data!A:A) - 2)) / SQRT(1 - L23^2)</f>
        <v>0.9906332665982247</v>
      </c>
      <c r="M45" s="54">
        <f>ABS(M23 * SQRT(COUNT(raw_data!A:A) - 2)) / SQRT(1 - M23^2)</f>
        <v>2.9791729889540184</v>
      </c>
      <c r="N45" s="54">
        <f>ABS(N23 * SQRT(COUNT(raw_data!A:A) - 2)) / SQRT(1 - N23^2)</f>
        <v>2.3597905405836723</v>
      </c>
      <c r="O45" s="54">
        <f>ABS(O23 * SQRT(COUNT(raw_data!A:A) - 2)) / SQRT(1 - O23^2)</f>
        <v>3.2617420252008058</v>
      </c>
      <c r="P45" s="54">
        <f>ABS(P23 * SQRT(COUNT(raw_data!A:A) - 2)) / SQRT(1 - P23^2)</f>
        <v>0.5656854249492379</v>
      </c>
      <c r="Q45" s="136">
        <f>ABS(Q23 * SQRT(COUNT(raw_data!A:A) - 2)) / SQRT(1 - Q23^2)</f>
        <v>2.9791729889540171</v>
      </c>
      <c r="R45" s="54">
        <f>ABS(R23 * SQRT(COUNT(raw_data!A:A) - 2)) / SQRT(1 - R23^2)</f>
        <v>1.39828233296727</v>
      </c>
      <c r="S45" s="137">
        <v>1</v>
      </c>
      <c r="T45" s="129"/>
    </row>
    <row r="46" spans="1:20" s="60" customFormat="1" ht="15" thickBot="1">
      <c r="A46" s="146" t="s">
        <v>544</v>
      </c>
      <c r="B46" s="140">
        <f>ABS(B24 * SQRT(COUNT(raw_data!A:A) - 2)) / SQRT(1 - B24^2)</f>
        <v>0.7361177882699389</v>
      </c>
      <c r="C46" s="141">
        <f>ABS(C24 * SQRT(COUNT(raw_data!A:A) - 2)) / SQRT(1 - C24^2)</f>
        <v>0.91614795209795441</v>
      </c>
      <c r="D46" s="141">
        <f>ABS(D24 * SQRT(COUNT(raw_data!A:A) - 2)) / SQRT(1 - D24^2)</f>
        <v>6.9279261187728786E-2</v>
      </c>
      <c r="E46" s="142">
        <f>ABS(E24 * SQRT(COUNT(raw_data!A:A) - 2)) / SQRT(1 - E24^2)</f>
        <v>0.27733349703718191</v>
      </c>
      <c r="F46" s="140">
        <f>ABS(F24 * SQRT(COUNT(raw_data!A:A) - 2)) / SQRT(1 - F24^2)</f>
        <v>0.78240043069010967</v>
      </c>
      <c r="G46" s="141">
        <f>ABS(G24 * SQRT(COUNT(raw_data!A:A) - 2)) / SQRT(1 - G24^2)</f>
        <v>0.96916416009465256</v>
      </c>
      <c r="H46" s="141">
        <f>ABS(H24 * SQRT(COUNT(raw_data!A:A) - 2)) / SQRT(1 - H24^2)</f>
        <v>0.3329024348138343</v>
      </c>
      <c r="I46" s="142">
        <f>ABS(I24 * SQRT(COUNT(raw_data!A:A) - 2)) / SQRT(1 - I24^2)</f>
        <v>0.22641079405524242</v>
      </c>
      <c r="J46" s="59">
        <f>ABS(J24 * SQRT(COUNT(raw_data!A:A) - 2)) / SQRT(1 - J24^2)</f>
        <v>1.1081580477325679</v>
      </c>
      <c r="K46" s="59">
        <f>ABS(K24 * SQRT(COUNT(raw_data!A:A) - 2)) / SQRT(1 - K24^2)</f>
        <v>2.4636969642005922E-2</v>
      </c>
      <c r="L46" s="59">
        <f>ABS(L24 * SQRT(COUNT(raw_data!A:A) - 2)) / SQRT(1 - L24^2)</f>
        <v>0.84981249828431893</v>
      </c>
      <c r="M46" s="59">
        <f>ABS(M24 * SQRT(COUNT(raw_data!A:A) - 2)) / SQRT(1 - M24^2)</f>
        <v>1.8250859638686088</v>
      </c>
      <c r="N46" s="59">
        <f>ABS(N24 * SQRT(COUNT(raw_data!A:A) - 2)) / SQRT(1 - N24^2)</f>
        <v>0.21254272396485854</v>
      </c>
      <c r="O46" s="59">
        <f>ABS(O24 * SQRT(COUNT(raw_data!A:A) - 2)) / SQRT(1 - O24^2)</f>
        <v>0.8925707055774218</v>
      </c>
      <c r="P46" s="59">
        <f>ABS(P24 * SQRT(COUNT(raw_data!A:A) - 2)) / SQRT(1 - P24^2)</f>
        <v>0.64874460708154735</v>
      </c>
      <c r="Q46" s="140">
        <f>ABS(Q24 * SQRT(COUNT(raw_data!A:A) - 2)) / SQRT(1 - Q24^2)</f>
        <v>0.16731126552628472</v>
      </c>
      <c r="R46" s="141">
        <f>ABS(R24 * SQRT(COUNT(raw_data!A:A) - 2)) / SQRT(1 - R24^2)</f>
        <v>1.4427201535437983</v>
      </c>
      <c r="S46" s="142">
        <f>ABS(S24 * SQRT(COUNT(raw_data!A:A) - 2)) / SQRT(1 - S24^2)</f>
        <v>1.4427201535437983</v>
      </c>
      <c r="T46" s="131">
        <v>1</v>
      </c>
    </row>
    <row r="47" spans="1:20">
      <c r="A47" s="337" t="s">
        <v>571</v>
      </c>
      <c r="B47" s="73"/>
      <c r="C47" s="68" t="s">
        <v>574</v>
      </c>
    </row>
    <row r="48" spans="1:20" ht="15" thickBot="1">
      <c r="A48" s="338"/>
      <c r="B48" s="202"/>
      <c r="C48" s="68" t="s">
        <v>717</v>
      </c>
    </row>
    <row r="49" spans="1:20" ht="15" thickBot="1">
      <c r="A49" s="69" t="s">
        <v>569</v>
      </c>
      <c r="B49" s="88" t="s">
        <v>570</v>
      </c>
      <c r="C49" s="89" t="s">
        <v>277</v>
      </c>
      <c r="D49" s="89" t="s">
        <v>278</v>
      </c>
      <c r="E49" s="89" t="s">
        <v>279</v>
      </c>
      <c r="F49" s="90" t="s">
        <v>286</v>
      </c>
      <c r="G49" s="91" t="s">
        <v>573</v>
      </c>
      <c r="H49" s="90" t="s">
        <v>539</v>
      </c>
      <c r="I49" s="90" t="s">
        <v>289</v>
      </c>
      <c r="J49" s="92" t="s">
        <v>538</v>
      </c>
      <c r="K49" s="92" t="s">
        <v>291</v>
      </c>
      <c r="L49" s="92" t="s">
        <v>310</v>
      </c>
      <c r="M49" s="92" t="s">
        <v>293</v>
      </c>
      <c r="N49" s="92" t="s">
        <v>294</v>
      </c>
      <c r="O49" s="92" t="s">
        <v>295</v>
      </c>
      <c r="P49" s="93" t="s">
        <v>296</v>
      </c>
      <c r="Q49" s="94" t="s">
        <v>311</v>
      </c>
      <c r="R49" s="95" t="s">
        <v>543</v>
      </c>
      <c r="S49" s="95" t="s">
        <v>313</v>
      </c>
      <c r="T49" s="96" t="s">
        <v>544</v>
      </c>
    </row>
    <row r="50" spans="1:20">
      <c r="A50" s="98" t="s">
        <v>276</v>
      </c>
      <c r="B50" s="110">
        <v>1</v>
      </c>
      <c r="C50" s="111"/>
      <c r="D50" s="111"/>
      <c r="E50" s="111"/>
      <c r="F50" s="122"/>
      <c r="G50" s="111"/>
      <c r="H50" s="111"/>
      <c r="I50" s="112"/>
      <c r="J50" s="122"/>
      <c r="K50" s="111"/>
      <c r="L50" s="111"/>
      <c r="M50" s="111"/>
      <c r="N50" s="111"/>
      <c r="O50" s="111"/>
      <c r="P50" s="112"/>
      <c r="Q50" s="79"/>
      <c r="R50" s="79"/>
      <c r="S50" s="71"/>
      <c r="T50" s="127"/>
    </row>
    <row r="51" spans="1:20">
      <c r="A51" s="99" t="s">
        <v>277</v>
      </c>
      <c r="B51" s="113">
        <f>_xlfn.T.DIST.2T(B29, COUNT(raw_data!A:A) - 2)</f>
        <v>4.6657963175950203E-2</v>
      </c>
      <c r="C51" s="83">
        <v>1</v>
      </c>
      <c r="D51" s="80"/>
      <c r="E51" s="80"/>
      <c r="F51" s="113"/>
      <c r="G51" s="80"/>
      <c r="H51" s="80"/>
      <c r="I51" s="114"/>
      <c r="J51" s="113"/>
      <c r="K51" s="80"/>
      <c r="L51" s="80"/>
      <c r="M51" s="80"/>
      <c r="N51" s="80"/>
      <c r="O51" s="80"/>
      <c r="P51" s="114"/>
      <c r="Q51" s="80"/>
      <c r="R51" s="80"/>
      <c r="S51" s="70"/>
      <c r="T51" s="128"/>
    </row>
    <row r="52" spans="1:20">
      <c r="A52" s="99" t="s">
        <v>278</v>
      </c>
      <c r="B52" s="113">
        <f>_xlfn.T.DIST.2T(B30, COUNT(raw_data!A:A) - 2)</f>
        <v>3.6311298786846684E-4</v>
      </c>
      <c r="C52" s="80">
        <f>_xlfn.T.DIST.2T(C30, COUNT(raw_data!A:A) - 2)</f>
        <v>1.8797016136836398E-3</v>
      </c>
      <c r="D52" s="83">
        <v>1</v>
      </c>
      <c r="E52" s="80"/>
      <c r="F52" s="113"/>
      <c r="G52" s="80"/>
      <c r="H52" s="80"/>
      <c r="I52" s="114"/>
      <c r="J52" s="113"/>
      <c r="K52" s="80"/>
      <c r="L52" s="80"/>
      <c r="M52" s="80"/>
      <c r="N52" s="80"/>
      <c r="O52" s="80"/>
      <c r="P52" s="114"/>
      <c r="Q52" s="80"/>
      <c r="R52" s="80"/>
      <c r="S52" s="70"/>
      <c r="T52" s="128"/>
    </row>
    <row r="53" spans="1:20" ht="15" thickBot="1">
      <c r="A53" s="100" t="s">
        <v>279</v>
      </c>
      <c r="B53" s="115">
        <f>_xlfn.T.DIST.2T(B31, COUNT(raw_data!A:A) - 2)</f>
        <v>1.3248876034398698E-3</v>
      </c>
      <c r="C53" s="81">
        <f>_xlfn.T.DIST.2T(C31, COUNT(raw_data!A:A) - 2)</f>
        <v>1.8797016136836398E-3</v>
      </c>
      <c r="D53" s="81">
        <f>_xlfn.T.DIST.2T(D31, COUNT(raw_data!A:A) - 2)</f>
        <v>7.9412771207736374E-7</v>
      </c>
      <c r="E53" s="85">
        <v>1</v>
      </c>
      <c r="F53" s="115"/>
      <c r="G53" s="81"/>
      <c r="H53" s="81"/>
      <c r="I53" s="119"/>
      <c r="J53" s="115"/>
      <c r="K53" s="81"/>
      <c r="L53" s="81"/>
      <c r="M53" s="81"/>
      <c r="N53" s="81"/>
      <c r="O53" s="81"/>
      <c r="P53" s="119"/>
      <c r="Q53" s="81"/>
      <c r="R53" s="81"/>
      <c r="S53" s="54"/>
      <c r="T53" s="129"/>
    </row>
    <row r="54" spans="1:20">
      <c r="A54" s="101" t="s">
        <v>286</v>
      </c>
      <c r="B54" s="117">
        <f>_xlfn.T.DIST.2T(B32, COUNT(raw_data!A:A) - 2)</f>
        <v>0.22550022443063261</v>
      </c>
      <c r="C54" s="79">
        <f>_xlfn.T.DIST.2T(C32, COUNT(raw_data!A:A) - 2)</f>
        <v>0.10022504832466557</v>
      </c>
      <c r="D54" s="79">
        <f>_xlfn.T.DIST.2T(D32, COUNT(raw_data!A:A) - 2)</f>
        <v>4.795283809386397E-2</v>
      </c>
      <c r="E54" s="79">
        <f>_xlfn.T.DIST.2T(E32, COUNT(raw_data!A:A) - 2)</f>
        <v>4.2667610375781616E-2</v>
      </c>
      <c r="F54" s="123">
        <v>1</v>
      </c>
      <c r="G54" s="79"/>
      <c r="H54" s="79"/>
      <c r="I54" s="118"/>
      <c r="J54" s="117"/>
      <c r="K54" s="79"/>
      <c r="L54" s="79"/>
      <c r="M54" s="79"/>
      <c r="N54" s="79"/>
      <c r="O54" s="79"/>
      <c r="P54" s="118"/>
      <c r="Q54" s="79"/>
      <c r="R54" s="79"/>
      <c r="S54" s="71"/>
      <c r="T54" s="130"/>
    </row>
    <row r="55" spans="1:20">
      <c r="A55" s="102" t="s">
        <v>573</v>
      </c>
      <c r="B55" s="113">
        <f>_xlfn.T.DIST.2T(B33, COUNT(raw_data!A:A) - 2)</f>
        <v>0.73066761204538033</v>
      </c>
      <c r="C55" s="80">
        <f>_xlfn.T.DIST.2T(C33, COUNT(raw_data!A:A) - 2)</f>
        <v>0.29056949204159704</v>
      </c>
      <c r="D55" s="80">
        <f>_xlfn.T.DIST.2T(D33, COUNT(raw_data!A:A) - 2)</f>
        <v>0.15819774291896352</v>
      </c>
      <c r="E55" s="80">
        <f>_xlfn.T.DIST.2T(E33, COUNT(raw_data!A:A) - 2)</f>
        <v>0.1642718263871262</v>
      </c>
      <c r="F55" s="113">
        <f>_xlfn.T.DIST.2T(F33, COUNT(raw_data!A:A) - 2)</f>
        <v>3.6672163548732886E-2</v>
      </c>
      <c r="G55" s="83">
        <v>1</v>
      </c>
      <c r="H55" s="80"/>
      <c r="I55" s="114"/>
      <c r="J55" s="113"/>
      <c r="K55" s="80"/>
      <c r="L55" s="80"/>
      <c r="M55" s="80"/>
      <c r="N55" s="80"/>
      <c r="O55" s="80"/>
      <c r="P55" s="114"/>
      <c r="Q55" s="80"/>
      <c r="R55" s="80"/>
      <c r="S55" s="70"/>
      <c r="T55" s="128"/>
    </row>
    <row r="56" spans="1:20">
      <c r="A56" s="102" t="s">
        <v>539</v>
      </c>
      <c r="B56" s="113">
        <f>_xlfn.T.DIST.2T(B34, COUNT(raw_data!A:A) - 2)</f>
        <v>8.2413960460527586E-3</v>
      </c>
      <c r="C56" s="80">
        <f>_xlfn.T.DIST.2T(C34, COUNT(raw_data!A:A) - 2)</f>
        <v>5.6641326248617244E-2</v>
      </c>
      <c r="D56" s="80">
        <f>_xlfn.T.DIST.2T(D34, COUNT(raw_data!A:A) - 2)</f>
        <v>6.7289793684900147E-4</v>
      </c>
      <c r="E56" s="80">
        <f>_xlfn.T.DIST.2T(E34, COUNT(raw_data!A:A) - 2)</f>
        <v>3.0727474805687339E-3</v>
      </c>
      <c r="F56" s="113">
        <f>_xlfn.T.DIST.2T(F34, COUNT(raw_data!A:A) - 2)</f>
        <v>1.985030458522306E-2</v>
      </c>
      <c r="G56" s="80">
        <f>_xlfn.T.DIST.2T(G34, COUNT(raw_data!A:A) - 2)</f>
        <v>0.13147001614869835</v>
      </c>
      <c r="H56" s="83">
        <v>1</v>
      </c>
      <c r="I56" s="114"/>
      <c r="J56" s="113"/>
      <c r="K56" s="80"/>
      <c r="L56" s="80"/>
      <c r="M56" s="80"/>
      <c r="N56" s="80"/>
      <c r="O56" s="80"/>
      <c r="P56" s="114"/>
      <c r="Q56" s="80"/>
      <c r="R56" s="80"/>
      <c r="S56" s="70"/>
      <c r="T56" s="128"/>
    </row>
    <row r="57" spans="1:20" ht="15" thickBot="1">
      <c r="A57" s="103" t="s">
        <v>289</v>
      </c>
      <c r="B57" s="115">
        <f>_xlfn.T.DIST.2T(B35, COUNT(raw_data!A:A) - 2)</f>
        <v>2.7988316889068301E-2</v>
      </c>
      <c r="C57" s="81">
        <f>_xlfn.T.DIST.2T(C35, COUNT(raw_data!A:A) - 2)</f>
        <v>2.7540222476318901E-2</v>
      </c>
      <c r="D57" s="81">
        <f>_xlfn.T.DIST.2T(D35, COUNT(raw_data!A:A) - 2)</f>
        <v>1.3054445963004496E-3</v>
      </c>
      <c r="E57" s="81">
        <f>_xlfn.T.DIST.2T(E35, COUNT(raw_data!A:A) - 2)</f>
        <v>2.4252799447695888E-3</v>
      </c>
      <c r="F57" s="115">
        <f>_xlfn.T.DIST.2T(F35, COUNT(raw_data!A:A) - 2)</f>
        <v>4.0918274822084225E-2</v>
      </c>
      <c r="G57" s="81">
        <f>_xlfn.T.DIST.2T(G35, COUNT(raw_data!A:A) - 2)</f>
        <v>0.12983973238222854</v>
      </c>
      <c r="H57" s="81">
        <f>_xlfn.T.DIST.2T(H35, COUNT(raw_data!A:A) - 2)</f>
        <v>3.7033917102877878E-4</v>
      </c>
      <c r="I57" s="116">
        <v>1</v>
      </c>
      <c r="J57" s="115"/>
      <c r="K57" s="81"/>
      <c r="L57" s="81"/>
      <c r="M57" s="81"/>
      <c r="N57" s="81"/>
      <c r="O57" s="81"/>
      <c r="P57" s="119"/>
      <c r="Q57" s="81"/>
      <c r="R57" s="81"/>
      <c r="S57" s="54"/>
      <c r="T57" s="129"/>
    </row>
    <row r="58" spans="1:20">
      <c r="A58" s="104" t="s">
        <v>538</v>
      </c>
      <c r="B58" s="117">
        <f>_xlfn.T.DIST.2T(B36, COUNT(raw_data!A:A) - 2)</f>
        <v>9.2629636743186958E-2</v>
      </c>
      <c r="C58" s="79">
        <f>_xlfn.T.DIST.2T(C36, COUNT(raw_data!A:A) - 2)</f>
        <v>3.5886546963157548E-3</v>
      </c>
      <c r="D58" s="79">
        <f>_xlfn.T.DIST.2T(D36, COUNT(raw_data!A:A) - 2)</f>
        <v>2.0142748348093882E-2</v>
      </c>
      <c r="E58" s="79">
        <f>_xlfn.T.DIST.2T(E36, COUNT(raw_data!A:A) - 2)</f>
        <v>3.4075644289556506E-3</v>
      </c>
      <c r="F58" s="117">
        <f>_xlfn.T.DIST.2T(F36, COUNT(raw_data!A:A) - 2)</f>
        <v>3.7363224240036436E-2</v>
      </c>
      <c r="G58" s="79">
        <f>_xlfn.T.DIST.2T(G36, COUNT(raw_data!A:A) - 2)</f>
        <v>0.41916244723538842</v>
      </c>
      <c r="H58" s="79">
        <f>_xlfn.T.DIST.2T(H36, COUNT(raw_data!A:A) - 2)</f>
        <v>5.0276867187784291E-2</v>
      </c>
      <c r="I58" s="118">
        <f>_xlfn.T.DIST.2T(I36, COUNT(raw_data!A:A) - 2)</f>
        <v>4.1894379349326015E-2</v>
      </c>
      <c r="J58" s="123">
        <v>1</v>
      </c>
      <c r="K58" s="79"/>
      <c r="L58" s="79"/>
      <c r="M58" s="79"/>
      <c r="N58" s="79"/>
      <c r="O58" s="79"/>
      <c r="P58" s="118"/>
      <c r="Q58" s="79"/>
      <c r="R58" s="79"/>
      <c r="S58" s="71"/>
      <c r="T58" s="130"/>
    </row>
    <row r="59" spans="1:20">
      <c r="A59" s="105" t="s">
        <v>291</v>
      </c>
      <c r="B59" s="113">
        <f>_xlfn.T.DIST.2T(B37, COUNT(raw_data!A:A) - 2)</f>
        <v>1.9256238174914703E-2</v>
      </c>
      <c r="C59" s="80">
        <f>_xlfn.T.DIST.2T(C37, COUNT(raw_data!A:A) - 2)</f>
        <v>0.11471446225734298</v>
      </c>
      <c r="D59" s="80">
        <f>_xlfn.T.DIST.2T(D37, COUNT(raw_data!A:A) - 2)</f>
        <v>1.3255092953060703E-2</v>
      </c>
      <c r="E59" s="80">
        <f>_xlfn.T.DIST.2T(E37, COUNT(raw_data!A:A) - 2)</f>
        <v>2.414289561552125E-2</v>
      </c>
      <c r="F59" s="113">
        <f>_xlfn.T.DIST.2T(F37, COUNT(raw_data!A:A) - 2)</f>
        <v>9.7863914227626136E-2</v>
      </c>
      <c r="G59" s="80">
        <f>_xlfn.T.DIST.2T(G37, COUNT(raw_data!A:A) - 2)</f>
        <v>0.17516666251741328</v>
      </c>
      <c r="H59" s="80">
        <f>_xlfn.T.DIST.2T(H37, COUNT(raw_data!A:A) - 2)</f>
        <v>3.8426866080435412E-2</v>
      </c>
      <c r="I59" s="114">
        <f>_xlfn.T.DIST.2T(I37, COUNT(raw_data!A:A) - 2)</f>
        <v>2.2515021631707537E-2</v>
      </c>
      <c r="J59" s="113">
        <f>_xlfn.T.DIST.2T(J37, COUNT(raw_data!A:A) - 2)</f>
        <v>0.23085639854874437</v>
      </c>
      <c r="K59" s="83">
        <v>1</v>
      </c>
      <c r="L59" s="80"/>
      <c r="M59" s="80"/>
      <c r="N59" s="80"/>
      <c r="O59" s="80"/>
      <c r="P59" s="114"/>
      <c r="Q59" s="80"/>
      <c r="R59" s="80"/>
      <c r="S59" s="70"/>
      <c r="T59" s="128"/>
    </row>
    <row r="60" spans="1:20">
      <c r="A60" s="105" t="s">
        <v>310</v>
      </c>
      <c r="B60" s="113">
        <f>_xlfn.T.DIST.2T(B38, COUNT(raw_data!A:A) - 2)</f>
        <v>0.73896579029586129</v>
      </c>
      <c r="C60" s="80">
        <f>_xlfn.T.DIST.2T(C38, COUNT(raw_data!A:A) - 2)</f>
        <v>0.92403424738552498</v>
      </c>
      <c r="D60" s="80">
        <f>_xlfn.T.DIST.2T(D38, COUNT(raw_data!A:A) - 2)</f>
        <v>1</v>
      </c>
      <c r="E60" s="80">
        <f>_xlfn.T.DIST.2T(E38, COUNT(raw_data!A:A) - 2)</f>
        <v>0.90795906246777669</v>
      </c>
      <c r="F60" s="113">
        <f>_xlfn.T.DIST.2T(F38, COUNT(raw_data!A:A) - 2)</f>
        <v>0.33370194768155098</v>
      </c>
      <c r="G60" s="80">
        <f>_xlfn.T.DIST.2T(G38, COUNT(raw_data!A:A) - 2)</f>
        <v>0.52033783386345367</v>
      </c>
      <c r="H60" s="80">
        <f>_xlfn.T.DIST.2T(H38, COUNT(raw_data!A:A) - 2)</f>
        <v>0.49053780795050228</v>
      </c>
      <c r="I60" s="114">
        <f>_xlfn.T.DIST.2T(I38, COUNT(raw_data!A:A) - 2)</f>
        <v>0.91371273253047525</v>
      </c>
      <c r="J60" s="113">
        <f>_xlfn.T.DIST.2T(J38, COUNT(raw_data!A:A) - 2)</f>
        <v>0.64533907698610915</v>
      </c>
      <c r="K60" s="80">
        <f>_xlfn.T.DIST.2T(K38, COUNT(raw_data!A:A) - 2)</f>
        <v>0.59391549542237021</v>
      </c>
      <c r="L60" s="83">
        <v>1</v>
      </c>
      <c r="M60" s="80"/>
      <c r="N60" s="80"/>
      <c r="O60" s="80"/>
      <c r="P60" s="114"/>
      <c r="Q60" s="80"/>
      <c r="R60" s="80"/>
      <c r="S60" s="70"/>
      <c r="T60" s="128"/>
    </row>
    <row r="61" spans="1:20">
      <c r="A61" s="105" t="s">
        <v>293</v>
      </c>
      <c r="B61" s="113">
        <f>_xlfn.T.DIST.2T(B39, COUNT(raw_data!A:A) - 2)</f>
        <v>0.42539106482980282</v>
      </c>
      <c r="C61" s="80">
        <f>_xlfn.T.DIST.2T(C39, COUNT(raw_data!A:A) - 2)</f>
        <v>1.5321750670689686E-2</v>
      </c>
      <c r="D61" s="80">
        <f>_xlfn.T.DIST.2T(D39, COUNT(raw_data!A:A) - 2)</f>
        <v>6.6050100387485794E-2</v>
      </c>
      <c r="E61" s="80">
        <f>_xlfn.T.DIST.2T(E39, COUNT(raw_data!A:A) - 2)</f>
        <v>4.1170816488897734E-2</v>
      </c>
      <c r="F61" s="113">
        <f>_xlfn.T.DIST.2T(F39, COUNT(raw_data!A:A) - 2)</f>
        <v>3.2184659110941857E-2</v>
      </c>
      <c r="G61" s="80">
        <f>_xlfn.T.DIST.2T(G39, COUNT(raw_data!A:A) - 2)</f>
        <v>0.12908906630709355</v>
      </c>
      <c r="H61" s="80">
        <f>_xlfn.T.DIST.2T(H39, COUNT(raw_data!A:A) - 2)</f>
        <v>5.5185127978553877E-2</v>
      </c>
      <c r="I61" s="114">
        <f>_xlfn.T.DIST.2T(I39, COUNT(raw_data!A:A) - 2)</f>
        <v>9.5501335832239242E-2</v>
      </c>
      <c r="J61" s="113">
        <f>_xlfn.T.DIST.2T(J39, COUNT(raw_data!A:A) - 2)</f>
        <v>1.5284547741774814E-2</v>
      </c>
      <c r="K61" s="80">
        <f>_xlfn.T.DIST.2T(K39, COUNT(raw_data!A:A) - 2)</f>
        <v>0.7555220554652925</v>
      </c>
      <c r="L61" s="80">
        <f>_xlfn.T.DIST.2T(L39, COUNT(raw_data!A:A) - 2)</f>
        <v>0.23239720537668676</v>
      </c>
      <c r="M61" s="83">
        <v>1</v>
      </c>
      <c r="N61" s="80"/>
      <c r="O61" s="80"/>
      <c r="P61" s="114"/>
      <c r="Q61" s="80"/>
      <c r="R61" s="80"/>
      <c r="S61" s="70"/>
      <c r="T61" s="128"/>
    </row>
    <row r="62" spans="1:20">
      <c r="A62" s="105" t="s">
        <v>294</v>
      </c>
      <c r="B62" s="113">
        <f>_xlfn.T.DIST.2T(B40, COUNT(raw_data!A:A) - 2)</f>
        <v>0.10249503246187219</v>
      </c>
      <c r="C62" s="80">
        <f>_xlfn.T.DIST.2T(C40, COUNT(raw_data!A:A) - 2)</f>
        <v>2.6034107788151836E-2</v>
      </c>
      <c r="D62" s="80">
        <f>_xlfn.T.DIST.2T(D40, COUNT(raw_data!A:A) - 2)</f>
        <v>7.8704301189095657E-3</v>
      </c>
      <c r="E62" s="80">
        <f>_xlfn.T.DIST.2T(E40, COUNT(raw_data!A:A) - 2)</f>
        <v>1.2372635053358167E-2</v>
      </c>
      <c r="F62" s="113">
        <f>_xlfn.T.DIST.2T(F40, COUNT(raw_data!A:A) - 2)</f>
        <v>2.0563750321241497E-2</v>
      </c>
      <c r="G62" s="80">
        <f>_xlfn.T.DIST.2T(G40, COUNT(raw_data!A:A) - 2)</f>
        <v>5.5231776781587839E-2</v>
      </c>
      <c r="H62" s="80">
        <f>_xlfn.T.DIST.2T(H40, COUNT(raw_data!A:A) - 2)</f>
        <v>1.6337715520607234E-2</v>
      </c>
      <c r="I62" s="114">
        <f>_xlfn.T.DIST.2T(I40, COUNT(raw_data!A:A) - 2)</f>
        <v>6.2190711455144428E-4</v>
      </c>
      <c r="J62" s="113">
        <f>_xlfn.T.DIST.2T(J40, COUNT(raw_data!A:A) - 2)</f>
        <v>0.14207689316682179</v>
      </c>
      <c r="K62" s="80">
        <f>_xlfn.T.DIST.2T(K40, COUNT(raw_data!A:A) - 2)</f>
        <v>1.2755983648620559E-2</v>
      </c>
      <c r="L62" s="80">
        <f>_xlfn.T.DIST.2T(L40, COUNT(raw_data!A:A) - 2)</f>
        <v>0.95232383734985748</v>
      </c>
      <c r="M62" s="80">
        <f>_xlfn.T.DIST.2T(M40, COUNT(raw_data!A:A) - 2)</f>
        <v>0.15073412287668517</v>
      </c>
      <c r="N62" s="83">
        <v>1</v>
      </c>
      <c r="O62" s="80"/>
      <c r="P62" s="114"/>
      <c r="Q62" s="80"/>
      <c r="R62" s="80"/>
      <c r="S62" s="70"/>
      <c r="T62" s="128"/>
    </row>
    <row r="63" spans="1:20">
      <c r="A63" s="105" t="s">
        <v>295</v>
      </c>
      <c r="B63" s="113">
        <f>_xlfn.T.DIST.2T(B41, COUNT(raw_data!A:A) - 2)</f>
        <v>6.3630351107221289E-2</v>
      </c>
      <c r="C63" s="80">
        <f>_xlfn.T.DIST.2T(C41, COUNT(raw_data!A:A) - 2)</f>
        <v>1.1168466028458966E-2</v>
      </c>
      <c r="D63" s="80">
        <f>_xlfn.T.DIST.2T(D41, COUNT(raw_data!A:A) - 2)</f>
        <v>3.527760028874559E-3</v>
      </c>
      <c r="E63" s="80">
        <f>_xlfn.T.DIST.2T(E41, COUNT(raw_data!A:A) - 2)</f>
        <v>2.8998518314189824E-3</v>
      </c>
      <c r="F63" s="113">
        <f>_xlfn.T.DIST.2T(F41, COUNT(raw_data!A:A) - 2)</f>
        <v>2.5914030814610391E-2</v>
      </c>
      <c r="G63" s="80">
        <f>_xlfn.T.DIST.2T(G41, COUNT(raw_data!A:A) - 2)</f>
        <v>2.364100471823416E-2</v>
      </c>
      <c r="H63" s="80">
        <f>_xlfn.T.DIST.2T(H41, COUNT(raw_data!A:A) - 2)</f>
        <v>1.2236243205266008E-2</v>
      </c>
      <c r="I63" s="114">
        <f>_xlfn.T.DIST.2T(I41, COUNT(raw_data!A:A) - 2)</f>
        <v>8.582382120968867E-4</v>
      </c>
      <c r="J63" s="113">
        <f>_xlfn.T.DIST.2T(J41, COUNT(raw_data!A:A) - 2)</f>
        <v>4.2387441730018134E-2</v>
      </c>
      <c r="K63" s="80">
        <f>_xlfn.T.DIST.2T(K41, COUNT(raw_data!A:A) - 2)</f>
        <v>2.2052539734682343E-3</v>
      </c>
      <c r="L63" s="80">
        <f>_xlfn.T.DIST.2T(L41, COUNT(raw_data!A:A) - 2)</f>
        <v>0.65411680962550922</v>
      </c>
      <c r="M63" s="80">
        <f>_xlfn.T.DIST.2T(M41, COUNT(raw_data!A:A) - 2)</f>
        <v>0.12392708329352647</v>
      </c>
      <c r="N63" s="80">
        <f>_xlfn.T.DIST.2T(N41, COUNT(raw_data!A:A) - 2)</f>
        <v>3.3984902112600327E-4</v>
      </c>
      <c r="O63" s="83">
        <v>1</v>
      </c>
      <c r="P63" s="114"/>
      <c r="Q63" s="80"/>
      <c r="R63" s="80"/>
      <c r="S63" s="70"/>
      <c r="T63" s="128"/>
    </row>
    <row r="64" spans="1:20" ht="15" thickBot="1">
      <c r="A64" s="106" t="s">
        <v>296</v>
      </c>
      <c r="B64" s="115">
        <f>_xlfn.T.DIST.2T(B42, COUNT(raw_data!A:A) - 2)</f>
        <v>0.22801177932596017</v>
      </c>
      <c r="C64" s="81">
        <f>_xlfn.T.DIST.2T(C42, COUNT(raw_data!A:A) - 2)</f>
        <v>0.92488103587087922</v>
      </c>
      <c r="D64" s="81">
        <f>_xlfn.T.DIST.2T(D42, COUNT(raw_data!A:A) - 2)</f>
        <v>0.24998980625876066</v>
      </c>
      <c r="E64" s="81">
        <f>_xlfn.T.DIST.2T(E42, COUNT(raw_data!A:A) - 2)</f>
        <v>0.35935695266012402</v>
      </c>
      <c r="F64" s="115">
        <f>_xlfn.T.DIST.2T(F42, COUNT(raw_data!A:A) - 2)</f>
        <v>0.25031382163363347</v>
      </c>
      <c r="G64" s="81">
        <f>_xlfn.T.DIST.2T(G42, COUNT(raw_data!A:A) - 2)</f>
        <v>0.33190863863919823</v>
      </c>
      <c r="H64" s="81">
        <f>_xlfn.T.DIST.2T(H42, COUNT(raw_data!A:A) - 2)</f>
        <v>4.6681257270468901E-2</v>
      </c>
      <c r="I64" s="119">
        <f>_xlfn.T.DIST.2T(I42, COUNT(raw_data!A:A) - 2)</f>
        <v>5.015827529062445E-2</v>
      </c>
      <c r="J64" s="115">
        <f>_xlfn.T.DIST.2T(J42, COUNT(raw_data!A:A) - 2)</f>
        <v>0.61617719369386181</v>
      </c>
      <c r="K64" s="81">
        <f>_xlfn.T.DIST.2T(K42, COUNT(raw_data!A:A) - 2)</f>
        <v>0.12018079348826408</v>
      </c>
      <c r="L64" s="81">
        <f>_xlfn.T.DIST.2T(L42, COUNT(raw_data!A:A) - 2)</f>
        <v>1</v>
      </c>
      <c r="M64" s="81">
        <f>_xlfn.T.DIST.2T(M42, COUNT(raw_data!A:A) - 2)</f>
        <v>0.93585572294174746</v>
      </c>
      <c r="N64" s="81">
        <f>_xlfn.T.DIST.2T(N42, COUNT(raw_data!A:A) - 2)</f>
        <v>0.23970888185888592</v>
      </c>
      <c r="O64" s="81">
        <f>_xlfn.T.DIST.2T(O42, COUNT(raw_data!A:A) - 2)</f>
        <v>0.20157334263205073</v>
      </c>
      <c r="P64" s="116">
        <v>1</v>
      </c>
      <c r="Q64" s="81"/>
      <c r="R64" s="81"/>
      <c r="S64" s="54"/>
      <c r="T64" s="129"/>
    </row>
    <row r="65" spans="1:20">
      <c r="A65" s="107" t="s">
        <v>311</v>
      </c>
      <c r="B65" s="117">
        <f>_xlfn.T.DIST.2T(B43, COUNT(raw_data!A:A) - 2)</f>
        <v>3.0509159362284717E-2</v>
      </c>
      <c r="C65" s="79">
        <f>_xlfn.T.DIST.2T(C43, COUNT(raw_data!A:A) - 2)</f>
        <v>1.8592755946444405E-4</v>
      </c>
      <c r="D65" s="79">
        <f>_xlfn.T.DIST.2T(D43, COUNT(raw_data!A:A) - 2)</f>
        <v>1.9052037398062216E-3</v>
      </c>
      <c r="E65" s="79">
        <f>_xlfn.T.DIST.2T(E43, COUNT(raw_data!A:A) - 2)</f>
        <v>4.8624774916487188E-4</v>
      </c>
      <c r="F65" s="117">
        <f>_xlfn.T.DIST.2T(F43, COUNT(raw_data!A:A) - 2)</f>
        <v>8.978911204705127E-2</v>
      </c>
      <c r="G65" s="79">
        <f>_xlfn.T.DIST.2T(G43, COUNT(raw_data!A:A) - 2)</f>
        <v>0.30343058323919814</v>
      </c>
      <c r="H65" s="79">
        <f>_xlfn.T.DIST.2T(H43, COUNT(raw_data!A:A) - 2)</f>
        <v>3.892526480363772E-2</v>
      </c>
      <c r="I65" s="118">
        <f>_xlfn.T.DIST.2T(I43, COUNT(raw_data!A:A) - 2)</f>
        <v>2.6275373959084428E-2</v>
      </c>
      <c r="J65" s="117">
        <f>_xlfn.T.DIST.2T(J43, COUNT(raw_data!A:A) - 2)</f>
        <v>7.8775452767522094E-3</v>
      </c>
      <c r="K65" s="79">
        <f>_xlfn.T.DIST.2T(K43, COUNT(raw_data!A:A) - 2)</f>
        <v>0.30004572167910437</v>
      </c>
      <c r="L65" s="79">
        <f>_xlfn.T.DIST.2T(L43, COUNT(raw_data!A:A) - 2)</f>
        <v>0.87060660018543345</v>
      </c>
      <c r="M65" s="79">
        <f>_xlfn.T.DIST.2T(M43, COUNT(raw_data!A:A) - 2)</f>
        <v>9.5602127441415698E-3</v>
      </c>
      <c r="N65" s="79">
        <f>_xlfn.T.DIST.2T(N43, COUNT(raw_data!A:A) - 2)</f>
        <v>3.7575494096495222E-2</v>
      </c>
      <c r="O65" s="79">
        <f>_xlfn.T.DIST.2T(O43, COUNT(raw_data!A:A) - 2)</f>
        <v>5.3162107384349684E-2</v>
      </c>
      <c r="P65" s="118">
        <f>_xlfn.T.DIST.2T(P43, COUNT(raw_data!A:A) - 2)</f>
        <v>0.93585572294174746</v>
      </c>
      <c r="Q65" s="84">
        <v>1</v>
      </c>
      <c r="R65" s="79"/>
      <c r="S65" s="71"/>
      <c r="T65" s="130"/>
    </row>
    <row r="66" spans="1:20">
      <c r="A66" s="108" t="s">
        <v>543</v>
      </c>
      <c r="B66" s="113">
        <f>_xlfn.T.DIST.2T(B44, COUNT(raw_data!A:A) - 2)</f>
        <v>1.3596470452022802E-2</v>
      </c>
      <c r="C66" s="80">
        <f>_xlfn.T.DIST.2T(C44, COUNT(raw_data!A:A) - 2)</f>
        <v>0.10416276923549134</v>
      </c>
      <c r="D66" s="80">
        <f>_xlfn.T.DIST.2T(D44, COUNT(raw_data!A:A) - 2)</f>
        <v>2.5454449049700522E-2</v>
      </c>
      <c r="E66" s="80">
        <f>_xlfn.T.DIST.2T(E44, COUNT(raw_data!A:A) - 2)</f>
        <v>2.2401421664872485E-2</v>
      </c>
      <c r="F66" s="113">
        <f>_xlfn.T.DIST.2T(F44, COUNT(raw_data!A:A) - 2)</f>
        <v>6.1864266885701805E-2</v>
      </c>
      <c r="G66" s="80">
        <f>_xlfn.T.DIST.2T(G44, COUNT(raw_data!A:A) - 2)</f>
        <v>0.15593509892629898</v>
      </c>
      <c r="H66" s="80">
        <f>_xlfn.T.DIST.2T(H44, COUNT(raw_data!A:A) - 2)</f>
        <v>7.1700579139757359E-2</v>
      </c>
      <c r="I66" s="114">
        <f>_xlfn.T.DIST.2T(I44, COUNT(raw_data!A:A) - 2)</f>
        <v>0.10096843690898651</v>
      </c>
      <c r="J66" s="113">
        <f>_xlfn.T.DIST.2T(J44, COUNT(raw_data!A:A) - 2)</f>
        <v>0.13019375847416767</v>
      </c>
      <c r="K66" s="80">
        <f>_xlfn.T.DIST.2T(K44, COUNT(raw_data!A:A) - 2)</f>
        <v>5.6502729015674463E-2</v>
      </c>
      <c r="L66" s="80">
        <f>_xlfn.T.DIST.2T(L44, COUNT(raw_data!A:A) - 2)</f>
        <v>0.52539740538266</v>
      </c>
      <c r="M66" s="80">
        <f>_xlfn.T.DIST.2T(M44, COUNT(raw_data!A:A) - 2)</f>
        <v>0.43012822463078026</v>
      </c>
      <c r="N66" s="80">
        <f>_xlfn.T.DIST.2T(N44, COUNT(raw_data!A:A) - 2)</f>
        <v>6.1634543603421348E-2</v>
      </c>
      <c r="O66" s="80">
        <f>_xlfn.T.DIST.2T(O44, COUNT(raw_data!A:A) - 2)</f>
        <v>5.9989304890629071E-2</v>
      </c>
      <c r="P66" s="114">
        <f>_xlfn.T.DIST.2T(P44, COUNT(raw_data!A:A) - 2)</f>
        <v>0.60236919571802416</v>
      </c>
      <c r="Q66" s="80">
        <f>_xlfn.T.DIST.2T(Q44, COUNT(raw_data!A:A) - 2)</f>
        <v>5.9261858690123022E-2</v>
      </c>
      <c r="R66" s="83">
        <v>1</v>
      </c>
      <c r="S66" s="70"/>
      <c r="T66" s="128"/>
    </row>
    <row r="67" spans="1:20" ht="15" thickBot="1">
      <c r="A67" s="109" t="s">
        <v>313</v>
      </c>
      <c r="B67" s="120">
        <f>_xlfn.T.DIST.2T(B45, COUNT(raw_data!A:A) - 2)</f>
        <v>7.8053748959346345E-2</v>
      </c>
      <c r="C67" s="121">
        <f>_xlfn.T.DIST.2T(C45, COUNT(raw_data!A:A) - 2)</f>
        <v>1.0713742785537711E-3</v>
      </c>
      <c r="D67" s="121">
        <f>_xlfn.T.DIST.2T(D45, COUNT(raw_data!A:A) - 2)</f>
        <v>6.8269166821903829E-3</v>
      </c>
      <c r="E67" s="121">
        <f>_xlfn.T.DIST.2T(E45, COUNT(raw_data!A:A) - 2)</f>
        <v>2.5712698810318904E-3</v>
      </c>
      <c r="F67" s="115">
        <f>_xlfn.T.DIST.2T(F45, COUNT(raw_data!A:A) - 2)</f>
        <v>1.866213284850439E-2</v>
      </c>
      <c r="G67" s="81">
        <f>_xlfn.T.DIST.2T(G45, COUNT(raw_data!A:A) - 2)</f>
        <v>0.3681437570375109</v>
      </c>
      <c r="H67" s="81">
        <f>_xlfn.T.DIST.2T(H45, COUNT(raw_data!A:A) - 2)</f>
        <v>2.089947317888164E-2</v>
      </c>
      <c r="I67" s="119">
        <f>_xlfn.T.DIST.2T(I45, COUNT(raw_data!A:A) - 2)</f>
        <v>2.2826497348971016E-2</v>
      </c>
      <c r="J67" s="115">
        <f>_xlfn.T.DIST.2T(J45, COUNT(raw_data!A:A) - 2)</f>
        <v>5.1863611860496293E-4</v>
      </c>
      <c r="K67" s="81">
        <f>_xlfn.T.DIST.2T(K45, COUNT(raw_data!A:A) - 2)</f>
        <v>5.7730565175646786E-2</v>
      </c>
      <c r="L67" s="81">
        <f>_xlfn.T.DIST.2T(L45, COUNT(raw_data!A:A) - 2)</f>
        <v>0.35087736902004374</v>
      </c>
      <c r="M67" s="81">
        <f>_xlfn.T.DIST.2T(M45, COUNT(raw_data!A:A) - 2)</f>
        <v>1.7622639124495468E-2</v>
      </c>
      <c r="N67" s="81">
        <f>_xlfn.T.DIST.2T(N45, COUNT(raw_data!A:A) - 2)</f>
        <v>4.5973252053345258E-2</v>
      </c>
      <c r="O67" s="81">
        <f>_xlfn.T.DIST.2T(O45, COUNT(raw_data!A:A) - 2)</f>
        <v>1.1497293093853559E-2</v>
      </c>
      <c r="P67" s="119">
        <f>_xlfn.T.DIST.2T(P45, COUNT(raw_data!A:A) - 2)</f>
        <v>0.58711882409483951</v>
      </c>
      <c r="Q67" s="81">
        <f>_xlfn.T.DIST.2T(Q45, COUNT(raw_data!A:A) - 2)</f>
        <v>1.7622639124495493E-2</v>
      </c>
      <c r="R67" s="81">
        <f>_xlfn.T.DIST.2T(R45, COUNT(raw_data!A:A) - 2)</f>
        <v>0.1995754547367132</v>
      </c>
      <c r="S67" s="54">
        <v>1</v>
      </c>
      <c r="T67" s="129"/>
    </row>
    <row r="68" spans="1:20" ht="15" thickBot="1">
      <c r="A68" s="97" t="s">
        <v>544</v>
      </c>
      <c r="B68" s="81">
        <f>_xlfn.T.DIST.2T(B46, COUNT(raw_data!A:A) - 2)</f>
        <v>0.48268233219352352</v>
      </c>
      <c r="C68" s="81">
        <f>_xlfn.T.DIST.2T(C46, COUNT(raw_data!A:A) - 2)</f>
        <v>0.38637267260328312</v>
      </c>
      <c r="D68" s="81">
        <f>_xlfn.T.DIST.2T(D46, COUNT(raw_data!A:A) - 2)</f>
        <v>0.94646772590626527</v>
      </c>
      <c r="E68" s="81">
        <f>_xlfn.T.DIST.2T(E46, COUNT(raw_data!A:A) - 2)</f>
        <v>0.78855569079685306</v>
      </c>
      <c r="F68" s="124">
        <f>_xlfn.T.DIST.2T(F46, COUNT(raw_data!A:A) - 2)</f>
        <v>0.4565109913678711</v>
      </c>
      <c r="G68" s="125">
        <f>_xlfn.T.DIST.2T(G46, COUNT(raw_data!A:A) - 2)</f>
        <v>0.3608473306481737</v>
      </c>
      <c r="H68" s="125">
        <f>_xlfn.T.DIST.2T(H46, COUNT(raw_data!A:A) - 2)</f>
        <v>0.74776420888751582</v>
      </c>
      <c r="I68" s="126">
        <f>_xlfn.T.DIST.2T(I46, COUNT(raw_data!A:A) - 2)</f>
        <v>0.8265597605952828</v>
      </c>
      <c r="J68" s="124">
        <f>_xlfn.T.DIST.2T(J46, COUNT(raw_data!A:A) - 2)</f>
        <v>0.29999487370311517</v>
      </c>
      <c r="K68" s="125">
        <f>_xlfn.T.DIST.2T(K46, COUNT(raw_data!A:A) - 2)</f>
        <v>0.98094798418236362</v>
      </c>
      <c r="L68" s="125">
        <f>_xlfn.T.DIST.2T(L46, COUNT(raw_data!A:A) - 2)</f>
        <v>0.42013275417520224</v>
      </c>
      <c r="M68" s="125">
        <f>_xlfn.T.DIST.2T(M46, COUNT(raw_data!A:A) - 2)</f>
        <v>0.10542778285270123</v>
      </c>
      <c r="N68" s="125">
        <f>_xlfn.T.DIST.2T(N46, COUNT(raw_data!A:A) - 2)</f>
        <v>0.836999346070604</v>
      </c>
      <c r="O68" s="125">
        <f>_xlfn.T.DIST.2T(O46, COUNT(raw_data!A:A) - 2)</f>
        <v>0.39813966900088094</v>
      </c>
      <c r="P68" s="126">
        <f>_xlfn.T.DIST.2T(P46, COUNT(raw_data!A:A) - 2)</f>
        <v>0.53467877223663729</v>
      </c>
      <c r="Q68" s="82">
        <f>_xlfn.T.DIST.2T(Q46, COUNT(raw_data!A:A) - 2)</f>
        <v>0.8712770669174037</v>
      </c>
      <c r="R68" s="82">
        <f>_xlfn.T.DIST.2T(R46, COUNT(raw_data!A:A) - 2)</f>
        <v>0.18708381256168291</v>
      </c>
      <c r="S68" s="82">
        <f>_xlfn.T.DIST.2T(S46, COUNT(raw_data!A:A) - 2)</f>
        <v>0.18708381256168291</v>
      </c>
      <c r="T68" s="131">
        <v>1</v>
      </c>
    </row>
    <row r="70" spans="1:20">
      <c r="A70" s="65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</row>
    <row r="71" spans="1:20">
      <c r="A71" s="63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</row>
    <row r="72" spans="1:20">
      <c r="A72" s="72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38"/>
      <c r="R72" s="38"/>
      <c r="S72" s="70"/>
      <c r="T72" s="70"/>
    </row>
    <row r="73" spans="1:20">
      <c r="A73" s="63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</row>
    <row r="74" spans="1:20">
      <c r="A74" s="63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</row>
    <row r="75" spans="1:20">
      <c r="A75" s="63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</row>
    <row r="76" spans="1:20">
      <c r="A76" s="63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</row>
    <row r="77" spans="1:20">
      <c r="A77" s="63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</row>
    <row r="78" spans="1:20">
      <c r="A78" s="63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</row>
    <row r="79" spans="1:20">
      <c r="A79" s="63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</row>
    <row r="80" spans="1:20">
      <c r="A80" s="63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</row>
    <row r="81" spans="1:20">
      <c r="A81" s="63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</row>
    <row r="82" spans="1:20">
      <c r="A82" s="63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</row>
    <row r="83" spans="1:20">
      <c r="A83" s="63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</row>
    <row r="84" spans="1:20">
      <c r="A84" s="63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</row>
    <row r="85" spans="1:20">
      <c r="A85" s="63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</row>
    <row r="86" spans="1:20">
      <c r="A86" s="63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</row>
    <row r="87" spans="1:20">
      <c r="A87" s="63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</row>
    <row r="88" spans="1:20">
      <c r="A88" s="66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</row>
    <row r="89" spans="1:20">
      <c r="A89" s="66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</row>
    <row r="90" spans="1:20">
      <c r="A90" s="63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</row>
    <row r="91" spans="1:20">
      <c r="A91" s="63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</row>
  </sheetData>
  <mergeCells count="5">
    <mergeCell ref="A47:A48"/>
    <mergeCell ref="A25:A26"/>
    <mergeCell ref="A3:A4"/>
    <mergeCell ref="A1:A2"/>
    <mergeCell ref="B1:O2"/>
  </mergeCells>
  <conditionalFormatting sqref="B68:T68 B50:B51 B53:E53 B52:D52 B54:F54 B55:G55 B56:H56 B57:I57 B58:J58 B59:K59 B60:L60 B61:M61 B62:N62 B63:O63 B64:P64 B65:Q65 B66:R66 B67:S67">
    <cfRule type="cellIs" dxfId="11" priority="14" operator="lessThan">
      <formula>0.05</formula>
    </cfRule>
  </conditionalFormatting>
  <conditionalFormatting sqref="B7:B24 C8:C24 D9:D24 E10:E24 F11:F24 G12:G24 H13:H24 I14:I24 J15:J24 K16:K24 L17:L24 M18:M24 N19:N24 O20:O24 P21:P24 Q22:Q24 R23:R24 S24">
    <cfRule type="cellIs" dxfId="8" priority="2" operator="between">
      <formula>-0.8</formula>
      <formula>-1</formula>
    </cfRule>
    <cfRule type="cellIs" dxfId="7" priority="3" operator="between">
      <formula>-0.6</formula>
      <formula>-0.8</formula>
    </cfRule>
    <cfRule type="cellIs" dxfId="6" priority="4" operator="between">
      <formula>-0.4</formula>
      <formula>-0.6</formula>
    </cfRule>
    <cfRule type="cellIs" dxfId="5" priority="5" operator="between">
      <formula>-0.2</formula>
      <formula>-0.4</formula>
    </cfRule>
    <cfRule type="cellIs" dxfId="4" priority="7" operator="between">
      <formula>0</formula>
      <formula>-0.2</formula>
    </cfRule>
    <cfRule type="cellIs" dxfId="3" priority="8" operator="between">
      <formula>0</formula>
      <formula>0.2</formula>
    </cfRule>
    <cfRule type="cellIs" dxfId="2" priority="9" operator="between">
      <formula>0.2</formula>
      <formula>0.4</formula>
    </cfRule>
    <cfRule type="cellIs" dxfId="1" priority="10" operator="between">
      <formula>0.4</formula>
      <formula>0.6</formula>
    </cfRule>
    <cfRule type="cellIs" dxfId="0" priority="11" operator="between">
      <formula>0.6</formula>
      <formula>0.8</formula>
    </cfRule>
    <cfRule type="cellIs" dxfId="10" priority="12" operator="between">
      <formula>0.8</formula>
      <formula>1</formula>
    </cfRule>
  </conditionalFormatting>
  <conditionalFormatting sqref="B51:B68 C52:C68 D53:D68 E54:E68 F55:F68 G56:G68 H57:H68 I58:I68 J59:J68 K60:K68 L61:L68 M62:M68 N63:N68 O64:O68 P65:P68 Q66:Q68 R67:R68 S68">
    <cfRule type="cellIs" dxfId="9" priority="1" operator="lessThanOrEqual">
      <formula>0.001</formula>
    </cfRule>
  </conditionalFormatting>
  <hyperlinks>
    <hyperlink ref="A1" location="Intro!A1" display="Intro!A1" xr:uid="{1B5F288A-E060-463A-84D2-3A9D1596D1E6}"/>
  </hyperlinks>
  <pageMargins left="0.7" right="0.7" top="0.75" bottom="0.75" header="0.3" footer="0.3"/>
  <pageSetup orientation="portrait" r:id="rId1"/>
  <ignoredErrors>
    <ignoredError sqref="P68 L67 L65 L61 K68 H60:J60 H68:I6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2021-09-14T12:37:50Z</dcterms:modified>
</cp:coreProperties>
</file>