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 Navarro\Desktop\PROYECTOS\Lidera_Digital\Gestor_Proyectos\backend_API\Resources\"/>
    </mc:Choice>
  </mc:AlternateContent>
  <xr:revisionPtr revIDLastSave="0" documentId="13_ncr:1_{79B26187-3EA5-4E8E-9494-ABB47B1AB2A4}" xr6:coauthVersionLast="47" xr6:coauthVersionMax="47" xr10:uidLastSave="{00000000-0000-0000-0000-000000000000}"/>
  <bookViews>
    <workbookView xWindow="-108" yWindow="-108" windowWidth="23256" windowHeight="12456" tabRatio="849" xr2:uid="{00000000-000D-0000-FFFF-FFFF00000000}"/>
  </bookViews>
  <sheets>
    <sheet name="REFERENCIAS" sheetId="38" r:id="rId1"/>
    <sheet name="Líneas" sheetId="22" r:id="rId2"/>
    <sheet name="DATOS" sheetId="26" r:id="rId3"/>
    <sheet name="infl. temperatura" sheetId="25" r:id="rId4"/>
    <sheet name="INV 1(Tipo 1)" sheetId="29" r:id="rId5"/>
    <sheet name="INV 1(Tipo 2)" sheetId="36" r:id="rId6"/>
    <sheet name="CA" sheetId="32" r:id="rId7"/>
    <sheet name="CDT%" sheetId="33" r:id="rId8"/>
    <sheet name="FACTOR DE CORRECIÓN" sheetId="27" r:id="rId9"/>
    <sheet name="INTENSIDADES" sheetId="28" r:id="rId10"/>
    <sheet name="PROTECCIONES" sheetId="30" r:id="rId11"/>
    <sheet name="BASE DE DATOS" sheetId="35" r:id="rId12"/>
    <sheet name="Hoja2" sheetId="23" state="hidden" r:id="rId13"/>
    <sheet name="Hoja2 (2)" sheetId="24" state="hidden" r:id="rId14"/>
  </sheets>
  <definedNames>
    <definedName name="FABRICANTES_INV" localSheetId="5">Tabla1[FABRICANTES_INV]</definedName>
    <definedName name="FABRICANTES_INV">Tabla1[FABRICANTES_INV]</definedName>
    <definedName name="FABRICANTES_MOD" localSheetId="5">Tabla8[FABRICANTES_MOD]</definedName>
    <definedName name="FABRICANTES_MOD">Tabla8[FABRICANTES_MOD]</definedName>
    <definedName name="HUAWEI" localSheetId="5">Tabla2[[#All],[HUAWEI]]</definedName>
    <definedName name="HUAWEI">Tabla2[[#All],[HUAWEI]]</definedName>
    <definedName name="INGETEAM" localSheetId="5">Tabla4[INGETEAM]</definedName>
    <definedName name="INGETEAM">Tabla4[INGETEAM]</definedName>
    <definedName name="INVERSORES" localSheetId="5">Tabla7[]</definedName>
    <definedName name="INVERSORES">Tabla7[]</definedName>
    <definedName name="JA_SOLAR" localSheetId="5">Tabla9[JA SOLAR]</definedName>
    <definedName name="JA_SOLAR">Tabla9[JA SOLAR]</definedName>
    <definedName name="MODULOS" localSheetId="5">Tabla15[]</definedName>
    <definedName name="MODULOS">Tabla15[]</definedName>
    <definedName name="SMA" localSheetId="5">Tabla3[SMA]</definedName>
    <definedName name="SMA">Tabla3[SMA]</definedName>
    <definedName name="SUNGROW" localSheetId="5">Tabla6[SUNGROW]</definedName>
    <definedName name="SUNGROW">Tabla6[SUNGROW]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6" l="1"/>
  <c r="F5" i="36"/>
  <c r="M16" i="29"/>
  <c r="M15" i="29"/>
  <c r="G10" i="26"/>
  <c r="H9" i="26"/>
  <c r="G9" i="26"/>
  <c r="G19" i="26" l="1"/>
  <c r="G17" i="26"/>
  <c r="B3" i="29" l="1"/>
  <c r="C11" i="26"/>
  <c r="C10" i="26"/>
  <c r="C12" i="26"/>
  <c r="L4" i="32"/>
  <c r="I4" i="32"/>
  <c r="T35" i="26"/>
  <c r="S35" i="26"/>
  <c r="T34" i="26"/>
  <c r="S34" i="26"/>
  <c r="T33" i="26"/>
  <c r="S33" i="26"/>
  <c r="T32" i="26"/>
  <c r="S32" i="26"/>
  <c r="T31" i="26"/>
  <c r="S31" i="26"/>
  <c r="T30" i="26"/>
  <c r="S30" i="26"/>
  <c r="T29" i="26"/>
  <c r="S29" i="26"/>
  <c r="T28" i="26"/>
  <c r="S28" i="26"/>
  <c r="T27" i="26"/>
  <c r="S27" i="26"/>
  <c r="T26" i="26"/>
  <c r="S26" i="26"/>
  <c r="T25" i="26"/>
  <c r="S25" i="26"/>
  <c r="F6" i="29" l="1"/>
  <c r="C9" i="26" l="1"/>
  <c r="C8" i="26"/>
  <c r="L11" i="26" s="1"/>
  <c r="C7" i="26"/>
  <c r="L7" i="26" l="1"/>
  <c r="L10" i="26"/>
  <c r="H5" i="29"/>
  <c r="L17" i="26"/>
  <c r="I5" i="29"/>
  <c r="L16" i="26"/>
  <c r="L14" i="26"/>
  <c r="D6" i="33"/>
  <c r="L13" i="26"/>
  <c r="O11" i="26" s="1"/>
  <c r="G8" i="26" l="1"/>
  <c r="L5" i="29"/>
  <c r="C4" i="32" l="1"/>
  <c r="X3" i="36"/>
  <c r="AE12" i="36"/>
  <c r="AD12" i="36"/>
  <c r="AB12" i="36"/>
  <c r="AE11" i="36"/>
  <c r="AD11" i="36"/>
  <c r="AB11" i="36"/>
  <c r="AC6" i="36"/>
  <c r="AA6" i="36"/>
  <c r="Y6" i="36"/>
  <c r="O6" i="36"/>
  <c r="L6" i="36"/>
  <c r="AC5" i="36"/>
  <c r="AA5" i="36"/>
  <c r="Y5" i="36"/>
  <c r="X5" i="36"/>
  <c r="L5" i="36"/>
  <c r="E5" i="36"/>
  <c r="Y3" i="36"/>
  <c r="C3" i="36"/>
  <c r="F4" i="32"/>
  <c r="G7" i="26"/>
  <c r="L6" i="26" l="1"/>
  <c r="J4" i="32"/>
  <c r="AB5" i="36"/>
  <c r="AB6" i="36"/>
  <c r="I6" i="36"/>
  <c r="T6" i="36" s="1"/>
  <c r="H5" i="36"/>
  <c r="I5" i="36"/>
  <c r="H6" i="36"/>
  <c r="G2" i="33"/>
  <c r="E5" i="29"/>
  <c r="N15" i="29"/>
  <c r="Y6" i="29"/>
  <c r="Y5" i="29"/>
  <c r="AC6" i="29"/>
  <c r="AC5" i="29"/>
  <c r="AA6" i="29"/>
  <c r="AA5" i="29"/>
  <c r="B2" i="33"/>
  <c r="L15" i="29"/>
  <c r="E4" i="32"/>
  <c r="B2" i="32"/>
  <c r="J6" i="36" l="1"/>
  <c r="M6" i="36"/>
  <c r="J5" i="36"/>
  <c r="M5" i="36"/>
  <c r="G4" i="32"/>
  <c r="N16" i="29" l="1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L16" i="29"/>
  <c r="AB6" i="29" s="1"/>
  <c r="L17" i="29"/>
  <c r="L18" i="29"/>
  <c r="L19" i="29"/>
  <c r="L20" i="29"/>
  <c r="L21" i="29"/>
  <c r="L22" i="29"/>
  <c r="L23" i="29"/>
  <c r="L24" i="29"/>
  <c r="L25" i="29"/>
  <c r="L26" i="29"/>
  <c r="L27" i="29"/>
  <c r="L28" i="29"/>
  <c r="L30" i="29"/>
  <c r="L31" i="29"/>
  <c r="L32" i="29"/>
  <c r="L33" i="29"/>
  <c r="L34" i="29"/>
  <c r="Q9" i="32" l="1"/>
  <c r="O17" i="29" l="1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15" i="29"/>
  <c r="O16" i="29" s="1"/>
  <c r="S23" i="29" l="1"/>
  <c r="S22" i="29"/>
  <c r="R23" i="29"/>
  <c r="R22" i="29"/>
  <c r="R21" i="29"/>
  <c r="S21" i="29"/>
  <c r="X5" i="29"/>
  <c r="X3" i="29"/>
  <c r="Y3" i="29"/>
  <c r="C3" i="29" l="1"/>
  <c r="AD26" i="27"/>
  <c r="O16" i="32" s="1"/>
  <c r="M5" i="29" l="1"/>
  <c r="Q4" i="32"/>
  <c r="M25" i="26"/>
  <c r="M24" i="26"/>
  <c r="M23" i="26"/>
  <c r="D25" i="26"/>
  <c r="E25" i="26"/>
  <c r="G25" i="26"/>
  <c r="G24" i="26"/>
  <c r="G23" i="26"/>
  <c r="O5" i="29" l="1"/>
  <c r="O5" i="36"/>
  <c r="T5" i="36" s="1"/>
  <c r="T5" i="29"/>
  <c r="E24" i="26"/>
  <c r="D24" i="26"/>
  <c r="E23" i="26"/>
  <c r="D23" i="26"/>
  <c r="K4" i="32" l="1"/>
  <c r="R4" i="32" s="1"/>
  <c r="J5" i="29"/>
  <c r="C6" i="33" l="1"/>
  <c r="E5" i="33"/>
  <c r="I5" i="33"/>
  <c r="H5" i="33"/>
  <c r="AB5" i="29"/>
  <c r="T26" i="27"/>
  <c r="J31" i="27"/>
  <c r="M4" i="32" l="1"/>
  <c r="N4" i="32" s="1"/>
  <c r="O4" i="32" s="1"/>
  <c r="P5" i="29"/>
  <c r="Q5" i="29" s="1"/>
  <c r="N5" i="29" s="1"/>
  <c r="P6" i="36"/>
  <c r="Q6" i="36" s="1"/>
  <c r="P5" i="36"/>
  <c r="Q5" i="36" s="1"/>
  <c r="D5" i="33" l="1"/>
  <c r="N6" i="36"/>
  <c r="U6" i="36" s="1"/>
  <c r="R6" i="36"/>
  <c r="N5" i="36"/>
  <c r="U5" i="36" s="1"/>
  <c r="R5" i="36"/>
  <c r="U5" i="29"/>
  <c r="C5" i="33" s="1"/>
  <c r="R5" i="29"/>
  <c r="E6" i="25"/>
  <c r="F6" i="25" s="1"/>
  <c r="E5" i="25"/>
  <c r="F5" i="25" s="1"/>
  <c r="F4" i="25"/>
  <c r="O7" i="23" l="1"/>
  <c r="G15" i="23" l="1"/>
  <c r="G13" i="23"/>
  <c r="G11" i="23"/>
  <c r="G10" i="23"/>
  <c r="G7" i="23"/>
  <c r="G6" i="23"/>
  <c r="G12" i="23" l="1"/>
  <c r="C15" i="24"/>
  <c r="D15" i="24" s="1"/>
  <c r="E15" i="24" s="1"/>
  <c r="F15" i="24" s="1"/>
  <c r="C13" i="24"/>
  <c r="D13" i="24" s="1"/>
  <c r="E13" i="24" s="1"/>
  <c r="F13" i="24" s="1"/>
  <c r="C12" i="24"/>
  <c r="D12" i="24" s="1"/>
  <c r="E12" i="24" s="1"/>
  <c r="F12" i="24" s="1"/>
  <c r="C11" i="24"/>
  <c r="D11" i="24" s="1"/>
  <c r="E11" i="24" s="1"/>
  <c r="F11" i="24" s="1"/>
  <c r="C10" i="24"/>
  <c r="D10" i="24" s="1"/>
  <c r="E10" i="24" s="1"/>
  <c r="F10" i="24" s="1"/>
  <c r="C7" i="24"/>
  <c r="D7" i="24" s="1"/>
  <c r="E7" i="24" s="1"/>
  <c r="F7" i="24" s="1"/>
  <c r="C6" i="24"/>
  <c r="D6" i="24" s="1"/>
  <c r="E6" i="24" s="1"/>
  <c r="F6" i="24" s="1"/>
  <c r="G14" i="23" l="1"/>
  <c r="C14" i="24"/>
  <c r="D14" i="24" s="1"/>
  <c r="E14" i="24" s="1"/>
  <c r="F14" i="24" s="1"/>
  <c r="C9" i="24" l="1"/>
  <c r="D9" i="24" s="1"/>
  <c r="E9" i="24" s="1"/>
  <c r="F9" i="24" s="1"/>
  <c r="G9" i="23"/>
  <c r="C8" i="24" l="1"/>
  <c r="D8" i="24" s="1"/>
  <c r="E8" i="24" s="1"/>
  <c r="F8" i="24" s="1"/>
  <c r="G8" i="23"/>
  <c r="C5" i="24" l="1"/>
  <c r="D5" i="24" s="1"/>
  <c r="E5" i="24" s="1"/>
  <c r="F5" i="24" s="1"/>
  <c r="G5" i="23"/>
  <c r="G16" i="23"/>
  <c r="G17" i="23" l="1"/>
  <c r="C16" i="24"/>
  <c r="D16" i="24" s="1"/>
  <c r="E16" i="24" s="1"/>
  <c r="F16" i="24" s="1"/>
  <c r="C17" i="24" l="1"/>
  <c r="D17" i="24" s="1"/>
  <c r="E17" i="24" s="1"/>
  <c r="F17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Alberto Arenas</author>
  </authors>
  <commentList>
    <comment ref="X8" authorId="0" shapeId="0" xr:uid="{C5D18BA7-C7B0-4EBB-A24A-672F879D15F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Potencia
</t>
        </r>
      </text>
    </comment>
    <comment ref="AD8" authorId="0" shapeId="0" xr:uid="{0CE245AE-0B1C-404E-9C6A-A432B6B73F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Potencina nominal
</t>
        </r>
      </text>
    </comment>
    <comment ref="AU8" authorId="0" shapeId="0" xr:uid="{007A2E05-7D22-4B69-9164-14FA9845C9D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Hospital</t>
        </r>
      </text>
    </comment>
    <comment ref="X9" authorId="0" shapeId="0" xr:uid="{C4032FE9-B6F9-46D3-8E82-09FEF2FD7319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Vmp</t>
        </r>
      </text>
    </comment>
    <comment ref="AD9" authorId="0" shapeId="0" xr:uid="{FBEC1D6A-92B8-4C22-AD5E-F88C0F412746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Tensión de salida</t>
        </r>
      </text>
    </comment>
    <comment ref="AU9" authorId="0" shapeId="0" xr:uid="{E9DB37AC-8BBE-4D09-8CA2-34E00B7FAF03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Oficina de mutua</t>
        </r>
      </text>
    </comment>
    <comment ref="X10" authorId="0" shapeId="0" xr:uid="{81EF934B-385D-4EDF-8253-D4799458AC76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Imp</t>
        </r>
      </text>
    </comment>
    <comment ref="AD10" authorId="0" shapeId="0" xr:uid="{A2961D35-523D-40C4-9E53-E817E0FCD42E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de salida</t>
        </r>
      </text>
    </comment>
    <comment ref="X11" authorId="0" shapeId="0" xr:uid="{B434D21F-27C4-4C42-96F0-C5305B517C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Icc</t>
        </r>
      </text>
    </comment>
    <comment ref="AD11" authorId="0" shapeId="0" xr:uid="{18421778-77E7-4A94-AC9E-8F315812623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de arranque</t>
        </r>
      </text>
    </comment>
    <comment ref="X12" authorId="0" shapeId="0" xr:uid="{B6E300C0-6576-4787-9351-6480A785DF4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Vca</t>
        </r>
      </text>
    </comment>
    <comment ref="AD12" authorId="0" shapeId="0" xr:uid="{BD91D522-1EEB-4A11-A976-747B7A379AA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Maxima tension soportada</t>
        </r>
      </text>
    </comment>
    <comment ref="X13" authorId="0" shapeId="0" xr:uid="{43FA8552-FF25-4F7B-A4C4-BB69C3BDF329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Eficiencia</t>
        </r>
      </text>
    </comment>
    <comment ref="AD13" authorId="0" shapeId="0" xr:uid="{09554651-7058-4159-BF53-EBBE260BF8E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maxima de entrada Isc</t>
        </r>
      </text>
    </comment>
    <comment ref="X14" authorId="0" shapeId="0" xr:uid="{5096A08F-69B5-4B78-B24E-9E3AC422A5C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Medidas</t>
        </r>
      </text>
    </comment>
    <comment ref="AD14" authorId="0" shapeId="0" xr:uid="{079846BE-773E-4712-8760-C840A4C04B10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minima de MPPT</t>
        </r>
      </text>
    </comment>
    <comment ref="X15" authorId="0" shapeId="0" xr:uid="{31B461D8-9B75-4984-B931-DB466893BAD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Peso</t>
        </r>
      </text>
    </comment>
    <comment ref="AD15" authorId="0" shapeId="0" xr:uid="{131D2E8B-E42A-4AAE-8924-E17C7DEE7862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Tension maxima MPPT</t>
        </r>
      </text>
    </comment>
    <comment ref="X16" authorId="0" shapeId="0" xr:uid="{F5F72F5E-20E9-48F6-ABCF-88517A02E7B5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Nº Celulas</t>
        </r>
      </text>
    </comment>
    <comment ref="AD16" authorId="0" shapeId="0" xr:uid="{AF2909C9-9778-49EA-B645-4D16A3E6199B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Intensidad max MPPT</t>
        </r>
      </text>
    </comment>
    <comment ref="X17" authorId="0" shapeId="0" xr:uid="{F467E05A-6DCF-4A7A-9A38-08A2A6A2365A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Tipo</t>
        </r>
      </text>
    </comment>
    <comment ref="AD17" authorId="0" shapeId="0" xr:uid="{ACCE5F7D-9A02-4FAF-ACFD-942999FC8B85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Rendimiento</t>
        </r>
      </text>
    </comment>
    <comment ref="X18" authorId="0" shapeId="0" xr:uid="{798C0338-EF7C-47C4-953C-0403FDC0E97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TaTONC</t>
        </r>
      </text>
    </comment>
    <comment ref="X19" authorId="0" shapeId="0" xr:uid="{A60F44BF-152E-46DD-9702-33C25B41B200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Tª /Salida de potencia</t>
        </r>
      </text>
    </comment>
    <comment ref="X20" authorId="0" shapeId="0" xr:uid="{31A1CBB6-BDB8-4CD9-BBC7-39EE68A9A28F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Tª /tensión de vacío</t>
        </r>
      </text>
    </comment>
    <comment ref="X21" authorId="0" shapeId="0" xr:uid="{9575431F-CF70-4AE6-A918-F20837F8419D}">
      <text>
        <r>
          <rPr>
            <b/>
            <sz val="9"/>
            <color indexed="81"/>
            <rFont val="Tahoma"/>
            <family val="2"/>
          </rPr>
          <t>Alberto Arenas:</t>
        </r>
        <r>
          <rPr>
            <sz val="9"/>
            <color indexed="81"/>
            <rFont val="Tahoma"/>
            <family val="2"/>
          </rPr>
          <t xml:space="preserve">
Tolerancia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G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20ºC para cables enterrados
40ºC para cables al aire libtre</t>
        </r>
      </text>
    </comment>
    <comment ref="B5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Cobre o Aluminio
</t>
        </r>
      </text>
    </comment>
    <comment ref="E5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Enterrado
Aire</t>
        </r>
      </text>
    </comment>
    <comment ref="F5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20ºC para cables enterrados
40ºC para cables al aire libtre</t>
        </r>
      </text>
    </comment>
  </commentList>
</comments>
</file>

<file path=xl/sharedStrings.xml><?xml version="1.0" encoding="utf-8"?>
<sst xmlns="http://schemas.openxmlformats.org/spreadsheetml/2006/main" count="773" uniqueCount="402">
  <si>
    <t>Descripción Línea</t>
  </si>
  <si>
    <t>Fases</t>
  </si>
  <si>
    <t>Tensión [V]</t>
  </si>
  <si>
    <t>Intensidad [A]</t>
  </si>
  <si>
    <t>Potencia [kW]</t>
  </si>
  <si>
    <t>Metros</t>
  </si>
  <si>
    <t>Cdt [V]</t>
  </si>
  <si>
    <t>Sección mínima [mm2]</t>
  </si>
  <si>
    <t>Generador diesel a Victron</t>
  </si>
  <si>
    <t>L1 + N</t>
  </si>
  <si>
    <t>&lt; 1%</t>
  </si>
  <si>
    <t>L2 + N</t>
  </si>
  <si>
    <t>L3 + N</t>
  </si>
  <si>
    <t>Protección de línea:</t>
  </si>
  <si>
    <t>Mágneto:</t>
  </si>
  <si>
    <r>
      <t xml:space="preserve">Magneto </t>
    </r>
    <r>
      <rPr>
        <sz val="11"/>
        <color rgb="FFFF0000"/>
        <rFont val="Calibri"/>
        <family val="2"/>
        <scheme val="minor"/>
      </rPr>
      <t>2P</t>
    </r>
    <r>
      <rPr>
        <sz val="11"/>
        <color theme="1"/>
        <rFont val="Calibri"/>
        <family val="2"/>
        <scheme val="minor"/>
      </rPr>
      <t xml:space="preserve"> 40A</t>
    </r>
  </si>
  <si>
    <t>Diferencial:</t>
  </si>
  <si>
    <r>
      <t>Diferencial 40A - 300mA -</t>
    </r>
    <r>
      <rPr>
        <sz val="11"/>
        <color rgb="FFFF0000"/>
        <rFont val="Calibri"/>
        <family val="2"/>
        <scheme val="minor"/>
      </rPr>
      <t>2P</t>
    </r>
  </si>
  <si>
    <t>Cdt</t>
  </si>
  <si>
    <t>Sección [mm2]</t>
  </si>
  <si>
    <t>Victron a Cuadro General</t>
  </si>
  <si>
    <t>Inversor a cuadro</t>
  </si>
  <si>
    <t>L1+L2+L3+N</t>
  </si>
  <si>
    <r>
      <t>Magneto</t>
    </r>
    <r>
      <rPr>
        <sz val="11"/>
        <color rgb="FFFF0000"/>
        <rFont val="Calibri"/>
        <family val="2"/>
        <scheme val="minor"/>
      </rPr>
      <t xml:space="preserve"> 4P</t>
    </r>
    <r>
      <rPr>
        <sz val="11"/>
        <color theme="1"/>
        <rFont val="Calibri"/>
        <family val="2"/>
        <scheme val="minor"/>
      </rPr>
      <t xml:space="preserve"> 40A</t>
    </r>
  </si>
  <si>
    <r>
      <t>Diferencial 40A - 300mA -</t>
    </r>
    <r>
      <rPr>
        <sz val="11"/>
        <color rgb="FFFF0000"/>
        <rFont val="Calibri"/>
        <family val="2"/>
        <scheme val="minor"/>
      </rPr>
      <t>4P</t>
    </r>
  </si>
  <si>
    <t>NOMBRE DEL PROYECTO:</t>
  </si>
  <si>
    <t>DATOS MÓDULO SOLAR</t>
  </si>
  <si>
    <t>DATOS INVERSOR TIPO 1</t>
  </si>
  <si>
    <t>RESUMEN DE LA INSTALACIÓN</t>
  </si>
  <si>
    <t>Fabricante:</t>
  </si>
  <si>
    <t>JA_SOLAR</t>
  </si>
  <si>
    <t>HUAWEI</t>
  </si>
  <si>
    <t>Número de módulos:</t>
  </si>
  <si>
    <t>Modelo:</t>
  </si>
  <si>
    <t>JAM66S30 500/MR</t>
  </si>
  <si>
    <t>SUN2000 4KTL-L1</t>
  </si>
  <si>
    <t>POTENCIA NOMINAL:</t>
  </si>
  <si>
    <t>Potencia =</t>
  </si>
  <si>
    <t>Wp</t>
  </si>
  <si>
    <t>Pn =</t>
  </si>
  <si>
    <t>kW</t>
  </si>
  <si>
    <t>POTENCIA PICO:</t>
  </si>
  <si>
    <t>Vmp =</t>
  </si>
  <si>
    <t>V</t>
  </si>
  <si>
    <t>Vo =</t>
  </si>
  <si>
    <t>Vo</t>
  </si>
  <si>
    <t>A</t>
  </si>
  <si>
    <t>Vmin/max =</t>
  </si>
  <si>
    <t>Diseño Instalación</t>
  </si>
  <si>
    <t>Comprobación Tensión Máxima</t>
  </si>
  <si>
    <t>Imp</t>
  </si>
  <si>
    <t>Io =</t>
  </si>
  <si>
    <t>Nº máximo de Módulos / String</t>
  </si>
  <si>
    <t>Salto de Temp:</t>
  </si>
  <si>
    <t>Isc =</t>
  </si>
  <si>
    <t>Número de inversores</t>
  </si>
  <si>
    <t>Nº MIN Módulos / String</t>
  </si>
  <si>
    <t>Tensión Máx:</t>
  </si>
  <si>
    <t>β (% / °C)</t>
  </si>
  <si>
    <t>Nº módulos / String 1</t>
  </si>
  <si>
    <t>DATOS INVERSOR TIPO 2</t>
  </si>
  <si>
    <t>Tensión (V0) / String 1</t>
  </si>
  <si>
    <t>Potencia / String 1</t>
  </si>
  <si>
    <t>Nº módulos / String 2</t>
  </si>
  <si>
    <t>Tensión (V0) / String 2</t>
  </si>
  <si>
    <t>Potencia / String 2</t>
  </si>
  <si>
    <t>TIPO DE CONDUCTOR</t>
  </si>
  <si>
    <t>CABLEADO DE CC</t>
  </si>
  <si>
    <t>CABLEADO DE AC</t>
  </si>
  <si>
    <t>Circuito</t>
  </si>
  <si>
    <t>Conductor</t>
  </si>
  <si>
    <t>ρ(20)</t>
  </si>
  <si>
    <t>α</t>
  </si>
  <si>
    <t>Canalización</t>
  </si>
  <si>
    <t>To(ºC)</t>
  </si>
  <si>
    <t>Definición</t>
  </si>
  <si>
    <t>Tipo</t>
  </si>
  <si>
    <t>S(mm2)</t>
  </si>
  <si>
    <t>Iz (A)</t>
  </si>
  <si>
    <t>Iz (A) INVERSOR</t>
  </si>
  <si>
    <t>Iz (A) AGRUPACIÓN</t>
  </si>
  <si>
    <t>CC</t>
  </si>
  <si>
    <t>Cobre</t>
  </si>
  <si>
    <t>Tubo</t>
  </si>
  <si>
    <t>Cableado de 4mm</t>
  </si>
  <si>
    <t>2(1x4)</t>
  </si>
  <si>
    <t>Cableado de 10mm</t>
  </si>
  <si>
    <t>2x4+TTx4</t>
  </si>
  <si>
    <t>-</t>
  </si>
  <si>
    <t>CA Inversor-CGBT</t>
  </si>
  <si>
    <t>Cableado de 6mm</t>
  </si>
  <si>
    <t>2(1x6)</t>
  </si>
  <si>
    <t>Cableado de 16mm</t>
  </si>
  <si>
    <t>2x6+TTx6</t>
  </si>
  <si>
    <t>Rejiband</t>
  </si>
  <si>
    <t>2(1x10)</t>
  </si>
  <si>
    <t>2x10+TTx10</t>
  </si>
  <si>
    <t>2x16+TTx16</t>
  </si>
  <si>
    <t>Intensidad máx. admisible al aire 60ºC (A)</t>
  </si>
  <si>
    <t>Cableado de 25mm</t>
  </si>
  <si>
    <t>2x25+TTx16</t>
  </si>
  <si>
    <t>Cableado de 35mm</t>
  </si>
  <si>
    <t>4x35+TTx16</t>
  </si>
  <si>
    <t>Cableado de 50mm</t>
  </si>
  <si>
    <t>4x50+TTx25</t>
  </si>
  <si>
    <t>Cableado de 70mm</t>
  </si>
  <si>
    <t>4x70+TTx35</t>
  </si>
  <si>
    <t>Cableado de 95mm</t>
  </si>
  <si>
    <t>4x95+TTx50</t>
  </si>
  <si>
    <t>Cableado de 120mm</t>
  </si>
  <si>
    <t>4x120+TTx70</t>
  </si>
  <si>
    <t>Cableado de 150mm</t>
  </si>
  <si>
    <t>4x150+TTx95</t>
  </si>
  <si>
    <t>Cableado de 185mm</t>
  </si>
  <si>
    <t>4x185+TTx95</t>
  </si>
  <si>
    <t>Cableado de 240mm</t>
  </si>
  <si>
    <t>4x240+TTx120</t>
  </si>
  <si>
    <t xml:space="preserve">Características </t>
  </si>
  <si>
    <t>1 módulo</t>
  </si>
  <si>
    <t>Cadena de 21 módulos</t>
  </si>
  <si>
    <t>Tensión PMP a STC (V)</t>
  </si>
  <si>
    <t>Tensión PMP a 60 ºC (V)</t>
  </si>
  <si>
    <t>Tensión Voc a -10 ºC (V)</t>
  </si>
  <si>
    <t>PARA PLANOS</t>
  </si>
  <si>
    <t>String</t>
  </si>
  <si>
    <t>MPPT</t>
  </si>
  <si>
    <t>Nº de Módulos</t>
  </si>
  <si>
    <t>Longitud (m)</t>
  </si>
  <si>
    <t>Tensión (V)</t>
  </si>
  <si>
    <t>Ib  (A)</t>
  </si>
  <si>
    <t>Ib*1,25 (A)</t>
  </si>
  <si>
    <t>Seccion cable (mm²)</t>
  </si>
  <si>
    <t>Cable seleccionado</t>
  </si>
  <si>
    <t>Potencia (W)</t>
  </si>
  <si>
    <t>ρ</t>
  </si>
  <si>
    <t>fc</t>
  </si>
  <si>
    <t>Iz* (A)</t>
  </si>
  <si>
    <t>Ib ≤ Iz*</t>
  </si>
  <si>
    <t>In(A)</t>
  </si>
  <si>
    <t>Ib ≤ In ≤ Iz</t>
  </si>
  <si>
    <t>Cdt (%)</t>
  </si>
  <si>
    <t>INVERSOR 1</t>
  </si>
  <si>
    <t>CONTEO DE CABLEADO</t>
  </si>
  <si>
    <t>Bajada</t>
  </si>
  <si>
    <t>+</t>
  </si>
  <si>
    <t>En cubierta</t>
  </si>
  <si>
    <t>Total</t>
  </si>
  <si>
    <t>Secc.Calculo</t>
  </si>
  <si>
    <t>Hasta Inv</t>
  </si>
  <si>
    <t>String 1</t>
  </si>
  <si>
    <t>String 2</t>
  </si>
  <si>
    <t>String 3</t>
  </si>
  <si>
    <t>String 4</t>
  </si>
  <si>
    <t>CONTEO TOTAL</t>
  </si>
  <si>
    <t>String 5</t>
  </si>
  <si>
    <t>String 6</t>
  </si>
  <si>
    <t>S (mm2)</t>
  </si>
  <si>
    <t>String 7</t>
  </si>
  <si>
    <t>String 8</t>
  </si>
  <si>
    <t>String 9</t>
  </si>
  <si>
    <t>String 10</t>
  </si>
  <si>
    <t>String 11</t>
  </si>
  <si>
    <t>String 12</t>
  </si>
  <si>
    <t>String 13</t>
  </si>
  <si>
    <t>String 14</t>
  </si>
  <si>
    <t>String 15</t>
  </si>
  <si>
    <t>String 16</t>
  </si>
  <si>
    <t>String 17</t>
  </si>
  <si>
    <t>String 18</t>
  </si>
  <si>
    <t>String 19</t>
  </si>
  <si>
    <t>String 20</t>
  </si>
  <si>
    <t>INVERSOR 2</t>
  </si>
  <si>
    <t>1.1</t>
  </si>
  <si>
    <t>1.2</t>
  </si>
  <si>
    <t>Línea</t>
  </si>
  <si>
    <t>Ib (A)</t>
  </si>
  <si>
    <t>Ib*  (A)</t>
  </si>
  <si>
    <t>Sección (mm2)</t>
  </si>
  <si>
    <t>Potencia (kW)</t>
  </si>
  <si>
    <t>Iz*(A)</t>
  </si>
  <si>
    <t xml:space="preserve">Ib* ≤ Iz* </t>
  </si>
  <si>
    <t>In (A)</t>
  </si>
  <si>
    <t>Ib ≤ In ≤ Iz*</t>
  </si>
  <si>
    <t>INVERSOR 1 - CGBT</t>
  </si>
  <si>
    <t>CAIDAS DE TENSIÓN MÁXIMAS</t>
  </si>
  <si>
    <t>LÍNEA CC 1</t>
  </si>
  <si>
    <t>LÍNEA CC 2</t>
  </si>
  <si>
    <t>LÍNEA CA</t>
  </si>
  <si>
    <t>LÍNEA CC</t>
  </si>
  <si>
    <t>%Cdt CC</t>
  </si>
  <si>
    <t>CdT (%)</t>
  </si>
  <si>
    <t>%Cdt CA</t>
  </si>
  <si>
    <t>Circuito de CC</t>
  </si>
  <si>
    <t xml:space="preserve">Circuito CA </t>
  </si>
  <si>
    <t>Circuito AGRUPACIÓN</t>
  </si>
  <si>
    <t>Temperatura</t>
  </si>
  <si>
    <t>Disposición</t>
  </si>
  <si>
    <t xml:space="preserve">CAMBIAR CUANDO SEA SUBTERRÁNEO </t>
  </si>
  <si>
    <t>Capas de circuito</t>
  </si>
  <si>
    <t>FACTORES DE CORRECCIÓN PARA CABLEADO ENTERRADO D1 Y D2 SEGÚN LA TABLA B.52.1</t>
  </si>
  <si>
    <t xml:space="preserve">DISPOSICIONES DE CABLEADO </t>
  </si>
  <si>
    <t>INTENSIDADES ADMISIBLES EN FUNCIÓN DE LA DISPOSICIÓN DEL CABLEADO SEGÚN TABLA B.52.1</t>
  </si>
  <si>
    <t>CASOS MONTAJE NO SUBTERRÁNEO A 40ºC</t>
  </si>
  <si>
    <t>CONDUCTORES ENTERRADOS A 25ºC TEMPERATURA DEL TERRENO</t>
  </si>
  <si>
    <t>FUSIBLES</t>
  </si>
  <si>
    <t>RELÉ DIFERENCIAL</t>
  </si>
  <si>
    <t xml:space="preserve">LOCAL DE PÚBLICA CONCURRENCIA: </t>
  </si>
  <si>
    <t>mA</t>
  </si>
  <si>
    <t>LOCAL INDUSTRIAL:</t>
  </si>
  <si>
    <t>FABRICANTES_INV</t>
  </si>
  <si>
    <t>SMA</t>
  </si>
  <si>
    <t>INGETEAM</t>
  </si>
  <si>
    <t>SUNGROW</t>
  </si>
  <si>
    <t>FABRICANTES_MOD</t>
  </si>
  <si>
    <t>JA SOLAR</t>
  </si>
  <si>
    <t>GCL</t>
  </si>
  <si>
    <t>AMERISOLAR</t>
  </si>
  <si>
    <t>CANADIAN</t>
  </si>
  <si>
    <t>TALESUN</t>
  </si>
  <si>
    <t>TRINA SOLAR</t>
  </si>
  <si>
    <t>SUN2000 60KTL-M0</t>
  </si>
  <si>
    <t>SUNNY TRIPOWER CORE 1</t>
  </si>
  <si>
    <t>INGECON SUN 3PLAY 40TL-M</t>
  </si>
  <si>
    <t>SG110KTL-M</t>
  </si>
  <si>
    <t>JAM72S20 450/MR</t>
  </si>
  <si>
    <t>TSM-DE17M 455</t>
  </si>
  <si>
    <t>SUN2000 185KTL-H1</t>
  </si>
  <si>
    <t>SUNNY TRIPOWER CORE 2</t>
  </si>
  <si>
    <t>INGECON SUN  3PLAY 100TL</t>
  </si>
  <si>
    <t>JAM72S20 455/MR</t>
  </si>
  <si>
    <t>SUN2000 20KTL-M0</t>
  </si>
  <si>
    <t>SUNNY TRIPOWER 15000TL</t>
  </si>
  <si>
    <t>INGECON SUN 3PLAY 20TL-M</t>
  </si>
  <si>
    <t>JAM72S20 460/MR</t>
  </si>
  <si>
    <t>SUN2000 20KTL-M2</t>
  </si>
  <si>
    <t>SUNNY TRIPOWER 25000TL</t>
  </si>
  <si>
    <t>INGECON SUN 3PLAY 33TL-M</t>
  </si>
  <si>
    <t>PS455M4-24/TH</t>
  </si>
  <si>
    <t>KOSTAL</t>
  </si>
  <si>
    <t>SUN2000 36KTL</t>
  </si>
  <si>
    <t>SUNNY HIGH PEAK 100-20</t>
  </si>
  <si>
    <t>INGECON SUN 3PLAY 20TL</t>
  </si>
  <si>
    <t>ENPHASE</t>
  </si>
  <si>
    <t>SUN2000 33KTL-A</t>
  </si>
  <si>
    <t>SUNNY HIGH PEAK 150-20</t>
  </si>
  <si>
    <t>INGECON SUN 3PLAY 33TL</t>
  </si>
  <si>
    <t>SUN2000 100KTL-M1</t>
  </si>
  <si>
    <t>SUNNY TRIPOWER 20000TL</t>
  </si>
  <si>
    <t>PHONO SOLAR</t>
  </si>
  <si>
    <t>SUN2000 10KTL-M0</t>
  </si>
  <si>
    <t>SOLARDAY</t>
  </si>
  <si>
    <t>SUNPOWER</t>
  </si>
  <si>
    <t>SUN2000 2KTL-L1</t>
  </si>
  <si>
    <t>FuturaSun</t>
  </si>
  <si>
    <t>SUN2000 5KTL-L1</t>
  </si>
  <si>
    <t>SUN2000 3KTL-M2</t>
  </si>
  <si>
    <t>INVERSOR</t>
  </si>
  <si>
    <t>PO</t>
  </si>
  <si>
    <t>VO</t>
  </si>
  <si>
    <t>IO</t>
  </si>
  <si>
    <t>Tensión Arranque</t>
  </si>
  <si>
    <t>Tensión Máxima</t>
  </si>
  <si>
    <t>I Max Entrada Isc</t>
  </si>
  <si>
    <t>MÓDULOS</t>
  </si>
  <si>
    <t>P (Wp)</t>
  </si>
  <si>
    <t>Vmp</t>
  </si>
  <si>
    <r>
      <t>β</t>
    </r>
    <r>
      <rPr>
        <sz val="9.9"/>
        <color theme="1"/>
        <rFont val="Calibri"/>
        <family val="2"/>
      </rPr>
      <t xml:space="preserve"> (% / °C)</t>
    </r>
  </si>
  <si>
    <t>Isc</t>
  </si>
  <si>
    <t>PS460M4-24/TH</t>
  </si>
  <si>
    <t>JAM72S20 545/MR</t>
  </si>
  <si>
    <t>SUN2000 3,68KTL-M1</t>
  </si>
  <si>
    <t>MPSHC144 450</t>
  </si>
  <si>
    <t>MPSHC144 455</t>
  </si>
  <si>
    <t>SP-P6-410-BLK</t>
  </si>
  <si>
    <t>FU-420_ZEBRA_Pro-ALL_BLACK</t>
  </si>
  <si>
    <t>SUN2000 3KTL-M1</t>
  </si>
  <si>
    <t>SUN2000 8KTL-M1</t>
  </si>
  <si>
    <t>SUN2000-50KTL-M3</t>
  </si>
  <si>
    <t>KOSTAL PIKO MP PLUS 3.6-2 INT</t>
  </si>
  <si>
    <t>Kostal PIKO MP PLUS 2.0-1 INT</t>
  </si>
  <si>
    <t>SUNNY TRIPOWER 6.0</t>
  </si>
  <si>
    <t>SUNNY TRIPOWER 8.0</t>
  </si>
  <si>
    <t>KOSTAL PICO MP PLUS 4.6-2</t>
  </si>
  <si>
    <t>KOSTAL PIKO MP PLUS 3.6-1 INT</t>
  </si>
  <si>
    <t>KOSTAL PIKO MP PLUS 3.0</t>
  </si>
  <si>
    <t>IQ7A-72-2-INT</t>
  </si>
  <si>
    <t>KOSTAL PIKO MP PLUS 5.0-2</t>
  </si>
  <si>
    <t>SUN2000 6KTL-L1</t>
  </si>
  <si>
    <t>CALCULO ELECTRICO</t>
  </si>
  <si>
    <t>EQUIPO</t>
  </si>
  <si>
    <t>Inversor 12 KW</t>
  </si>
  <si>
    <t>ND</t>
  </si>
  <si>
    <t>LINEA</t>
  </si>
  <si>
    <t>1 String</t>
  </si>
  <si>
    <t>INVERSORES - CONTADOR</t>
  </si>
  <si>
    <t>TIPO</t>
  </si>
  <si>
    <t>Continua</t>
  </si>
  <si>
    <t>Alterna Trifasica 400 V</t>
  </si>
  <si>
    <t>POTENCIA</t>
  </si>
  <si>
    <t>W</t>
  </si>
  <si>
    <t>LONG.</t>
  </si>
  <si>
    <t>m</t>
  </si>
  <si>
    <t>γ</t>
  </si>
  <si>
    <t xml:space="preserve"> [m/Ωmm2]</t>
  </si>
  <si>
    <t>e</t>
  </si>
  <si>
    <t>U</t>
  </si>
  <si>
    <t>Mod. Serie</t>
  </si>
  <si>
    <t>Vmax</t>
  </si>
  <si>
    <t>Icalc</t>
  </si>
  <si>
    <t>Seccion</t>
  </si>
  <si>
    <t>mm2</t>
  </si>
  <si>
    <t>c.d.t</t>
  </si>
  <si>
    <t>%</t>
  </si>
  <si>
    <t>Inversor INGECOM 20kW</t>
  </si>
  <si>
    <t>5 String</t>
  </si>
  <si>
    <t>6 String</t>
  </si>
  <si>
    <t>7 String</t>
  </si>
  <si>
    <t>8 String</t>
  </si>
  <si>
    <t>9 String</t>
  </si>
  <si>
    <t>10 String</t>
  </si>
  <si>
    <t>11 String</t>
  </si>
  <si>
    <t>Variador 20 Kw</t>
  </si>
  <si>
    <t>2 String</t>
  </si>
  <si>
    <t>3 String</t>
  </si>
  <si>
    <t>4 String</t>
  </si>
  <si>
    <t>CONTADOR - CGT</t>
  </si>
  <si>
    <t>SUN2000 15KTL-M5</t>
  </si>
  <si>
    <t>SUN2000-6KTL-M1</t>
  </si>
  <si>
    <t>CRUZ ROJA (MOTRIL)</t>
  </si>
  <si>
    <t>DATOS GENERALES INCLUIDOS EN VARIOS DOCUMENTOS</t>
  </si>
  <si>
    <t>DATOS EXCLUSIVOS DE MEMORIA</t>
  </si>
  <si>
    <t>DATOS EXCLUSIVOS DEL ANEXO I ESTUDIO BÁSICO DE SEGURIDAD Y SALUD</t>
  </si>
  <si>
    <t>DATOS EXCLUSIVOS DEL ANEXO II ESTUDIO DE GENERACIÓN DE RESIDUOS</t>
  </si>
  <si>
    <t>FECHA</t>
  </si>
  <si>
    <t>DATOS CLIENTE</t>
  </si>
  <si>
    <t>DATOS UBICACIÓN</t>
  </si>
  <si>
    <t>INSTALACIÓN</t>
  </si>
  <si>
    <t>PANELES</t>
  </si>
  <si>
    <t>PROTECCIONES</t>
  </si>
  <si>
    <t>ESTRUCTURA</t>
  </si>
  <si>
    <t>CUBIERTA</t>
  </si>
  <si>
    <t>HOSPITAL O CENTRO DE SALUD</t>
  </si>
  <si>
    <t>PLANTA DE RECICLAJE</t>
  </si>
  <si>
    <t>MES</t>
  </si>
  <si>
    <t>AÑO</t>
  </si>
  <si>
    <t>PROMOTOR</t>
  </si>
  <si>
    <t>DNI</t>
  </si>
  <si>
    <t>DIRECCIÓN</t>
  </si>
  <si>
    <t>CODIGO POSTAL</t>
  </si>
  <si>
    <t>CIUDAD</t>
  </si>
  <si>
    <t>PROVINCIA</t>
  </si>
  <si>
    <t>REF. CATASTRAL</t>
  </si>
  <si>
    <t>SUPERFICIE</t>
  </si>
  <si>
    <t>COORDENADA X UTM30</t>
  </si>
  <si>
    <t>COORDENADA Y UTM30</t>
  </si>
  <si>
    <t>C. GEOGRÁFICA LATITUD</t>
  </si>
  <si>
    <t>C.GEOFRAFICAS LONGITUD</t>
  </si>
  <si>
    <t>INCLINACIÓN</t>
  </si>
  <si>
    <t>ACIMUT</t>
  </si>
  <si>
    <t>POTENCIA NOMINAL</t>
  </si>
  <si>
    <t>MARCA MÓDULOS</t>
  </si>
  <si>
    <t>MODELO MÓDULOS</t>
  </si>
  <si>
    <t>Nº CADENAS</t>
  </si>
  <si>
    <t>POTENCIA MÓDULO</t>
  </si>
  <si>
    <t>MARCA INVERSOR</t>
  </si>
  <si>
    <t>MODELO INVERSOR</t>
  </si>
  <si>
    <t>VATÍMETRO</t>
  </si>
  <si>
    <t>CORRIENTE MÁXIMA STRING</t>
  </si>
  <si>
    <t>I. AUTOMÁTICO</t>
  </si>
  <si>
    <t>I. DIFERENCIAL</t>
  </si>
  <si>
    <t>TIPO DE ESTRUCTURA</t>
  </si>
  <si>
    <t>DEFINICIÓN ESTRUCTURA</t>
  </si>
  <si>
    <t>MEDIDAS COLECTIVAS</t>
  </si>
  <si>
    <t>ACCESIBILIDAD</t>
  </si>
  <si>
    <t>MATERIAL CUBIERTA</t>
  </si>
  <si>
    <t>HOSPITAL</t>
  </si>
  <si>
    <t>DIRECCIÓN HOSPITAL</t>
  </si>
  <si>
    <t>CP HOSPITAL</t>
  </si>
  <si>
    <t>MUNICIPIO HOSPITAL</t>
  </si>
  <si>
    <t>PROVINCIA HOSPITAL</t>
  </si>
  <si>
    <t>TELÉFONO HOSPITAL</t>
  </si>
  <si>
    <t>DIRECCIÓN PLANTA</t>
  </si>
  <si>
    <t>CP PLANTA</t>
  </si>
  <si>
    <t>MUNICIPIO PLANTA</t>
  </si>
  <si>
    <t>PROVINCIA PLANTA</t>
  </si>
  <si>
    <t>TELÉFONO PLANTA</t>
  </si>
  <si>
    <t>POTENCIA PICO</t>
  </si>
  <si>
    <t>COORDENADAS DEL PUNTO DE CONEXIÓN</t>
  </si>
  <si>
    <t>Nº DE MÓDULOS EN TOTAL</t>
  </si>
  <si>
    <t>Nº DE MÓDULOS POR CADENA</t>
  </si>
  <si>
    <t>FUSIBLE</t>
  </si>
  <si>
    <t>NUMERO DE INVERSORES</t>
  </si>
  <si>
    <t>POTENCIA UNITARIA DE CADA INVERSOR</t>
  </si>
  <si>
    <t>JUSTIFICACION DE LA ESTRUCTURA</t>
  </si>
  <si>
    <t>PRESPUESTO</t>
  </si>
  <si>
    <t>PRESPUESTO SyS</t>
  </si>
  <si>
    <t>NOMBRE PLANTA DE RECICLAJE</t>
  </si>
  <si>
    <t>NIMA PLANTA</t>
  </si>
  <si>
    <t>AUTORIZACION PLANTA</t>
  </si>
  <si>
    <t>X</t>
  </si>
  <si>
    <t>Y</t>
  </si>
  <si>
    <t>PLAZO DE EJECUCION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</si>
</sst>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0.0"/>
    <numFmt numFmtId="166" formatCode="_-* #,##0.000\ _€_-;\-* #,##0.000\ _€_-;_-* &quot;-&quot;??\ _€_-;_-@_-"/>
    <numFmt numFmtId="167" formatCode="#,##0_ ;\-#,##0\ "/>
    <numFmt numFmtId="168" formatCode="#,##0.00_ ;\-#,##0.00\ "/>
    <numFmt numFmtId="169" formatCode="#,##0.0_ ;\-#,##0.0\ 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b/>
      <i/>
      <sz val="8"/>
      <color theme="1"/>
      <name val="Arial Unicode MS"/>
      <family val="2"/>
    </font>
    <font>
      <b/>
      <sz val="10"/>
      <color theme="1"/>
      <name val="Segoe UI"/>
      <family val="2"/>
    </font>
    <font>
      <b/>
      <sz val="10"/>
      <color rgb="FFFFFFFF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Arial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0" tint="-0.1499374370555742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E8D3E"/>
        <bgColor indexed="64"/>
      </patternFill>
    </fill>
    <fill>
      <patternFill patternType="solid">
        <fgColor rgb="FFF5E7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E8D3E"/>
      </left>
      <right/>
      <top style="medium">
        <color rgb="FFCE8D3E"/>
      </top>
      <bottom style="medium">
        <color rgb="FFCE8D3E"/>
      </bottom>
      <diagonal/>
    </border>
    <border>
      <left/>
      <right/>
      <top style="medium">
        <color rgb="FFCE8D3E"/>
      </top>
      <bottom style="medium">
        <color rgb="FFCE8D3E"/>
      </bottom>
      <diagonal/>
    </border>
    <border>
      <left/>
      <right style="medium">
        <color rgb="FFCE8D3E"/>
      </right>
      <top style="medium">
        <color rgb="FFCE8D3E"/>
      </top>
      <bottom style="medium">
        <color rgb="FFCE8D3E"/>
      </bottom>
      <diagonal/>
    </border>
    <border>
      <left style="medium">
        <color rgb="FFE1BA8B"/>
      </left>
      <right style="medium">
        <color rgb="FFE1BA8B"/>
      </right>
      <top/>
      <bottom style="medium">
        <color rgb="FFE1BA8B"/>
      </bottom>
      <diagonal/>
    </border>
    <border>
      <left/>
      <right style="medium">
        <color rgb="FFE1BA8B"/>
      </right>
      <top/>
      <bottom style="medium">
        <color rgb="FFE1BA8B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0">
    <xf numFmtId="0" fontId="0" fillId="0" borderId="0" xfId="0"/>
    <xf numFmtId="0" fontId="1" fillId="2" borderId="1" xfId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4" fillId="4" borderId="0" xfId="3"/>
    <xf numFmtId="0" fontId="4" fillId="4" borderId="0" xfId="3" applyAlignment="1">
      <alignment horizontal="center" vertical="center"/>
    </xf>
    <xf numFmtId="0" fontId="6" fillId="0" borderId="0" xfId="0" applyFont="1"/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7" fillId="6" borderId="8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/>
    <xf numFmtId="0" fontId="7" fillId="6" borderId="23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6" fillId="0" borderId="19" xfId="0" applyFont="1" applyBorder="1"/>
    <xf numFmtId="2" fontId="6" fillId="0" borderId="19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0" fontId="7" fillId="6" borderId="16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6" fillId="0" borderId="22" xfId="4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8" fillId="6" borderId="28" xfId="0" applyFont="1" applyFill="1" applyBorder="1" applyAlignment="1">
      <alignment horizontal="center" vertical="center"/>
    </xf>
    <xf numFmtId="10" fontId="0" fillId="0" borderId="2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0" fontId="6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2" fontId="0" fillId="0" borderId="0" xfId="0" applyNumberFormat="1"/>
    <xf numFmtId="0" fontId="10" fillId="10" borderId="39" xfId="0" applyFont="1" applyFill="1" applyBorder="1" applyAlignment="1">
      <alignment horizontal="justify" vertical="center" wrapText="1"/>
    </xf>
    <xf numFmtId="0" fontId="10" fillId="10" borderId="40" xfId="0" applyFont="1" applyFill="1" applyBorder="1" applyAlignment="1">
      <alignment horizontal="justify" vertical="center" wrapText="1"/>
    </xf>
    <xf numFmtId="0" fontId="10" fillId="10" borderId="41" xfId="0" applyFont="1" applyFill="1" applyBorder="1" applyAlignment="1">
      <alignment horizontal="justify" vertical="center" wrapText="1"/>
    </xf>
    <xf numFmtId="0" fontId="11" fillId="11" borderId="42" xfId="0" applyFont="1" applyFill="1" applyBorder="1" applyAlignment="1">
      <alignment horizontal="justify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justify" vertical="center" wrapText="1"/>
    </xf>
    <xf numFmtId="165" fontId="12" fillId="0" borderId="43" xfId="0" applyNumberFormat="1" applyFont="1" applyBorder="1" applyAlignment="1">
      <alignment horizontal="center" vertical="center" wrapText="1"/>
    </xf>
    <xf numFmtId="1" fontId="12" fillId="11" borderId="43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164" fontId="0" fillId="8" borderId="13" xfId="0" applyNumberFormat="1" applyFill="1" applyBorder="1"/>
    <xf numFmtId="0" fontId="13" fillId="8" borderId="14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13" fillId="7" borderId="3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center" wrapText="1"/>
    </xf>
    <xf numFmtId="0" fontId="14" fillId="7" borderId="45" xfId="5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13" borderId="32" xfId="0" applyFill="1" applyBorder="1"/>
    <xf numFmtId="0" fontId="2" fillId="0" borderId="47" xfId="0" applyFont="1" applyBorder="1"/>
    <xf numFmtId="0" fontId="13" fillId="7" borderId="28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13" fillId="15" borderId="0" xfId="0" applyFont="1" applyFill="1" applyAlignment="1">
      <alignment vertical="center" wrapText="1"/>
    </xf>
    <xf numFmtId="1" fontId="13" fillId="15" borderId="0" xfId="0" applyNumberFormat="1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2" fontId="13" fillId="15" borderId="0" xfId="0" applyNumberFormat="1" applyFont="1" applyFill="1" applyAlignment="1">
      <alignment horizontal="center"/>
    </xf>
    <xf numFmtId="0" fontId="13" fillId="15" borderId="0" xfId="5" applyNumberFormat="1" applyFont="1" applyFill="1" applyBorder="1" applyAlignment="1">
      <alignment horizontal="center" vertical="center"/>
    </xf>
    <xf numFmtId="166" fontId="13" fillId="15" borderId="0" xfId="5" applyNumberFormat="1" applyFont="1" applyFill="1" applyBorder="1"/>
    <xf numFmtId="164" fontId="13" fillId="15" borderId="0" xfId="0" applyNumberFormat="1" applyFont="1" applyFill="1" applyAlignment="1">
      <alignment horizontal="center"/>
    </xf>
    <xf numFmtId="164" fontId="0" fillId="15" borderId="0" xfId="0" applyNumberFormat="1" applyFill="1"/>
    <xf numFmtId="164" fontId="0" fillId="15" borderId="0" xfId="5" applyFont="1" applyFill="1" applyBorder="1" applyAlignment="1">
      <alignment horizontal="center" vertical="center"/>
    </xf>
    <xf numFmtId="0" fontId="0" fillId="16" borderId="32" xfId="0" applyFill="1" applyBorder="1"/>
    <xf numFmtId="0" fontId="0" fillId="15" borderId="0" xfId="0" applyFill="1"/>
    <xf numFmtId="0" fontId="17" fillId="15" borderId="0" xfId="0" applyFont="1" applyFill="1"/>
    <xf numFmtId="2" fontId="0" fillId="15" borderId="0" xfId="0" applyNumberFormat="1" applyFill="1"/>
    <xf numFmtId="0" fontId="2" fillId="15" borderId="0" xfId="0" applyFont="1" applyFill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5" applyNumberFormat="1" applyFont="1" applyFill="1" applyBorder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164" fontId="13" fillId="0" borderId="0" xfId="5" applyFont="1" applyFill="1" applyBorder="1" applyAlignment="1">
      <alignment horizontal="center" wrapText="1"/>
    </xf>
    <xf numFmtId="0" fontId="14" fillId="0" borderId="0" xfId="5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3" fillId="0" borderId="0" xfId="5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5" applyFont="1" applyFill="1" applyBorder="1" applyAlignment="1">
      <alignment horizontal="center" vertical="center"/>
    </xf>
    <xf numFmtId="0" fontId="5" fillId="0" borderId="0" xfId="0" applyFont="1"/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/>
    </xf>
    <xf numFmtId="0" fontId="0" fillId="0" borderId="0" xfId="1" applyFont="1" applyFill="1" applyBorder="1"/>
    <xf numFmtId="0" fontId="1" fillId="0" borderId="0" xfId="1" applyFill="1" applyBorder="1"/>
    <xf numFmtId="0" fontId="3" fillId="0" borderId="0" xfId="2" applyFill="1" applyBorder="1"/>
    <xf numFmtId="0" fontId="0" fillId="0" borderId="2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5" xfId="0" applyFill="1" applyBorder="1"/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8" borderId="16" xfId="0" applyFill="1" applyBorder="1" applyAlignment="1">
      <alignment horizontal="right"/>
    </xf>
    <xf numFmtId="0" fontId="0" fillId="8" borderId="20" xfId="0" applyFill="1" applyBorder="1" applyAlignment="1">
      <alignment horizontal="right"/>
    </xf>
    <xf numFmtId="0" fontId="0" fillId="8" borderId="21" xfId="0" applyFill="1" applyBorder="1"/>
    <xf numFmtId="0" fontId="17" fillId="16" borderId="32" xfId="0" applyFont="1" applyFill="1" applyBorder="1"/>
    <xf numFmtId="0" fontId="0" fillId="16" borderId="33" xfId="0" applyFill="1" applyBorder="1"/>
    <xf numFmtId="0" fontId="0" fillId="16" borderId="14" xfId="0" applyFill="1" applyBorder="1"/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13" fillId="0" borderId="0" xfId="0" applyFont="1"/>
    <xf numFmtId="0" fontId="0" fillId="8" borderId="21" xfId="0" applyFill="1" applyBorder="1" applyAlignment="1">
      <alignment horizontal="left"/>
    </xf>
    <xf numFmtId="0" fontId="0" fillId="15" borderId="16" xfId="0" applyFill="1" applyBorder="1"/>
    <xf numFmtId="0" fontId="0" fillId="15" borderId="44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5" borderId="22" xfId="0" applyFill="1" applyBorder="1"/>
    <xf numFmtId="0" fontId="0" fillId="15" borderId="21" xfId="0" applyFill="1" applyBorder="1"/>
    <xf numFmtId="0" fontId="0" fillId="15" borderId="0" xfId="0" applyFill="1" applyAlignment="1">
      <alignment horizontal="right"/>
    </xf>
    <xf numFmtId="0" fontId="2" fillId="0" borderId="14" xfId="0" applyFont="1" applyBorder="1"/>
    <xf numFmtId="0" fontId="2" fillId="0" borderId="15" xfId="0" applyFont="1" applyBorder="1"/>
    <xf numFmtId="0" fontId="2" fillId="7" borderId="32" xfId="0" applyFont="1" applyFill="1" applyBorder="1" applyAlignment="1">
      <alignment horizontal="center" vertical="center"/>
    </xf>
    <xf numFmtId="0" fontId="0" fillId="15" borderId="0" xfId="1" applyFont="1" applyFill="1" applyBorder="1"/>
    <xf numFmtId="0" fontId="0" fillId="0" borderId="17" xfId="0" applyBorder="1"/>
    <xf numFmtId="0" fontId="0" fillId="0" borderId="50" xfId="0" applyBorder="1"/>
    <xf numFmtId="1" fontId="13" fillId="8" borderId="14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2" fontId="13" fillId="8" borderId="14" xfId="0" applyNumberFormat="1" applyFont="1" applyFill="1" applyBorder="1" applyAlignment="1">
      <alignment horizontal="center" vertical="center"/>
    </xf>
    <xf numFmtId="164" fontId="13" fillId="8" borderId="14" xfId="0" applyNumberFormat="1" applyFont="1" applyFill="1" applyBorder="1" applyAlignment="1">
      <alignment horizontal="center" vertical="center"/>
    </xf>
    <xf numFmtId="0" fontId="16" fillId="0" borderId="52" xfId="0" applyFont="1" applyBorder="1"/>
    <xf numFmtId="0" fontId="0" fillId="0" borderId="24" xfId="0" applyBorder="1"/>
    <xf numFmtId="0" fontId="0" fillId="0" borderId="55" xfId="0" applyBorder="1"/>
    <xf numFmtId="0" fontId="16" fillId="0" borderId="56" xfId="0" applyFont="1" applyBorder="1"/>
    <xf numFmtId="0" fontId="16" fillId="0" borderId="51" xfId="0" applyFont="1" applyBorder="1"/>
    <xf numFmtId="0" fontId="0" fillId="8" borderId="16" xfId="0" applyFill="1" applyBorder="1" applyAlignment="1">
      <alignment horizontal="center"/>
    </xf>
    <xf numFmtId="164" fontId="0" fillId="8" borderId="32" xfId="5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2" fillId="0" borderId="0" xfId="2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vertical="center"/>
    </xf>
    <xf numFmtId="0" fontId="0" fillId="15" borderId="0" xfId="0" applyFill="1" applyAlignment="1">
      <alignment horizontal="left"/>
    </xf>
    <xf numFmtId="1" fontId="13" fillId="8" borderId="15" xfId="0" applyNumberFormat="1" applyFont="1" applyFill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1" fontId="13" fillId="8" borderId="32" xfId="0" applyNumberFormat="1" applyFont="1" applyFill="1" applyBorder="1" applyAlignment="1">
      <alignment horizontal="center" vertical="center"/>
    </xf>
    <xf numFmtId="0" fontId="25" fillId="0" borderId="47" xfId="0" applyFont="1" applyBorder="1" applyAlignment="1">
      <alignment horizontal="left"/>
    </xf>
    <xf numFmtId="0" fontId="25" fillId="0" borderId="58" xfId="0" applyFont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6" fillId="0" borderId="0" xfId="0" applyFont="1" applyAlignment="1">
      <alignment vertical="center"/>
    </xf>
    <xf numFmtId="0" fontId="0" fillId="0" borderId="32" xfId="0" applyBorder="1" applyAlignment="1">
      <alignment horizontal="center"/>
    </xf>
    <xf numFmtId="0" fontId="22" fillId="18" borderId="32" xfId="0" applyFont="1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2" fillId="0" borderId="33" xfId="0" applyFont="1" applyBorder="1"/>
    <xf numFmtId="0" fontId="0" fillId="0" borderId="21" xfId="0" applyBorder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13" xfId="0" applyFont="1" applyFill="1" applyBorder="1" applyAlignment="1">
      <alignment horizontal="center"/>
    </xf>
    <xf numFmtId="164" fontId="13" fillId="7" borderId="45" xfId="5" applyFont="1" applyFill="1" applyBorder="1" applyAlignment="1">
      <alignment horizontal="center" vertical="center" wrapText="1"/>
    </xf>
    <xf numFmtId="0" fontId="2" fillId="7" borderId="32" xfId="0" applyFont="1" applyFill="1" applyBorder="1" applyAlignment="1">
      <alignment horizontal="center"/>
    </xf>
    <xf numFmtId="165" fontId="13" fillId="8" borderId="14" xfId="0" applyNumberFormat="1" applyFont="1" applyFill="1" applyBorder="1" applyAlignment="1">
      <alignment horizontal="center" vertical="center"/>
    </xf>
    <xf numFmtId="168" fontId="0" fillId="8" borderId="15" xfId="0" applyNumberFormat="1" applyFill="1" applyBorder="1"/>
    <xf numFmtId="169" fontId="13" fillId="8" borderId="14" xfId="5" applyNumberFormat="1" applyFont="1" applyFill="1" applyBorder="1" applyAlignment="1">
      <alignment horizontal="center" vertical="center"/>
    </xf>
    <xf numFmtId="1" fontId="0" fillId="19" borderId="53" xfId="0" applyNumberFormat="1" applyFill="1" applyBorder="1"/>
    <xf numFmtId="1" fontId="2" fillId="14" borderId="49" xfId="0" applyNumberFormat="1" applyFont="1" applyFill="1" applyBorder="1"/>
    <xf numFmtId="1" fontId="0" fillId="19" borderId="6" xfId="0" applyNumberFormat="1" applyFill="1" applyBorder="1"/>
    <xf numFmtId="1" fontId="2" fillId="5" borderId="49" xfId="0" applyNumberFormat="1" applyFont="1" applyFill="1" applyBorder="1"/>
    <xf numFmtId="1" fontId="0" fillId="19" borderId="54" xfId="0" applyNumberFormat="1" applyFill="1" applyBorder="1"/>
    <xf numFmtId="1" fontId="0" fillId="19" borderId="57" xfId="0" applyNumberFormat="1" applyFill="1" applyBorder="1"/>
    <xf numFmtId="1" fontId="0" fillId="19" borderId="48" xfId="0" applyNumberFormat="1" applyFill="1" applyBorder="1"/>
    <xf numFmtId="1" fontId="0" fillId="19" borderId="34" xfId="0" applyNumberFormat="1" applyFill="1" applyBorder="1"/>
    <xf numFmtId="1" fontId="25" fillId="14" borderId="59" xfId="0" applyNumberFormat="1" applyFont="1" applyFill="1" applyBorder="1"/>
    <xf numFmtId="1" fontId="25" fillId="5" borderId="60" xfId="0" applyNumberFormat="1" applyFont="1" applyFill="1" applyBorder="1"/>
    <xf numFmtId="0" fontId="0" fillId="0" borderId="61" xfId="0" applyBorder="1"/>
    <xf numFmtId="0" fontId="0" fillId="0" borderId="15" xfId="0" applyBorder="1"/>
    <xf numFmtId="0" fontId="2" fillId="15" borderId="19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1" fontId="13" fillId="15" borderId="0" xfId="0" applyNumberFormat="1" applyFont="1" applyFill="1" applyAlignment="1">
      <alignment vertical="center" wrapText="1"/>
    </xf>
    <xf numFmtId="1" fontId="13" fillId="8" borderId="13" xfId="0" applyNumberFormat="1" applyFont="1" applyFill="1" applyBorder="1" applyAlignment="1">
      <alignment horizontal="center" vertical="center" wrapText="1"/>
    </xf>
    <xf numFmtId="167" fontId="13" fillId="8" borderId="14" xfId="5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4" xfId="0" applyFill="1" applyBorder="1"/>
    <xf numFmtId="0" fontId="22" fillId="0" borderId="13" xfId="0" applyFont="1" applyBorder="1" applyAlignment="1">
      <alignment horizontal="right"/>
    </xf>
    <xf numFmtId="0" fontId="0" fillId="0" borderId="37" xfId="0" applyBorder="1"/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63" xfId="0" applyBorder="1"/>
    <xf numFmtId="0" fontId="0" fillId="0" borderId="66" xfId="0" applyBorder="1"/>
    <xf numFmtId="2" fontId="0" fillId="0" borderId="14" xfId="0" applyNumberFormat="1" applyBorder="1"/>
    <xf numFmtId="0" fontId="0" fillId="8" borderId="13" xfId="0" applyFill="1" applyBorder="1" applyAlignment="1">
      <alignment horizontal="center"/>
    </xf>
    <xf numFmtId="0" fontId="0" fillId="0" borderId="69" xfId="0" applyBorder="1"/>
    <xf numFmtId="0" fontId="0" fillId="0" borderId="67" xfId="0" applyBorder="1"/>
    <xf numFmtId="0" fontId="0" fillId="0" borderId="68" xfId="0" applyBorder="1"/>
    <xf numFmtId="1" fontId="0" fillId="0" borderId="14" xfId="0" applyNumberFormat="1" applyBorder="1"/>
    <xf numFmtId="0" fontId="2" fillId="15" borderId="17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164" fontId="13" fillId="23" borderId="45" xfId="5" applyFont="1" applyFill="1" applyBorder="1" applyAlignment="1">
      <alignment horizontal="center" vertical="center" wrapText="1"/>
    </xf>
    <xf numFmtId="0" fontId="14" fillId="23" borderId="45" xfId="5" applyNumberFormat="1" applyFont="1" applyFill="1" applyBorder="1" applyAlignment="1">
      <alignment horizontal="center" vertical="center" wrapText="1"/>
    </xf>
    <xf numFmtId="0" fontId="13" fillId="23" borderId="38" xfId="0" applyFont="1" applyFill="1" applyBorder="1" applyAlignment="1">
      <alignment horizontal="center" vertical="center" wrapText="1"/>
    </xf>
    <xf numFmtId="0" fontId="13" fillId="23" borderId="46" xfId="0" applyFont="1" applyFill="1" applyBorder="1" applyAlignment="1">
      <alignment horizontal="center" vertical="center" wrapText="1"/>
    </xf>
    <xf numFmtId="0" fontId="0" fillId="24" borderId="32" xfId="0" applyFill="1" applyBorder="1" applyAlignment="1">
      <alignment horizontal="center"/>
    </xf>
    <xf numFmtId="1" fontId="13" fillId="24" borderId="14" xfId="0" applyNumberFormat="1" applyFont="1" applyFill="1" applyBorder="1" applyAlignment="1">
      <alignment horizontal="center" vertical="center"/>
    </xf>
    <xf numFmtId="2" fontId="13" fillId="24" borderId="14" xfId="0" applyNumberFormat="1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165" fontId="13" fillId="24" borderId="14" xfId="0" applyNumberFormat="1" applyFont="1" applyFill="1" applyBorder="1" applyAlignment="1">
      <alignment horizontal="center" vertical="center"/>
    </xf>
    <xf numFmtId="169" fontId="13" fillId="24" borderId="14" xfId="5" applyNumberFormat="1" applyFont="1" applyFill="1" applyBorder="1" applyAlignment="1">
      <alignment horizontal="center" vertical="center"/>
    </xf>
    <xf numFmtId="167" fontId="13" fillId="24" borderId="14" xfId="5" applyNumberFormat="1" applyFont="1" applyFill="1" applyBorder="1" applyAlignment="1">
      <alignment horizontal="center" vertical="center"/>
    </xf>
    <xf numFmtId="164" fontId="13" fillId="24" borderId="14" xfId="0" applyNumberFormat="1" applyFont="1" applyFill="1" applyBorder="1" applyAlignment="1">
      <alignment horizontal="center" vertical="center"/>
    </xf>
    <xf numFmtId="168" fontId="0" fillId="24" borderId="15" xfId="0" applyNumberFormat="1" applyFill="1" applyBorder="1" applyAlignment="1">
      <alignment horizontal="center"/>
    </xf>
    <xf numFmtId="0" fontId="13" fillId="23" borderId="32" xfId="0" applyFont="1" applyFill="1" applyBorder="1" applyAlignment="1">
      <alignment horizontal="center" vertical="center" wrapText="1"/>
    </xf>
    <xf numFmtId="0" fontId="13" fillId="23" borderId="14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3" fillId="24" borderId="20" xfId="0" applyFont="1" applyFill="1" applyBorder="1" applyAlignment="1">
      <alignment horizontal="center" vertical="center" wrapText="1"/>
    </xf>
    <xf numFmtId="1" fontId="13" fillId="24" borderId="22" xfId="0" applyNumberFormat="1" applyFont="1" applyFill="1" applyBorder="1" applyAlignment="1">
      <alignment horizontal="center" vertical="center" wrapText="1"/>
    </xf>
    <xf numFmtId="165" fontId="13" fillId="24" borderId="22" xfId="0" applyNumberFormat="1" applyFont="1" applyFill="1" applyBorder="1" applyAlignment="1">
      <alignment horizontal="center" vertical="center" wrapText="1"/>
    </xf>
    <xf numFmtId="0" fontId="13" fillId="24" borderId="22" xfId="0" applyFont="1" applyFill="1" applyBorder="1" applyAlignment="1">
      <alignment horizontal="center" vertical="center" wrapText="1"/>
    </xf>
    <xf numFmtId="169" fontId="13" fillId="24" borderId="22" xfId="5" applyNumberFormat="1" applyFont="1" applyFill="1" applyBorder="1" applyAlignment="1">
      <alignment horizontal="center" vertical="center"/>
    </xf>
    <xf numFmtId="2" fontId="13" fillId="24" borderId="22" xfId="0" applyNumberFormat="1" applyFont="1" applyFill="1" applyBorder="1" applyAlignment="1">
      <alignment horizontal="center" vertical="center" wrapText="1"/>
    </xf>
    <xf numFmtId="168" fontId="13" fillId="24" borderId="21" xfId="5" applyNumberFormat="1" applyFont="1" applyFill="1" applyBorder="1" applyAlignment="1">
      <alignment horizontal="center" vertical="center" wrapText="1"/>
    </xf>
    <xf numFmtId="0" fontId="2" fillId="23" borderId="13" xfId="0" applyFont="1" applyFill="1" applyBorder="1" applyAlignment="1">
      <alignment horizontal="center"/>
    </xf>
    <xf numFmtId="0" fontId="2" fillId="23" borderId="32" xfId="0" applyFont="1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164" fontId="0" fillId="24" borderId="13" xfId="0" applyNumberFormat="1" applyFill="1" applyBorder="1" applyAlignment="1">
      <alignment horizontal="center"/>
    </xf>
    <xf numFmtId="164" fontId="0" fillId="24" borderId="32" xfId="5" applyFont="1" applyFill="1" applyBorder="1" applyAlignment="1">
      <alignment horizontal="center" vertical="center"/>
    </xf>
    <xf numFmtId="164" fontId="0" fillId="24" borderId="13" xfId="0" applyNumberFormat="1" applyFill="1" applyBorder="1"/>
    <xf numFmtId="0" fontId="13" fillId="15" borderId="44" xfId="0" applyFont="1" applyFill="1" applyBorder="1" applyAlignment="1">
      <alignment vertical="center" wrapText="1"/>
    </xf>
    <xf numFmtId="168" fontId="0" fillId="24" borderId="15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right" indent="1"/>
    </xf>
    <xf numFmtId="0" fontId="0" fillId="8" borderId="21" xfId="0" applyFill="1" applyBorder="1" applyAlignment="1">
      <alignment horizontal="left" indent="1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center"/>
    </xf>
    <xf numFmtId="0" fontId="17" fillId="0" borderId="0" xfId="0" applyFont="1" applyAlignment="1">
      <alignment horizontal="center"/>
    </xf>
    <xf numFmtId="2" fontId="2" fillId="8" borderId="15" xfId="0" applyNumberFormat="1" applyFont="1" applyFill="1" applyBorder="1" applyAlignment="1">
      <alignment horizontal="center"/>
    </xf>
    <xf numFmtId="0" fontId="23" fillId="23" borderId="32" xfId="0" applyFont="1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/>
    </xf>
    <xf numFmtId="1" fontId="13" fillId="24" borderId="14" xfId="0" applyNumberFormat="1" applyFont="1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/>
    </xf>
    <xf numFmtId="0" fontId="13" fillId="23" borderId="76" xfId="0" applyFont="1" applyFill="1" applyBorder="1" applyAlignment="1">
      <alignment horizontal="center" vertical="center" wrapText="1"/>
    </xf>
    <xf numFmtId="0" fontId="13" fillId="24" borderId="14" xfId="0" applyFont="1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/>
    </xf>
    <xf numFmtId="0" fontId="13" fillId="24" borderId="14" xfId="0" applyFont="1" applyFill="1" applyBorder="1" applyAlignment="1">
      <alignment vertical="center" wrapText="1"/>
    </xf>
    <xf numFmtId="0" fontId="1" fillId="0" borderId="0" xfId="0" applyFont="1"/>
    <xf numFmtId="168" fontId="16" fillId="8" borderId="15" xfId="0" applyNumberFormat="1" applyFont="1" applyFill="1" applyBorder="1"/>
    <xf numFmtId="1" fontId="15" fillId="8" borderId="13" xfId="0" applyNumberFormat="1" applyFont="1" applyFill="1" applyBorder="1" applyAlignment="1">
      <alignment horizontal="center" vertical="center" wrapText="1"/>
    </xf>
    <xf numFmtId="1" fontId="15" fillId="8" borderId="14" xfId="0" applyNumberFormat="1" applyFont="1" applyFill="1" applyBorder="1" applyAlignment="1">
      <alignment horizontal="center" vertical="center"/>
    </xf>
    <xf numFmtId="2" fontId="15" fillId="8" borderId="14" xfId="0" applyNumberFormat="1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165" fontId="15" fillId="8" borderId="14" xfId="0" applyNumberFormat="1" applyFont="1" applyFill="1" applyBorder="1" applyAlignment="1">
      <alignment horizontal="center" vertical="center"/>
    </xf>
    <xf numFmtId="169" fontId="15" fillId="8" borderId="14" xfId="5" applyNumberFormat="1" applyFont="1" applyFill="1" applyBorder="1" applyAlignment="1">
      <alignment horizontal="center" vertical="center"/>
    </xf>
    <xf numFmtId="167" fontId="15" fillId="8" borderId="14" xfId="5" applyNumberFormat="1" applyFont="1" applyFill="1" applyBorder="1" applyAlignment="1">
      <alignment horizontal="center" vertical="center"/>
    </xf>
    <xf numFmtId="164" fontId="15" fillId="8" borderId="14" xfId="0" applyNumberFormat="1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/>
    </xf>
    <xf numFmtId="0" fontId="27" fillId="25" borderId="0" xfId="0" applyFont="1" applyFill="1" applyAlignment="1">
      <alignment horizontal="center" vertical="center"/>
    </xf>
    <xf numFmtId="0" fontId="27" fillId="26" borderId="0" xfId="0" applyFont="1" applyFill="1" applyAlignment="1">
      <alignment horizontal="center" vertical="center"/>
    </xf>
    <xf numFmtId="0" fontId="27" fillId="2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0" fillId="32" borderId="0" xfId="0" applyFill="1" applyAlignment="1">
      <alignment horizontal="center" vertical="center" wrapText="1"/>
    </xf>
    <xf numFmtId="0" fontId="27" fillId="25" borderId="0" xfId="0" applyFont="1" applyFill="1" applyAlignment="1">
      <alignment horizontal="center" vertical="center"/>
    </xf>
    <xf numFmtId="0" fontId="27" fillId="26" borderId="0" xfId="0" applyFont="1" applyFill="1" applyAlignment="1">
      <alignment horizontal="center" vertical="center"/>
    </xf>
    <xf numFmtId="0" fontId="27" fillId="27" borderId="0" xfId="0" applyFont="1" applyFill="1" applyAlignment="1">
      <alignment horizontal="center" vertical="center" wrapText="1"/>
    </xf>
    <xf numFmtId="0" fontId="27" fillId="28" borderId="0" xfId="0" applyFont="1" applyFill="1" applyAlignment="1">
      <alignment horizontal="center" vertical="center" wrapText="1"/>
    </xf>
    <xf numFmtId="0" fontId="27" fillId="22" borderId="0" xfId="0" applyFont="1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 wrapText="1"/>
    </xf>
    <xf numFmtId="0" fontId="27" fillId="29" borderId="0" xfId="0" applyFont="1" applyFill="1" applyAlignment="1">
      <alignment horizontal="center" vertical="center"/>
    </xf>
    <xf numFmtId="0" fontId="27" fillId="30" borderId="0" xfId="0" applyFont="1" applyFill="1" applyAlignment="1">
      <alignment horizontal="center" vertical="center" wrapText="1"/>
    </xf>
    <xf numFmtId="0" fontId="27" fillId="3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3" fillId="7" borderId="16" xfId="2" applyFont="1" applyFill="1" applyBorder="1" applyAlignment="1">
      <alignment horizontal="center"/>
    </xf>
    <xf numFmtId="0" fontId="23" fillId="7" borderId="44" xfId="2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0" xfId="0" applyFont="1" applyAlignment="1">
      <alignment horizontal="center"/>
    </xf>
    <xf numFmtId="0" fontId="23" fillId="7" borderId="13" xfId="2" applyFont="1" applyFill="1" applyBorder="1" applyAlignment="1">
      <alignment horizontal="center"/>
    </xf>
    <xf numFmtId="0" fontId="23" fillId="7" borderId="14" xfId="2" applyFont="1" applyFill="1" applyBorder="1" applyAlignment="1">
      <alignment horizontal="center"/>
    </xf>
    <xf numFmtId="0" fontId="23" fillId="7" borderId="15" xfId="2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8" borderId="70" xfId="0" applyFill="1" applyBorder="1" applyAlignment="1">
      <alignment horizontal="center"/>
    </xf>
    <xf numFmtId="0" fontId="0" fillId="8" borderId="7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2" fillId="8" borderId="44" xfId="0" applyFont="1" applyFill="1" applyBorder="1" applyAlignment="1">
      <alignment horizontal="center"/>
    </xf>
    <xf numFmtId="0" fontId="22" fillId="8" borderId="17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" fillId="7" borderId="16" xfId="0" applyFont="1" applyFill="1" applyBorder="1" applyAlignment="1">
      <alignment horizontal="right" vertical="center"/>
    </xf>
    <xf numFmtId="0" fontId="2" fillId="7" borderId="44" xfId="0" applyFont="1" applyFill="1" applyBorder="1" applyAlignment="1">
      <alignment horizontal="right" vertical="center"/>
    </xf>
    <xf numFmtId="0" fontId="2" fillId="7" borderId="20" xfId="0" applyFont="1" applyFill="1" applyBorder="1" applyAlignment="1">
      <alignment horizontal="right" vertical="center"/>
    </xf>
    <xf numFmtId="0" fontId="2" fillId="7" borderId="22" xfId="0" applyFont="1" applyFill="1" applyBorder="1" applyAlignment="1">
      <alignment horizontal="right" vertical="center"/>
    </xf>
    <xf numFmtId="0" fontId="2" fillId="8" borderId="44" xfId="0" applyFont="1" applyFill="1" applyBorder="1" applyAlignment="1">
      <alignment horizontal="left" vertical="center" wrapText="1"/>
    </xf>
    <xf numFmtId="0" fontId="2" fillId="8" borderId="44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8" borderId="22" xfId="0" applyFont="1" applyFill="1" applyBorder="1" applyAlignment="1">
      <alignment horizontal="left" vertical="center"/>
    </xf>
    <xf numFmtId="0" fontId="2" fillId="8" borderId="21" xfId="0" applyFont="1" applyFill="1" applyBorder="1" applyAlignment="1">
      <alignment horizontal="left" vertical="center"/>
    </xf>
    <xf numFmtId="0" fontId="27" fillId="21" borderId="13" xfId="0" applyFont="1" applyFill="1" applyBorder="1" applyAlignment="1">
      <alignment horizontal="center"/>
    </xf>
    <xf numFmtId="0" fontId="27" fillId="21" borderId="14" xfId="0" applyFont="1" applyFill="1" applyBorder="1" applyAlignment="1">
      <alignment horizontal="center"/>
    </xf>
    <xf numFmtId="0" fontId="27" fillId="21" borderId="15" xfId="0" applyFont="1" applyFill="1" applyBorder="1" applyAlignment="1">
      <alignment horizontal="center"/>
    </xf>
    <xf numFmtId="0" fontId="27" fillId="21" borderId="16" xfId="0" applyFont="1" applyFill="1" applyBorder="1" applyAlignment="1">
      <alignment horizontal="center"/>
    </xf>
    <xf numFmtId="0" fontId="27" fillId="21" borderId="44" xfId="0" applyFont="1" applyFill="1" applyBorder="1" applyAlignment="1">
      <alignment horizontal="center"/>
    </xf>
    <xf numFmtId="0" fontId="27" fillId="21" borderId="17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44" xfId="0" applyFont="1" applyBorder="1" applyAlignment="1">
      <alignment horizontal="right"/>
    </xf>
    <xf numFmtId="0" fontId="2" fillId="15" borderId="18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0" fillId="15" borderId="73" xfId="0" applyFill="1" applyBorder="1" applyAlignment="1">
      <alignment horizontal="center"/>
    </xf>
    <xf numFmtId="0" fontId="0" fillId="15" borderId="74" xfId="0" applyFill="1" applyBorder="1" applyAlignment="1">
      <alignment horizontal="center"/>
    </xf>
    <xf numFmtId="0" fontId="2" fillId="15" borderId="20" xfId="0" applyFont="1" applyFill="1" applyBorder="1" applyAlignment="1">
      <alignment horizontal="right"/>
    </xf>
    <xf numFmtId="0" fontId="2" fillId="15" borderId="22" xfId="0" applyFont="1" applyFill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27" fillId="21" borderId="75" xfId="0" applyFont="1" applyFill="1" applyBorder="1" applyAlignment="1">
      <alignment horizontal="center"/>
    </xf>
    <xf numFmtId="0" fontId="26" fillId="7" borderId="16" xfId="0" applyFont="1" applyFill="1" applyBorder="1" applyAlignment="1">
      <alignment horizontal="center" vertical="center"/>
    </xf>
    <xf numFmtId="0" fontId="26" fillId="7" borderId="44" xfId="0" applyFont="1" applyFill="1" applyBorder="1" applyAlignment="1">
      <alignment horizontal="center" vertical="center"/>
    </xf>
    <xf numFmtId="0" fontId="26" fillId="7" borderId="17" xfId="0" applyFont="1" applyFill="1" applyBorder="1" applyAlignment="1">
      <alignment horizontal="center" vertical="center"/>
    </xf>
    <xf numFmtId="0" fontId="26" fillId="7" borderId="20" xfId="0" applyFont="1" applyFill="1" applyBorder="1" applyAlignment="1">
      <alignment horizontal="center" vertical="center"/>
    </xf>
    <xf numFmtId="0" fontId="26" fillId="7" borderId="22" xfId="0" applyFont="1" applyFill="1" applyBorder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/>
    </xf>
    <xf numFmtId="0" fontId="23" fillId="18" borderId="17" xfId="0" applyFont="1" applyFill="1" applyBorder="1" applyAlignment="1">
      <alignment horizontal="center"/>
    </xf>
    <xf numFmtId="0" fontId="2" fillId="17" borderId="16" xfId="0" applyFont="1" applyFill="1" applyBorder="1" applyAlignment="1">
      <alignment horizontal="center"/>
    </xf>
    <xf numFmtId="0" fontId="2" fillId="17" borderId="17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3" xfId="0" applyBorder="1" applyAlignment="1">
      <alignment horizontal="center"/>
    </xf>
    <xf numFmtId="0" fontId="27" fillId="22" borderId="33" xfId="0" applyFont="1" applyFill="1" applyBorder="1" applyAlignment="1">
      <alignment horizontal="center" vertical="center" wrapText="1"/>
    </xf>
    <xf numFmtId="0" fontId="27" fillId="22" borderId="34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center"/>
    </xf>
    <xf numFmtId="0" fontId="27" fillId="22" borderId="14" xfId="0" applyFont="1" applyFill="1" applyBorder="1" applyAlignment="1">
      <alignment horizontal="center"/>
    </xf>
    <xf numFmtId="0" fontId="27" fillId="22" borderId="15" xfId="0" applyFont="1" applyFill="1" applyBorder="1" applyAlignment="1">
      <alignment horizontal="center"/>
    </xf>
    <xf numFmtId="0" fontId="23" fillId="23" borderId="16" xfId="0" applyFont="1" applyFill="1" applyBorder="1" applyAlignment="1">
      <alignment horizontal="center" vertical="center" wrapText="1"/>
    </xf>
    <xf numFmtId="0" fontId="23" fillId="23" borderId="20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2" fillId="9" borderId="33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13" fillId="8" borderId="16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center" wrapText="1"/>
    </xf>
    <xf numFmtId="0" fontId="27" fillId="22" borderId="14" xfId="0" applyFont="1" applyFill="1" applyBorder="1" applyAlignment="1">
      <alignment horizontal="center" wrapText="1"/>
    </xf>
    <xf numFmtId="0" fontId="27" fillId="22" borderId="15" xfId="0" applyFont="1" applyFill="1" applyBorder="1" applyAlignment="1">
      <alignment horizontal="center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7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0" fillId="15" borderId="19" xfId="0" applyFill="1" applyBorder="1" applyAlignment="1">
      <alignment horizontal="center"/>
    </xf>
    <xf numFmtId="0" fontId="0" fillId="19" borderId="33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0" fillId="15" borderId="18" xfId="0" applyFill="1" applyBorder="1" applyAlignment="1">
      <alignment horizontal="right"/>
    </xf>
    <xf numFmtId="0" fontId="0" fillId="15" borderId="0" xfId="0" applyFill="1" applyAlignment="1">
      <alignment horizontal="right"/>
    </xf>
    <xf numFmtId="10" fontId="0" fillId="0" borderId="9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7">
    <cellStyle name="40% - Énfasis1" xfId="1" builtinId="31"/>
    <cellStyle name="Énfasis5" xfId="2" builtinId="45"/>
    <cellStyle name="Incorrecto" xfId="3" builtinId="27"/>
    <cellStyle name="Millares" xfId="5" builtinId="3"/>
    <cellStyle name="Millares 2" xfId="6" xr:uid="{893BBC7F-7288-4193-B772-B8FF8F408EA5}"/>
    <cellStyle name="Normal" xfId="0" builtinId="0"/>
    <cellStyle name="Porcentaje" xfId="4" builtinId="5"/>
  </cellStyles>
  <dxfs count="25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5</xdr:row>
      <xdr:rowOff>19050</xdr:rowOff>
    </xdr:from>
    <xdr:to>
      <xdr:col>8</xdr:col>
      <xdr:colOff>399415</xdr:colOff>
      <xdr:row>9</xdr:row>
      <xdr:rowOff>168910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971550"/>
          <a:ext cx="5400040" cy="900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8</xdr:col>
      <xdr:colOff>323215</xdr:colOff>
      <xdr:row>23</xdr:row>
      <xdr:rowOff>39370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552700"/>
          <a:ext cx="5400040" cy="186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200025</xdr:colOff>
      <xdr:row>5</xdr:row>
      <xdr:rowOff>66675</xdr:rowOff>
    </xdr:from>
    <xdr:to>
      <xdr:col>18</xdr:col>
      <xdr:colOff>266065</xdr:colOff>
      <xdr:row>10</xdr:row>
      <xdr:rowOff>18415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038225"/>
          <a:ext cx="5400040" cy="9004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219075</xdr:colOff>
      <xdr:row>13</xdr:row>
      <xdr:rowOff>133350</xdr:rowOff>
    </xdr:from>
    <xdr:to>
      <xdr:col>18</xdr:col>
      <xdr:colOff>288925</xdr:colOff>
      <xdr:row>23</xdr:row>
      <xdr:rowOff>92710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638425"/>
          <a:ext cx="5400040" cy="18681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266700</xdr:colOff>
      <xdr:row>26</xdr:row>
      <xdr:rowOff>28575</xdr:rowOff>
    </xdr:from>
    <xdr:to>
      <xdr:col>8</xdr:col>
      <xdr:colOff>323215</xdr:colOff>
      <xdr:row>29</xdr:row>
      <xdr:rowOff>170180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5000625"/>
          <a:ext cx="5400040" cy="7092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19049</xdr:colOff>
      <xdr:row>35</xdr:row>
      <xdr:rowOff>38100</xdr:rowOff>
    </xdr:from>
    <xdr:to>
      <xdr:col>10</xdr:col>
      <xdr:colOff>664844</xdr:colOff>
      <xdr:row>67</xdr:row>
      <xdr:rowOff>174808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39" t="12974" r="9082" b="26704"/>
        <a:stretch/>
      </xdr:blipFill>
      <xdr:spPr>
        <a:xfrm>
          <a:off x="2305049" y="6800850"/>
          <a:ext cx="5972175" cy="6236518"/>
        </a:xfrm>
        <a:prstGeom prst="rect">
          <a:avLst/>
        </a:prstGeom>
      </xdr:spPr>
    </xdr:pic>
    <xdr:clientData/>
  </xdr:twoCellAnchor>
  <xdr:twoCellAnchor editAs="oneCell">
    <xdr:from>
      <xdr:col>10</xdr:col>
      <xdr:colOff>650422</xdr:colOff>
      <xdr:row>35</xdr:row>
      <xdr:rowOff>119743</xdr:rowOff>
    </xdr:from>
    <xdr:to>
      <xdr:col>17</xdr:col>
      <xdr:colOff>2492</xdr:colOff>
      <xdr:row>57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6" t="12902" r="7966" b="35677"/>
        <a:stretch/>
      </xdr:blipFill>
      <xdr:spPr>
        <a:xfrm>
          <a:off x="8270422" y="6950529"/>
          <a:ext cx="4686070" cy="4071257"/>
        </a:xfrm>
        <a:prstGeom prst="rect">
          <a:avLst/>
        </a:prstGeom>
      </xdr:spPr>
    </xdr:pic>
    <xdr:clientData/>
  </xdr:twoCellAnchor>
  <xdr:twoCellAnchor editAs="oneCell">
    <xdr:from>
      <xdr:col>17</xdr:col>
      <xdr:colOff>4084</xdr:colOff>
      <xdr:row>37</xdr:row>
      <xdr:rowOff>27214</xdr:rowOff>
    </xdr:from>
    <xdr:to>
      <xdr:col>22</xdr:col>
      <xdr:colOff>708658</xdr:colOff>
      <xdr:row>68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3" t="14158" r="8748" b="9706"/>
        <a:stretch/>
      </xdr:blipFill>
      <xdr:spPr>
        <a:xfrm>
          <a:off x="12958084" y="7239000"/>
          <a:ext cx="4518384" cy="5878286"/>
        </a:xfrm>
        <a:prstGeom prst="rect">
          <a:avLst/>
        </a:prstGeom>
      </xdr:spPr>
    </xdr:pic>
    <xdr:clientData/>
  </xdr:twoCellAnchor>
  <xdr:oneCellAnchor>
    <xdr:from>
      <xdr:col>21</xdr:col>
      <xdr:colOff>200025</xdr:colOff>
      <xdr:row>5</xdr:row>
      <xdr:rowOff>66675</xdr:rowOff>
    </xdr:from>
    <xdr:ext cx="5400040" cy="90043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1057275"/>
          <a:ext cx="5400040" cy="90043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21</xdr:col>
      <xdr:colOff>219075</xdr:colOff>
      <xdr:row>13</xdr:row>
      <xdr:rowOff>133350</xdr:rowOff>
    </xdr:from>
    <xdr:ext cx="5400040" cy="1868170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2667000"/>
          <a:ext cx="5400040" cy="18681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28575</xdr:rowOff>
    </xdr:from>
    <xdr:to>
      <xdr:col>6</xdr:col>
      <xdr:colOff>733424</xdr:colOff>
      <xdr:row>57</xdr:row>
      <xdr:rowOff>118405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70" b="1679"/>
        <a:stretch/>
      </xdr:blipFill>
      <xdr:spPr>
        <a:xfrm>
          <a:off x="0" y="619125"/>
          <a:ext cx="5305424" cy="10399963"/>
        </a:xfrm>
        <a:prstGeom prst="rect">
          <a:avLst/>
        </a:prstGeom>
      </xdr:spPr>
    </xdr:pic>
    <xdr:clientData/>
  </xdr:twoCellAnchor>
  <xdr:twoCellAnchor editAs="oneCell">
    <xdr:from>
      <xdr:col>8</xdr:col>
      <xdr:colOff>22858</xdr:colOff>
      <xdr:row>3</xdr:row>
      <xdr:rowOff>26669</xdr:rowOff>
    </xdr:from>
    <xdr:to>
      <xdr:col>16</xdr:col>
      <xdr:colOff>723149</xdr:colOff>
      <xdr:row>49</xdr:row>
      <xdr:rowOff>133078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71" t="12903" r="8234" b="10204"/>
        <a:stretch/>
      </xdr:blipFill>
      <xdr:spPr>
        <a:xfrm>
          <a:off x="6317641" y="589886"/>
          <a:ext cx="6995073" cy="8496692"/>
        </a:xfrm>
        <a:prstGeom prst="rect">
          <a:avLst/>
        </a:prstGeom>
      </xdr:spPr>
    </xdr:pic>
    <xdr:clientData/>
  </xdr:twoCellAnchor>
  <xdr:twoCellAnchor editAs="oneCell">
    <xdr:from>
      <xdr:col>18</xdr:col>
      <xdr:colOff>36739</xdr:colOff>
      <xdr:row>3</xdr:row>
      <xdr:rowOff>36739</xdr:rowOff>
    </xdr:from>
    <xdr:to>
      <xdr:col>25</xdr:col>
      <xdr:colOff>722539</xdr:colOff>
      <xdr:row>44</xdr:row>
      <xdr:rowOff>17720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6" t="12762" r="8835" b="11860"/>
        <a:stretch/>
      </xdr:blipFill>
      <xdr:spPr>
        <a:xfrm>
          <a:off x="13752739" y="635453"/>
          <a:ext cx="6019800" cy="7791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sp macro="" textlink="">
      <xdr:nvSpPr>
        <xdr:cNvPr id="16385" name="AutoShape 1" descr="CÁLCULO DE FUSIBLES DE UNA INSTALACIÓN ELÉCTRICA EN BAJA TENSIÓN">
          <a:extLst>
            <a:ext uri="{FF2B5EF4-FFF2-40B4-BE49-F238E27FC236}">
              <a16:creationId xmlns:a16="http://schemas.microsoft.com/office/drawing/2014/main" id="{00000000-0008-0000-0900-0000014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sp macro="" textlink="">
      <xdr:nvSpPr>
        <xdr:cNvPr id="16386" name="AutoShape 2" descr="CÁLCULO DE FUSIBLES DE UNA INSTALACIÓN ELÉCTRICA EN BAJA TENSIÓN">
          <a:extLst>
            <a:ext uri="{FF2B5EF4-FFF2-40B4-BE49-F238E27FC236}">
              <a16:creationId xmlns:a16="http://schemas.microsoft.com/office/drawing/2014/main" id="{00000000-0008-0000-0900-0000024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219075</xdr:colOff>
      <xdr:row>2</xdr:row>
      <xdr:rowOff>123825</xdr:rowOff>
    </xdr:from>
    <xdr:to>
      <xdr:col>6</xdr:col>
      <xdr:colOff>240243</xdr:colOff>
      <xdr:row>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04825"/>
          <a:ext cx="4593168" cy="1066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7" totalsRowShown="0" headerRowDxfId="24">
  <autoFilter ref="A1:A7" xr:uid="{00000000-0009-0000-0100-000001000000}"/>
  <tableColumns count="1">
    <tableColumn id="1" xr3:uid="{00000000-0010-0000-0000-000001000000}" name="FABRICANTES_INV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a11" displayName="Tabla11" ref="U1:U2" totalsRowShown="0">
  <autoFilter ref="U1:U2" xr:uid="{00000000-0009-0000-0100-00000B000000}"/>
  <tableColumns count="1">
    <tableColumn id="1" xr3:uid="{00000000-0010-0000-0900-000001000000}" name="AMERISOLAR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a12" displayName="Tabla12" ref="W1:W2" totalsRowShown="0">
  <autoFilter ref="W1:W2" xr:uid="{00000000-0009-0000-0100-00000C000000}"/>
  <tableColumns count="1">
    <tableColumn id="1" xr3:uid="{00000000-0010-0000-0A00-000001000000}" name="CANADIAN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a14" displayName="Tabla14" ref="Y1:Y2" totalsRowShown="0">
  <autoFilter ref="Y1:Y2" xr:uid="{00000000-0009-0000-0100-00000E000000}"/>
  <tableColumns count="1">
    <tableColumn id="1" xr3:uid="{00000000-0010-0000-0B00-000001000000}" name="TALESUN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a15" displayName="Tabla15" ref="I17:O38" totalsRowShown="0">
  <autoFilter ref="I17:O38" xr:uid="{00000000-0009-0000-0100-00000F000000}"/>
  <tableColumns count="7">
    <tableColumn id="1" xr3:uid="{00000000-0010-0000-0C00-000001000000}" name="MÓDULOS"/>
    <tableColumn id="2" xr3:uid="{00000000-0010-0000-0C00-000002000000}" name="P (Wp)"/>
    <tableColumn id="3" xr3:uid="{00000000-0010-0000-0C00-000003000000}" name="Vmp"/>
    <tableColumn id="4" xr3:uid="{00000000-0010-0000-0C00-000004000000}" name="Vo"/>
    <tableColumn id="7" xr3:uid="{DC75BAD0-3532-4B8A-996E-3BBC72476C98}" name="β (% / °C)"/>
    <tableColumn id="5" xr3:uid="{82C87121-34BE-4D36-9B59-151CBBAB3736}" name="Imp"/>
    <tableColumn id="6" xr3:uid="{BF64E6CA-6B74-4114-B86C-327D3750565B}" name="Isc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846826-8ECE-44B6-9593-AB77456236BE}" name="Tabla106" displayName="Tabla106" ref="AA1:AA2" totalsRowShown="0">
  <autoFilter ref="AA1:AA2" xr:uid="{35846826-8ECE-44B6-9593-AB77456236BE}"/>
  <tableColumns count="1">
    <tableColumn id="1" xr3:uid="{47193FDA-25E1-4545-A0DA-0B990FE3414F}" name="TRINA SOLA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C1:C13" totalsRowShown="0">
  <autoFilter ref="C1:C13" xr:uid="{00000000-0009-0000-0100-000002000000}"/>
  <tableColumns count="1">
    <tableColumn id="1" xr3:uid="{00000000-0010-0000-0100-000001000000}" name="HUAWEI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H1:H8" totalsRowShown="0">
  <autoFilter ref="H1:H8" xr:uid="{00000000-0009-0000-0100-000003000000}"/>
  <tableColumns count="1">
    <tableColumn id="1" xr3:uid="{00000000-0010-0000-0200-000001000000}" name="S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J1:J7" totalsRowShown="0">
  <autoFilter ref="J1:J7" xr:uid="{00000000-0009-0000-0100-000004000000}"/>
  <tableColumns count="1">
    <tableColumn id="1" xr3:uid="{00000000-0010-0000-0300-000001000000}" name="INGETEAM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L1:L2" totalsRowShown="0">
  <autoFilter ref="L1:L2" xr:uid="{00000000-0009-0000-0100-000006000000}"/>
  <tableColumns count="1">
    <tableColumn id="1" xr3:uid="{00000000-0010-0000-0400-000001000000}" name="SUNGROW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A17:G62" totalsRowShown="0">
  <autoFilter ref="A17:G62" xr:uid="{00000000-0009-0000-0100-000007000000}"/>
  <sortState xmlns:xlrd2="http://schemas.microsoft.com/office/spreadsheetml/2017/richdata2" ref="A18:G62">
    <sortCondition ref="A17:A62"/>
  </sortState>
  <tableColumns count="7">
    <tableColumn id="1" xr3:uid="{00000000-0010-0000-0500-000001000000}" name="INVERSOR" dataDxfId="23"/>
    <tableColumn id="2" xr3:uid="{00000000-0010-0000-0500-000002000000}" name="PO"/>
    <tableColumn id="3" xr3:uid="{00000000-0010-0000-0500-000003000000}" name="VO"/>
    <tableColumn id="4" xr3:uid="{00000000-0010-0000-0500-000004000000}" name="IO"/>
    <tableColumn id="6" xr3:uid="{D3F21563-DE40-4F59-9AEF-31F04FA54069}" name="Tensión Arranque"/>
    <tableColumn id="5" xr3:uid="{32F097D6-06DF-4706-BAD9-91B9781B9465}" name="Tensión Máxima"/>
    <tableColumn id="7" xr3:uid="{B65BC9AD-1C23-406B-9C7E-7061B5D808D5}" name="I Max Entrada Isc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O1:O11" totalsRowShown="0">
  <autoFilter ref="O1:O11" xr:uid="{00000000-0009-0000-0100-000008000000}"/>
  <tableColumns count="1">
    <tableColumn id="1" xr3:uid="{00000000-0010-0000-0600-000001000000}" name="FABRICANTES_MOD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a9" displayName="Tabla9" ref="Q1:Q5" totalsRowShown="0">
  <autoFilter ref="Q1:Q5" xr:uid="{00000000-0009-0000-0100-000009000000}"/>
  <tableColumns count="1">
    <tableColumn id="1" xr3:uid="{00000000-0010-0000-0700-000001000000}" name="JA SOLAR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a10" displayName="Tabla10" ref="S1:S2" totalsRowShown="0">
  <autoFilter ref="S1:S2" xr:uid="{00000000-0009-0000-0100-00000A000000}"/>
  <tableColumns count="1">
    <tableColumn id="1" xr3:uid="{00000000-0010-0000-0800-000001000000}" name="GC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EE4E76C-8EB5-42EB-8241-3CBE42FAAB0A}">
  <we:reference id="wa200005271" version="1.1.0.0" store="es-ES" storeType="OMEX"/>
  <we:alternateReferences>
    <we:reference id="wa200005271" version="1.1.0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7338-3891-481C-B263-29DFB43D1AB4}">
  <dimension ref="B1:BH26"/>
  <sheetViews>
    <sheetView tabSelected="1" zoomScaleNormal="100" workbookViewId="0">
      <selection activeCell="F8" sqref="F8"/>
    </sheetView>
  </sheetViews>
  <sheetFormatPr baseColWidth="10" defaultColWidth="11.44140625" defaultRowHeight="14.4"/>
  <cols>
    <col min="4" max="4" width="45.109375" customWidth="1"/>
    <col min="5" max="5" width="13.44140625" customWidth="1"/>
    <col min="6" max="6" width="30.6640625" customWidth="1"/>
    <col min="7" max="7" width="11.109375" customWidth="1"/>
    <col min="8" max="8" width="14" customWidth="1"/>
    <col min="10" max="10" width="22.33203125" customWidth="1"/>
    <col min="12" max="12" width="13.6640625" customWidth="1"/>
    <col min="13" max="13" width="13.5546875" customWidth="1"/>
    <col min="14" max="15" width="20.6640625" customWidth="1"/>
    <col min="16" max="16" width="12.5546875" customWidth="1"/>
    <col min="17" max="17" width="14.5546875" customWidth="1"/>
    <col min="20" max="22" width="14.109375" customWidth="1"/>
    <col min="23" max="23" width="15.33203125" customWidth="1"/>
    <col min="24" max="24" width="17.33203125" customWidth="1"/>
    <col min="29" max="29" width="12.5546875" customWidth="1"/>
    <col min="30" max="30" width="18.33203125" customWidth="1"/>
    <col min="31" max="31" width="37.44140625" customWidth="1"/>
    <col min="37" max="37" width="21.5546875" customWidth="1"/>
    <col min="38" max="38" width="20" customWidth="1"/>
    <col min="39" max="39" width="17.6640625" customWidth="1"/>
    <col min="40" max="43" width="13.6640625" customWidth="1"/>
    <col min="44" max="44" width="23.88671875" customWidth="1"/>
    <col min="45" max="46" width="14.77734375" customWidth="1"/>
    <col min="47" max="47" width="27.6640625" customWidth="1"/>
    <col min="48" max="48" width="19.6640625" customWidth="1"/>
    <col min="50" max="50" width="22" customWidth="1"/>
    <col min="53" max="53" width="37" customWidth="1"/>
    <col min="54" max="54" width="32.109375" customWidth="1"/>
  </cols>
  <sheetData>
    <row r="1" spans="2:60" ht="14.4" customHeight="1">
      <c r="B1" s="301" t="s">
        <v>329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290"/>
      <c r="V1" s="290"/>
      <c r="W1" s="302" t="s">
        <v>330</v>
      </c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291"/>
      <c r="AQ1" s="291"/>
      <c r="AR1" s="291"/>
      <c r="AS1" s="291"/>
      <c r="AT1" s="291"/>
      <c r="AU1" s="303" t="s">
        <v>331</v>
      </c>
      <c r="AV1" s="303"/>
      <c r="AW1" s="303"/>
      <c r="AX1" s="303"/>
      <c r="AY1" s="303"/>
      <c r="AZ1" s="303"/>
      <c r="BA1" s="304" t="s">
        <v>332</v>
      </c>
      <c r="BB1" s="304"/>
      <c r="BC1" s="304"/>
      <c r="BD1" s="304"/>
      <c r="BE1" s="304"/>
      <c r="BF1" s="304"/>
      <c r="BG1" s="304"/>
      <c r="BH1" s="304"/>
    </row>
    <row r="2" spans="2:60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290"/>
      <c r="V2" s="290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291"/>
      <c r="AQ2" s="291"/>
      <c r="AR2" s="291"/>
      <c r="AS2" s="291"/>
      <c r="AT2" s="291"/>
      <c r="AU2" s="303"/>
      <c r="AV2" s="303"/>
      <c r="AW2" s="303"/>
      <c r="AX2" s="303"/>
      <c r="AY2" s="303"/>
      <c r="AZ2" s="303"/>
      <c r="BA2" s="304"/>
      <c r="BB2" s="304"/>
      <c r="BC2" s="304"/>
      <c r="BD2" s="304"/>
      <c r="BE2" s="304"/>
      <c r="BF2" s="304"/>
      <c r="BG2" s="304"/>
      <c r="BH2" s="304"/>
    </row>
    <row r="3" spans="2:60">
      <c r="B3" s="305" t="s">
        <v>333</v>
      </c>
      <c r="C3" s="305"/>
      <c r="D3" s="305" t="s">
        <v>334</v>
      </c>
      <c r="E3" s="305"/>
      <c r="F3" s="305"/>
      <c r="G3" s="305"/>
      <c r="H3" s="305"/>
      <c r="I3" s="305"/>
      <c r="J3" s="305" t="s">
        <v>335</v>
      </c>
      <c r="K3" s="305"/>
      <c r="L3" s="305"/>
      <c r="M3" s="305"/>
      <c r="N3" s="305"/>
      <c r="O3" s="305"/>
      <c r="P3" s="305"/>
      <c r="Q3" s="305"/>
      <c r="R3" s="305" t="s">
        <v>336</v>
      </c>
      <c r="S3" s="305"/>
      <c r="T3" s="305"/>
      <c r="U3" s="292"/>
      <c r="V3" s="292"/>
      <c r="W3" s="306" t="s">
        <v>337</v>
      </c>
      <c r="X3" s="306"/>
      <c r="Y3" s="306"/>
      <c r="Z3" s="306"/>
      <c r="AA3" s="306"/>
      <c r="AB3" s="306"/>
      <c r="AC3" s="306" t="s">
        <v>256</v>
      </c>
      <c r="AD3" s="306"/>
      <c r="AE3" s="306"/>
      <c r="AF3" s="306" t="s">
        <v>338</v>
      </c>
      <c r="AG3" s="306"/>
      <c r="AH3" s="306"/>
      <c r="AI3" s="306"/>
      <c r="AJ3" s="307" t="s">
        <v>339</v>
      </c>
      <c r="AK3" s="307"/>
      <c r="AL3" s="307" t="s">
        <v>340</v>
      </c>
      <c r="AM3" s="307"/>
      <c r="AN3" s="307"/>
      <c r="AO3" s="307"/>
      <c r="AP3" s="289"/>
      <c r="AQ3" s="289"/>
      <c r="AR3" s="289"/>
      <c r="AS3" s="289"/>
      <c r="AT3" s="289"/>
      <c r="AU3" s="308" t="s">
        <v>341</v>
      </c>
      <c r="AV3" s="308"/>
      <c r="AW3" s="308"/>
      <c r="AX3" s="308"/>
      <c r="AY3" s="308"/>
      <c r="AZ3" s="308"/>
      <c r="BA3" s="309" t="s">
        <v>342</v>
      </c>
      <c r="BB3" s="309"/>
      <c r="BC3" s="309"/>
      <c r="BD3" s="309"/>
      <c r="BE3" s="309"/>
      <c r="BF3" s="309"/>
      <c r="BG3" s="309"/>
      <c r="BH3" s="309"/>
    </row>
    <row r="4" spans="2:60"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292"/>
      <c r="V4" s="292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7"/>
      <c r="AK4" s="307"/>
      <c r="AL4" s="307"/>
      <c r="AM4" s="307"/>
      <c r="AN4" s="307"/>
      <c r="AO4" s="307"/>
      <c r="AP4" s="289"/>
      <c r="AQ4" s="289"/>
      <c r="AR4" s="289"/>
      <c r="AS4" s="289"/>
      <c r="AT4" s="289"/>
      <c r="AU4" s="308"/>
      <c r="AV4" s="308"/>
      <c r="AW4" s="308"/>
      <c r="AX4" s="308"/>
      <c r="AY4" s="308"/>
      <c r="AZ4" s="308"/>
      <c r="BA4" s="309"/>
      <c r="BB4" s="309"/>
      <c r="BC4" s="309"/>
      <c r="BD4" s="309"/>
      <c r="BE4" s="309"/>
      <c r="BF4" s="309"/>
      <c r="BG4" s="309"/>
      <c r="BH4" s="309"/>
    </row>
    <row r="5" spans="2:60">
      <c r="B5" s="300" t="s">
        <v>343</v>
      </c>
      <c r="C5" s="300" t="s">
        <v>344</v>
      </c>
      <c r="D5" s="300" t="s">
        <v>345</v>
      </c>
      <c r="E5" s="300" t="s">
        <v>346</v>
      </c>
      <c r="F5" s="300" t="s">
        <v>347</v>
      </c>
      <c r="G5" s="300" t="s">
        <v>348</v>
      </c>
      <c r="H5" s="300" t="s">
        <v>349</v>
      </c>
      <c r="I5" s="300" t="s">
        <v>350</v>
      </c>
      <c r="J5" s="300" t="s">
        <v>351</v>
      </c>
      <c r="K5" s="300" t="s">
        <v>352</v>
      </c>
      <c r="L5" s="300" t="s">
        <v>353</v>
      </c>
      <c r="M5" s="300" t="s">
        <v>354</v>
      </c>
      <c r="N5" s="300" t="s">
        <v>355</v>
      </c>
      <c r="O5" s="300" t="s">
        <v>356</v>
      </c>
      <c r="P5" s="300" t="s">
        <v>357</v>
      </c>
      <c r="Q5" s="300" t="s">
        <v>358</v>
      </c>
      <c r="R5" s="300" t="s">
        <v>386</v>
      </c>
      <c r="S5" s="300" t="s">
        <v>359</v>
      </c>
      <c r="T5" s="300" t="s">
        <v>295</v>
      </c>
      <c r="U5" s="300" t="s">
        <v>387</v>
      </c>
      <c r="V5" s="300"/>
      <c r="W5" s="297" t="s">
        <v>360</v>
      </c>
      <c r="X5" s="297" t="s">
        <v>361</v>
      </c>
      <c r="Y5" s="297" t="s">
        <v>388</v>
      </c>
      <c r="Z5" s="297" t="s">
        <v>389</v>
      </c>
      <c r="AA5" s="297" t="s">
        <v>362</v>
      </c>
      <c r="AB5" s="297" t="s">
        <v>363</v>
      </c>
      <c r="AC5" s="297" t="s">
        <v>364</v>
      </c>
      <c r="AD5" s="297" t="s">
        <v>365</v>
      </c>
      <c r="AE5" s="297" t="s">
        <v>366</v>
      </c>
      <c r="AF5" s="297" t="s">
        <v>367</v>
      </c>
      <c r="AG5" s="297" t="s">
        <v>390</v>
      </c>
      <c r="AH5" s="297" t="s">
        <v>368</v>
      </c>
      <c r="AI5" s="297" t="s">
        <v>369</v>
      </c>
      <c r="AJ5" s="299" t="s">
        <v>370</v>
      </c>
      <c r="AK5" s="297" t="s">
        <v>371</v>
      </c>
      <c r="AL5" s="297" t="s">
        <v>372</v>
      </c>
      <c r="AM5" s="297" t="s">
        <v>373</v>
      </c>
      <c r="AN5" s="297" t="s">
        <v>357</v>
      </c>
      <c r="AO5" s="297" t="s">
        <v>374</v>
      </c>
      <c r="AP5" s="297" t="s">
        <v>391</v>
      </c>
      <c r="AQ5" s="297" t="s">
        <v>392</v>
      </c>
      <c r="AR5" s="297" t="s">
        <v>393</v>
      </c>
      <c r="AS5" s="297" t="s">
        <v>394</v>
      </c>
      <c r="AT5" s="297" t="s">
        <v>395</v>
      </c>
      <c r="AU5" s="298" t="s">
        <v>375</v>
      </c>
      <c r="AV5" s="298" t="s">
        <v>376</v>
      </c>
      <c r="AW5" s="298" t="s">
        <v>377</v>
      </c>
      <c r="AX5" s="298" t="s">
        <v>378</v>
      </c>
      <c r="AY5" s="298" t="s">
        <v>379</v>
      </c>
      <c r="AZ5" s="298" t="s">
        <v>380</v>
      </c>
      <c r="BA5" s="296" t="s">
        <v>396</v>
      </c>
      <c r="BB5" s="296" t="s">
        <v>381</v>
      </c>
      <c r="BC5" s="296" t="s">
        <v>382</v>
      </c>
      <c r="BD5" s="296" t="s">
        <v>383</v>
      </c>
      <c r="BE5" s="296" t="s">
        <v>384</v>
      </c>
      <c r="BF5" s="296" t="s">
        <v>385</v>
      </c>
      <c r="BG5" s="296" t="s">
        <v>397</v>
      </c>
      <c r="BH5" s="296" t="s">
        <v>398</v>
      </c>
    </row>
    <row r="6" spans="2:60" ht="34.799999999999997" customHeight="1"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288" t="s">
        <v>399</v>
      </c>
      <c r="V6" s="288" t="s">
        <v>400</v>
      </c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G6" s="297"/>
      <c r="AH6" s="297"/>
      <c r="AI6" s="297"/>
      <c r="AJ6" s="299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8"/>
      <c r="AV6" s="298"/>
      <c r="AW6" s="298"/>
      <c r="AX6" s="298"/>
      <c r="AY6" s="298"/>
      <c r="AZ6" s="298"/>
      <c r="BA6" s="296"/>
      <c r="BB6" s="296"/>
      <c r="BC6" s="296"/>
      <c r="BD6" s="296"/>
      <c r="BE6" s="296"/>
      <c r="BF6" s="296"/>
      <c r="BG6" s="296"/>
      <c r="BH6" s="296"/>
    </row>
    <row r="7" spans="2:60" s="293" customFormat="1" ht="38.4" customHeight="1"/>
    <row r="8" spans="2:60" s="293" customFormat="1" ht="39.6" customHeight="1">
      <c r="AS8" s="297" t="s">
        <v>401</v>
      </c>
    </row>
    <row r="9" spans="2:60" s="293" customFormat="1" ht="44.4" customHeight="1" thickBot="1">
      <c r="AS9" s="297"/>
    </row>
    <row r="10" spans="2:60" s="293" customFormat="1" ht="15" thickBot="1">
      <c r="AS10" s="294"/>
    </row>
    <row r="11" spans="2:60" s="293" customFormat="1"/>
    <row r="12" spans="2:60" s="293" customFormat="1">
      <c r="AF12" s="295"/>
    </row>
    <row r="13" spans="2:60" s="293" customFormat="1"/>
    <row r="14" spans="2:60" s="293" customFormat="1"/>
    <row r="15" spans="2:60" s="293" customFormat="1"/>
    <row r="16" spans="2:60" s="293" customFormat="1"/>
    <row r="17" spans="24:30" s="293" customFormat="1"/>
    <row r="18" spans="24:30" s="293" customFormat="1"/>
    <row r="19" spans="24:30" s="293" customFormat="1"/>
    <row r="20" spans="24:30" s="293" customFormat="1"/>
    <row r="21" spans="24:30" s="293" customFormat="1"/>
    <row r="22" spans="24:30" s="293" customFormat="1"/>
    <row r="23" spans="24:30" s="479" customFormat="1"/>
    <row r="24" spans="24:30" s="479" customFormat="1"/>
    <row r="25" spans="24:30" s="479" customFormat="1"/>
    <row r="26" spans="24:30" s="479" customFormat="1"/>
  </sheetData>
  <mergeCells count="74">
    <mergeCell ref="B1:T2"/>
    <mergeCell ref="W1:AO2"/>
    <mergeCell ref="AU1:AZ2"/>
    <mergeCell ref="BA1:BH2"/>
    <mergeCell ref="B3:C4"/>
    <mergeCell ref="D3:I4"/>
    <mergeCell ref="J3:Q4"/>
    <mergeCell ref="R3:T4"/>
    <mergeCell ref="W3:AB4"/>
    <mergeCell ref="AC3:AE4"/>
    <mergeCell ref="AF3:AI4"/>
    <mergeCell ref="AJ3:AK4"/>
    <mergeCell ref="AL3:AO4"/>
    <mergeCell ref="AU3:AZ4"/>
    <mergeCell ref="BA3:BH4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E5:AE6"/>
    <mergeCell ref="S5:S6"/>
    <mergeCell ref="T5:T6"/>
    <mergeCell ref="U5:V5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B5:BB6"/>
    <mergeCell ref="BC5:BC6"/>
    <mergeCell ref="AR5:AR6"/>
    <mergeCell ref="AS5:AS6"/>
    <mergeCell ref="AT5:AT6"/>
    <mergeCell ref="AU5:AU6"/>
    <mergeCell ref="AV5:AV6"/>
    <mergeCell ref="AW5:AW6"/>
    <mergeCell ref="AS8:AS9"/>
    <mergeCell ref="AX5:AX6"/>
    <mergeCell ref="AY5:AY6"/>
    <mergeCell ref="AZ5:AZ6"/>
    <mergeCell ref="BA5:BA6"/>
    <mergeCell ref="BD5:BD6"/>
    <mergeCell ref="BE5:BE6"/>
    <mergeCell ref="BF5:BF6"/>
    <mergeCell ref="BG5:BG6"/>
    <mergeCell ref="BH5:BH6"/>
  </mergeCells>
  <pageMargins left="0.7" right="0.7" top="0.75" bottom="0.75" header="0.3" footer="0.3"/>
  <pageSetup paperSize="9" orientation="portrait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AI60"/>
  <sheetViews>
    <sheetView topLeftCell="F26" zoomScale="115" zoomScaleNormal="115" workbookViewId="0">
      <selection activeCell="H28" sqref="H28"/>
    </sheetView>
  </sheetViews>
  <sheetFormatPr baseColWidth="10" defaultColWidth="11.44140625" defaultRowHeight="14.4"/>
  <sheetData>
    <row r="1" spans="1:35">
      <c r="A1" s="396" t="s">
        <v>200</v>
      </c>
      <c r="B1" s="397"/>
      <c r="C1" s="397"/>
      <c r="D1" s="397"/>
      <c r="E1" s="397"/>
      <c r="F1" s="397"/>
      <c r="G1" s="398"/>
      <c r="I1" s="396" t="s">
        <v>201</v>
      </c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397"/>
      <c r="AE1" s="397"/>
      <c r="AF1" s="397"/>
      <c r="AG1" s="397"/>
      <c r="AH1" s="397"/>
      <c r="AI1" s="398"/>
    </row>
    <row r="2" spans="1:35" ht="15" thickBot="1">
      <c r="A2" s="434"/>
      <c r="B2" s="435"/>
      <c r="C2" s="435"/>
      <c r="D2" s="435"/>
      <c r="E2" s="435"/>
      <c r="F2" s="435"/>
      <c r="G2" s="436"/>
      <c r="I2" s="399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A2" s="400"/>
      <c r="AB2" s="400"/>
      <c r="AC2" s="400"/>
      <c r="AD2" s="400"/>
      <c r="AE2" s="400"/>
      <c r="AF2" s="400"/>
      <c r="AG2" s="400"/>
      <c r="AH2" s="400"/>
      <c r="AI2" s="401"/>
    </row>
    <row r="3" spans="1:35" ht="15" thickBot="1">
      <c r="A3" s="399"/>
      <c r="B3" s="400"/>
      <c r="C3" s="400"/>
      <c r="D3" s="400"/>
      <c r="E3" s="400"/>
      <c r="F3" s="400"/>
      <c r="G3" s="401"/>
      <c r="I3" s="437" t="s">
        <v>202</v>
      </c>
      <c r="J3" s="438"/>
      <c r="K3" s="438"/>
      <c r="L3" s="438"/>
      <c r="M3" s="438"/>
      <c r="N3" s="438"/>
      <c r="O3" s="438"/>
      <c r="P3" s="438"/>
      <c r="Q3" s="439"/>
      <c r="S3" s="437" t="s">
        <v>203</v>
      </c>
      <c r="T3" s="438"/>
      <c r="U3" s="438"/>
      <c r="V3" s="438"/>
      <c r="W3" s="438"/>
      <c r="X3" s="438"/>
      <c r="Y3" s="438"/>
      <c r="Z3" s="438"/>
      <c r="AA3" s="151"/>
      <c r="AB3" s="151"/>
      <c r="AC3" s="151"/>
      <c r="AD3" s="151"/>
      <c r="AE3" s="151"/>
      <c r="AF3" s="151"/>
      <c r="AG3" s="151"/>
      <c r="AH3" s="151"/>
      <c r="AI3" s="152"/>
    </row>
    <row r="4" spans="1:35">
      <c r="A4" s="323"/>
      <c r="B4" s="324"/>
      <c r="C4" s="324"/>
      <c r="D4" s="324"/>
      <c r="E4" s="324"/>
      <c r="F4" s="324"/>
      <c r="G4" s="440"/>
      <c r="I4" s="323"/>
      <c r="J4" s="324"/>
      <c r="K4" s="324"/>
      <c r="L4" s="324"/>
      <c r="M4" s="324"/>
      <c r="N4" s="324"/>
      <c r="O4" s="324"/>
      <c r="P4" s="324"/>
      <c r="Q4" s="440"/>
      <c r="S4" s="323"/>
      <c r="T4" s="324"/>
      <c r="U4" s="324"/>
      <c r="V4" s="324"/>
      <c r="W4" s="324"/>
      <c r="X4" s="324"/>
      <c r="Y4" s="324"/>
      <c r="Z4" s="440"/>
    </row>
    <row r="5" spans="1:35">
      <c r="A5" s="370"/>
      <c r="B5" s="371"/>
      <c r="C5" s="371"/>
      <c r="D5" s="371"/>
      <c r="E5" s="371"/>
      <c r="F5" s="371"/>
      <c r="G5" s="441"/>
      <c r="I5" s="370"/>
      <c r="J5" s="371"/>
      <c r="K5" s="371"/>
      <c r="L5" s="371"/>
      <c r="M5" s="371"/>
      <c r="N5" s="371"/>
      <c r="O5" s="371"/>
      <c r="P5" s="371"/>
      <c r="Q5" s="441"/>
      <c r="S5" s="370"/>
      <c r="T5" s="371"/>
      <c r="U5" s="371"/>
      <c r="V5" s="371"/>
      <c r="W5" s="371"/>
      <c r="X5" s="371"/>
      <c r="Y5" s="371"/>
      <c r="Z5" s="441"/>
    </row>
    <row r="6" spans="1:35">
      <c r="A6" s="370"/>
      <c r="B6" s="371"/>
      <c r="C6" s="371"/>
      <c r="D6" s="371"/>
      <c r="E6" s="371"/>
      <c r="F6" s="371"/>
      <c r="G6" s="441"/>
      <c r="I6" s="370"/>
      <c r="J6" s="371"/>
      <c r="K6" s="371"/>
      <c r="L6" s="371"/>
      <c r="M6" s="371"/>
      <c r="N6" s="371"/>
      <c r="O6" s="371"/>
      <c r="P6" s="371"/>
      <c r="Q6" s="441"/>
      <c r="S6" s="370"/>
      <c r="T6" s="371"/>
      <c r="U6" s="371"/>
      <c r="V6" s="371"/>
      <c r="W6" s="371"/>
      <c r="X6" s="371"/>
      <c r="Y6" s="371"/>
      <c r="Z6" s="441"/>
    </row>
    <row r="7" spans="1:35">
      <c r="A7" s="370"/>
      <c r="B7" s="371"/>
      <c r="C7" s="371"/>
      <c r="D7" s="371"/>
      <c r="E7" s="371"/>
      <c r="F7" s="371"/>
      <c r="G7" s="441"/>
      <c r="I7" s="370"/>
      <c r="J7" s="371"/>
      <c r="K7" s="371"/>
      <c r="L7" s="371"/>
      <c r="M7" s="371"/>
      <c r="N7" s="371"/>
      <c r="O7" s="371"/>
      <c r="P7" s="371"/>
      <c r="Q7" s="441"/>
      <c r="S7" s="370"/>
      <c r="T7" s="371"/>
      <c r="U7" s="371"/>
      <c r="V7" s="371"/>
      <c r="W7" s="371"/>
      <c r="X7" s="371"/>
      <c r="Y7" s="371"/>
      <c r="Z7" s="441"/>
    </row>
    <row r="8" spans="1:35">
      <c r="A8" s="370"/>
      <c r="B8" s="371"/>
      <c r="C8" s="371"/>
      <c r="D8" s="371"/>
      <c r="E8" s="371"/>
      <c r="F8" s="371"/>
      <c r="G8" s="441"/>
      <c r="I8" s="370"/>
      <c r="J8" s="371"/>
      <c r="K8" s="371"/>
      <c r="L8" s="371"/>
      <c r="M8" s="371"/>
      <c r="N8" s="371"/>
      <c r="O8" s="371"/>
      <c r="P8" s="371"/>
      <c r="Q8" s="441"/>
      <c r="S8" s="370"/>
      <c r="T8" s="371"/>
      <c r="U8" s="371"/>
      <c r="V8" s="371"/>
      <c r="W8" s="371"/>
      <c r="X8" s="371"/>
      <c r="Y8" s="371"/>
      <c r="Z8" s="441"/>
    </row>
    <row r="9" spans="1:35">
      <c r="A9" s="370"/>
      <c r="B9" s="371"/>
      <c r="C9" s="371"/>
      <c r="D9" s="371"/>
      <c r="E9" s="371"/>
      <c r="F9" s="371"/>
      <c r="G9" s="441"/>
      <c r="I9" s="370"/>
      <c r="J9" s="371"/>
      <c r="K9" s="371"/>
      <c r="L9" s="371"/>
      <c r="M9" s="371"/>
      <c r="N9" s="371"/>
      <c r="O9" s="371"/>
      <c r="P9" s="371"/>
      <c r="Q9" s="441"/>
      <c r="S9" s="370"/>
      <c r="T9" s="371"/>
      <c r="U9" s="371"/>
      <c r="V9" s="371"/>
      <c r="W9" s="371"/>
      <c r="X9" s="371"/>
      <c r="Y9" s="371"/>
      <c r="Z9" s="441"/>
    </row>
    <row r="10" spans="1:35">
      <c r="A10" s="370"/>
      <c r="B10" s="371"/>
      <c r="C10" s="371"/>
      <c r="D10" s="371"/>
      <c r="E10" s="371"/>
      <c r="F10" s="371"/>
      <c r="G10" s="441"/>
      <c r="I10" s="370"/>
      <c r="J10" s="371"/>
      <c r="K10" s="371"/>
      <c r="L10" s="371"/>
      <c r="M10" s="371"/>
      <c r="N10" s="371"/>
      <c r="O10" s="371"/>
      <c r="P10" s="371"/>
      <c r="Q10" s="441"/>
      <c r="S10" s="370"/>
      <c r="T10" s="371"/>
      <c r="U10" s="371"/>
      <c r="V10" s="371"/>
      <c r="W10" s="371"/>
      <c r="X10" s="371"/>
      <c r="Y10" s="371"/>
      <c r="Z10" s="441"/>
    </row>
    <row r="11" spans="1:35">
      <c r="A11" s="370"/>
      <c r="B11" s="371"/>
      <c r="C11" s="371"/>
      <c r="D11" s="371"/>
      <c r="E11" s="371"/>
      <c r="F11" s="371"/>
      <c r="G11" s="441"/>
      <c r="I11" s="370"/>
      <c r="J11" s="371"/>
      <c r="K11" s="371"/>
      <c r="L11" s="371"/>
      <c r="M11" s="371"/>
      <c r="N11" s="371"/>
      <c r="O11" s="371"/>
      <c r="P11" s="371"/>
      <c r="Q11" s="441"/>
      <c r="S11" s="370"/>
      <c r="T11" s="371"/>
      <c r="U11" s="371"/>
      <c r="V11" s="371"/>
      <c r="W11" s="371"/>
      <c r="X11" s="371"/>
      <c r="Y11" s="371"/>
      <c r="Z11" s="441"/>
    </row>
    <row r="12" spans="1:35">
      <c r="A12" s="370"/>
      <c r="B12" s="371"/>
      <c r="C12" s="371"/>
      <c r="D12" s="371"/>
      <c r="E12" s="371"/>
      <c r="F12" s="371"/>
      <c r="G12" s="441"/>
      <c r="I12" s="370"/>
      <c r="J12" s="371"/>
      <c r="K12" s="371"/>
      <c r="L12" s="371"/>
      <c r="M12" s="371"/>
      <c r="N12" s="371"/>
      <c r="O12" s="371"/>
      <c r="P12" s="371"/>
      <c r="Q12" s="441"/>
      <c r="S12" s="370"/>
      <c r="T12" s="371"/>
      <c r="U12" s="371"/>
      <c r="V12" s="371"/>
      <c r="W12" s="371"/>
      <c r="X12" s="371"/>
      <c r="Y12" s="371"/>
      <c r="Z12" s="441"/>
    </row>
    <row r="13" spans="1:35">
      <c r="A13" s="370"/>
      <c r="B13" s="371"/>
      <c r="C13" s="371"/>
      <c r="D13" s="371"/>
      <c r="E13" s="371"/>
      <c r="F13" s="371"/>
      <c r="G13" s="441"/>
      <c r="I13" s="370"/>
      <c r="J13" s="371"/>
      <c r="K13" s="371"/>
      <c r="L13" s="371"/>
      <c r="M13" s="371"/>
      <c r="N13" s="371"/>
      <c r="O13" s="371"/>
      <c r="P13" s="371"/>
      <c r="Q13" s="441"/>
      <c r="S13" s="370"/>
      <c r="T13" s="371"/>
      <c r="U13" s="371"/>
      <c r="V13" s="371"/>
      <c r="W13" s="371"/>
      <c r="X13" s="371"/>
      <c r="Y13" s="371"/>
      <c r="Z13" s="441"/>
    </row>
    <row r="14" spans="1:35">
      <c r="A14" s="370"/>
      <c r="B14" s="371"/>
      <c r="C14" s="371"/>
      <c r="D14" s="371"/>
      <c r="E14" s="371"/>
      <c r="F14" s="371"/>
      <c r="G14" s="441"/>
      <c r="I14" s="370"/>
      <c r="J14" s="371"/>
      <c r="K14" s="371"/>
      <c r="L14" s="371"/>
      <c r="M14" s="371"/>
      <c r="N14" s="371"/>
      <c r="O14" s="371"/>
      <c r="P14" s="371"/>
      <c r="Q14" s="441"/>
      <c r="S14" s="370"/>
      <c r="T14" s="371"/>
      <c r="U14" s="371"/>
      <c r="V14" s="371"/>
      <c r="W14" s="371"/>
      <c r="X14" s="371"/>
      <c r="Y14" s="371"/>
      <c r="Z14" s="441"/>
    </row>
    <row r="15" spans="1:35">
      <c r="A15" s="370"/>
      <c r="B15" s="371"/>
      <c r="C15" s="371"/>
      <c r="D15" s="371"/>
      <c r="E15" s="371"/>
      <c r="F15" s="371"/>
      <c r="G15" s="441"/>
      <c r="I15" s="370"/>
      <c r="J15" s="371"/>
      <c r="K15" s="371"/>
      <c r="L15" s="371"/>
      <c r="M15" s="371"/>
      <c r="N15" s="371"/>
      <c r="O15" s="371"/>
      <c r="P15" s="371"/>
      <c r="Q15" s="441"/>
      <c r="S15" s="370"/>
      <c r="T15" s="371"/>
      <c r="U15" s="371"/>
      <c r="V15" s="371"/>
      <c r="W15" s="371"/>
      <c r="X15" s="371"/>
      <c r="Y15" s="371"/>
      <c r="Z15" s="441"/>
    </row>
    <row r="16" spans="1:35">
      <c r="A16" s="370"/>
      <c r="B16" s="371"/>
      <c r="C16" s="371"/>
      <c r="D16" s="371"/>
      <c r="E16" s="371"/>
      <c r="F16" s="371"/>
      <c r="G16" s="441"/>
      <c r="I16" s="370"/>
      <c r="J16" s="371"/>
      <c r="K16" s="371"/>
      <c r="L16" s="371"/>
      <c r="M16" s="371"/>
      <c r="N16" s="371"/>
      <c r="O16" s="371"/>
      <c r="P16" s="371"/>
      <c r="Q16" s="441"/>
      <c r="S16" s="370"/>
      <c r="T16" s="371"/>
      <c r="U16" s="371"/>
      <c r="V16" s="371"/>
      <c r="W16" s="371"/>
      <c r="X16" s="371"/>
      <c r="Y16" s="371"/>
      <c r="Z16" s="441"/>
    </row>
    <row r="17" spans="1:26">
      <c r="A17" s="370"/>
      <c r="B17" s="371"/>
      <c r="C17" s="371"/>
      <c r="D17" s="371"/>
      <c r="E17" s="371"/>
      <c r="F17" s="371"/>
      <c r="G17" s="441"/>
      <c r="I17" s="370"/>
      <c r="J17" s="371"/>
      <c r="K17" s="371"/>
      <c r="L17" s="371"/>
      <c r="M17" s="371"/>
      <c r="N17" s="371"/>
      <c r="O17" s="371"/>
      <c r="P17" s="371"/>
      <c r="Q17" s="441"/>
      <c r="S17" s="370"/>
      <c r="T17" s="371"/>
      <c r="U17" s="371"/>
      <c r="V17" s="371"/>
      <c r="W17" s="371"/>
      <c r="X17" s="371"/>
      <c r="Y17" s="371"/>
      <c r="Z17" s="441"/>
    </row>
    <row r="18" spans="1:26">
      <c r="A18" s="370"/>
      <c r="B18" s="371"/>
      <c r="C18" s="371"/>
      <c r="D18" s="371"/>
      <c r="E18" s="371"/>
      <c r="F18" s="371"/>
      <c r="G18" s="441"/>
      <c r="I18" s="370"/>
      <c r="J18" s="371"/>
      <c r="K18" s="371"/>
      <c r="L18" s="371"/>
      <c r="M18" s="371"/>
      <c r="N18" s="371"/>
      <c r="O18" s="371"/>
      <c r="P18" s="371"/>
      <c r="Q18" s="441"/>
      <c r="S18" s="370"/>
      <c r="T18" s="371"/>
      <c r="U18" s="371"/>
      <c r="V18" s="371"/>
      <c r="W18" s="371"/>
      <c r="X18" s="371"/>
      <c r="Y18" s="371"/>
      <c r="Z18" s="441"/>
    </row>
    <row r="19" spans="1:26">
      <c r="A19" s="370"/>
      <c r="B19" s="371"/>
      <c r="C19" s="371"/>
      <c r="D19" s="371"/>
      <c r="E19" s="371"/>
      <c r="F19" s="371"/>
      <c r="G19" s="441"/>
      <c r="I19" s="370"/>
      <c r="J19" s="371"/>
      <c r="K19" s="371"/>
      <c r="L19" s="371"/>
      <c r="M19" s="371"/>
      <c r="N19" s="371"/>
      <c r="O19" s="371"/>
      <c r="P19" s="371"/>
      <c r="Q19" s="441"/>
      <c r="S19" s="370"/>
      <c r="T19" s="371"/>
      <c r="U19" s="371"/>
      <c r="V19" s="371"/>
      <c r="W19" s="371"/>
      <c r="X19" s="371"/>
      <c r="Y19" s="371"/>
      <c r="Z19" s="441"/>
    </row>
    <row r="20" spans="1:26">
      <c r="A20" s="370"/>
      <c r="B20" s="371"/>
      <c r="C20" s="371"/>
      <c r="D20" s="371"/>
      <c r="E20" s="371"/>
      <c r="F20" s="371"/>
      <c r="G20" s="441"/>
      <c r="I20" s="370"/>
      <c r="J20" s="371"/>
      <c r="K20" s="371"/>
      <c r="L20" s="371"/>
      <c r="M20" s="371"/>
      <c r="N20" s="371"/>
      <c r="O20" s="371"/>
      <c r="P20" s="371"/>
      <c r="Q20" s="441"/>
      <c r="S20" s="370"/>
      <c r="T20" s="371"/>
      <c r="U20" s="371"/>
      <c r="V20" s="371"/>
      <c r="W20" s="371"/>
      <c r="X20" s="371"/>
      <c r="Y20" s="371"/>
      <c r="Z20" s="441"/>
    </row>
    <row r="21" spans="1:26">
      <c r="A21" s="370"/>
      <c r="B21" s="371"/>
      <c r="C21" s="371"/>
      <c r="D21" s="371"/>
      <c r="E21" s="371"/>
      <c r="F21" s="371"/>
      <c r="G21" s="441"/>
      <c r="I21" s="370"/>
      <c r="J21" s="371"/>
      <c r="K21" s="371"/>
      <c r="L21" s="371"/>
      <c r="M21" s="371"/>
      <c r="N21" s="371"/>
      <c r="O21" s="371"/>
      <c r="P21" s="371"/>
      <c r="Q21" s="441"/>
      <c r="S21" s="370"/>
      <c r="T21" s="371"/>
      <c r="U21" s="371"/>
      <c r="V21" s="371"/>
      <c r="W21" s="371"/>
      <c r="X21" s="371"/>
      <c r="Y21" s="371"/>
      <c r="Z21" s="441"/>
    </row>
    <row r="22" spans="1:26">
      <c r="A22" s="370"/>
      <c r="B22" s="371"/>
      <c r="C22" s="371"/>
      <c r="D22" s="371"/>
      <c r="E22" s="371"/>
      <c r="F22" s="371"/>
      <c r="G22" s="441"/>
      <c r="I22" s="370"/>
      <c r="J22" s="371"/>
      <c r="K22" s="371"/>
      <c r="L22" s="371"/>
      <c r="M22" s="371"/>
      <c r="N22" s="371"/>
      <c r="O22" s="371"/>
      <c r="P22" s="371"/>
      <c r="Q22" s="441"/>
      <c r="S22" s="370"/>
      <c r="T22" s="371"/>
      <c r="U22" s="371"/>
      <c r="V22" s="371"/>
      <c r="W22" s="371"/>
      <c r="X22" s="371"/>
      <c r="Y22" s="371"/>
      <c r="Z22" s="441"/>
    </row>
    <row r="23" spans="1:26">
      <c r="A23" s="370"/>
      <c r="B23" s="371"/>
      <c r="C23" s="371"/>
      <c r="D23" s="371"/>
      <c r="E23" s="371"/>
      <c r="F23" s="371"/>
      <c r="G23" s="441"/>
      <c r="I23" s="370"/>
      <c r="J23" s="371"/>
      <c r="K23" s="371"/>
      <c r="L23" s="371"/>
      <c r="M23" s="371"/>
      <c r="N23" s="371"/>
      <c r="O23" s="371"/>
      <c r="P23" s="371"/>
      <c r="Q23" s="441"/>
      <c r="S23" s="370"/>
      <c r="T23" s="371"/>
      <c r="U23" s="371"/>
      <c r="V23" s="371"/>
      <c r="W23" s="371"/>
      <c r="X23" s="371"/>
      <c r="Y23" s="371"/>
      <c r="Z23" s="441"/>
    </row>
    <row r="24" spans="1:26">
      <c r="A24" s="370"/>
      <c r="B24" s="371"/>
      <c r="C24" s="371"/>
      <c r="D24" s="371"/>
      <c r="E24" s="371"/>
      <c r="F24" s="371"/>
      <c r="G24" s="441"/>
      <c r="I24" s="370"/>
      <c r="J24" s="371"/>
      <c r="K24" s="371"/>
      <c r="L24" s="371"/>
      <c r="M24" s="371"/>
      <c r="N24" s="371"/>
      <c r="O24" s="371"/>
      <c r="P24" s="371"/>
      <c r="Q24" s="441"/>
      <c r="S24" s="370"/>
      <c r="T24" s="371"/>
      <c r="U24" s="371"/>
      <c r="V24" s="371"/>
      <c r="W24" s="371"/>
      <c r="X24" s="371"/>
      <c r="Y24" s="371"/>
      <c r="Z24" s="441"/>
    </row>
    <row r="25" spans="1:26">
      <c r="A25" s="370"/>
      <c r="B25" s="371"/>
      <c r="C25" s="371"/>
      <c r="D25" s="371"/>
      <c r="E25" s="371"/>
      <c r="F25" s="371"/>
      <c r="G25" s="441"/>
      <c r="I25" s="370"/>
      <c r="J25" s="371"/>
      <c r="K25" s="371"/>
      <c r="L25" s="371"/>
      <c r="M25" s="371"/>
      <c r="N25" s="371"/>
      <c r="O25" s="371"/>
      <c r="P25" s="371"/>
      <c r="Q25" s="441"/>
      <c r="S25" s="370"/>
      <c r="T25" s="371"/>
      <c r="U25" s="371"/>
      <c r="V25" s="371"/>
      <c r="W25" s="371"/>
      <c r="X25" s="371"/>
      <c r="Y25" s="371"/>
      <c r="Z25" s="441"/>
    </row>
    <row r="26" spans="1:26">
      <c r="A26" s="370"/>
      <c r="B26" s="371"/>
      <c r="C26" s="371"/>
      <c r="D26" s="371"/>
      <c r="E26" s="371"/>
      <c r="F26" s="371"/>
      <c r="G26" s="441"/>
      <c r="I26" s="370"/>
      <c r="J26" s="371"/>
      <c r="K26" s="371"/>
      <c r="L26" s="371"/>
      <c r="M26" s="371"/>
      <c r="N26" s="371"/>
      <c r="O26" s="371"/>
      <c r="P26" s="371"/>
      <c r="Q26" s="441"/>
      <c r="S26" s="370"/>
      <c r="T26" s="371"/>
      <c r="U26" s="371"/>
      <c r="V26" s="371"/>
      <c r="W26" s="371"/>
      <c r="X26" s="371"/>
      <c r="Y26" s="371"/>
      <c r="Z26" s="441"/>
    </row>
    <row r="27" spans="1:26">
      <c r="A27" s="370"/>
      <c r="B27" s="371"/>
      <c r="C27" s="371"/>
      <c r="D27" s="371"/>
      <c r="E27" s="371"/>
      <c r="F27" s="371"/>
      <c r="G27" s="441"/>
      <c r="I27" s="370"/>
      <c r="J27" s="371"/>
      <c r="K27" s="371"/>
      <c r="L27" s="371"/>
      <c r="M27" s="371"/>
      <c r="N27" s="371"/>
      <c r="O27" s="371"/>
      <c r="P27" s="371"/>
      <c r="Q27" s="441"/>
      <c r="S27" s="370"/>
      <c r="T27" s="371"/>
      <c r="U27" s="371"/>
      <c r="V27" s="371"/>
      <c r="W27" s="371"/>
      <c r="X27" s="371"/>
      <c r="Y27" s="371"/>
      <c r="Z27" s="441"/>
    </row>
    <row r="28" spans="1:26">
      <c r="A28" s="370"/>
      <c r="B28" s="371"/>
      <c r="C28" s="371"/>
      <c r="D28" s="371"/>
      <c r="E28" s="371"/>
      <c r="F28" s="371"/>
      <c r="G28" s="441"/>
      <c r="I28" s="370"/>
      <c r="J28" s="371"/>
      <c r="K28" s="371"/>
      <c r="L28" s="371"/>
      <c r="M28" s="371"/>
      <c r="N28" s="371"/>
      <c r="O28" s="371"/>
      <c r="P28" s="371"/>
      <c r="Q28" s="441"/>
      <c r="S28" s="370"/>
      <c r="T28" s="371"/>
      <c r="U28" s="371"/>
      <c r="V28" s="371"/>
      <c r="W28" s="371"/>
      <c r="X28" s="371"/>
      <c r="Y28" s="371"/>
      <c r="Z28" s="441"/>
    </row>
    <row r="29" spans="1:26">
      <c r="A29" s="370"/>
      <c r="B29" s="371"/>
      <c r="C29" s="371"/>
      <c r="D29" s="371"/>
      <c r="E29" s="371"/>
      <c r="F29" s="371"/>
      <c r="G29" s="441"/>
      <c r="I29" s="370"/>
      <c r="J29" s="371"/>
      <c r="K29" s="371"/>
      <c r="L29" s="371"/>
      <c r="M29" s="371"/>
      <c r="N29" s="371"/>
      <c r="O29" s="371"/>
      <c r="P29" s="371"/>
      <c r="Q29" s="441"/>
      <c r="S29" s="370"/>
      <c r="T29" s="371"/>
      <c r="U29" s="371"/>
      <c r="V29" s="371"/>
      <c r="W29" s="371"/>
      <c r="X29" s="371"/>
      <c r="Y29" s="371"/>
      <c r="Z29" s="441"/>
    </row>
    <row r="30" spans="1:26">
      <c r="A30" s="370"/>
      <c r="B30" s="371"/>
      <c r="C30" s="371"/>
      <c r="D30" s="371"/>
      <c r="E30" s="371"/>
      <c r="F30" s="371"/>
      <c r="G30" s="441"/>
      <c r="I30" s="370"/>
      <c r="J30" s="371"/>
      <c r="K30" s="371"/>
      <c r="L30" s="371"/>
      <c r="M30" s="371"/>
      <c r="N30" s="371"/>
      <c r="O30" s="371"/>
      <c r="P30" s="371"/>
      <c r="Q30" s="441"/>
      <c r="S30" s="370"/>
      <c r="T30" s="371"/>
      <c r="U30" s="371"/>
      <c r="V30" s="371"/>
      <c r="W30" s="371"/>
      <c r="X30" s="371"/>
      <c r="Y30" s="371"/>
      <c r="Z30" s="441"/>
    </row>
    <row r="31" spans="1:26">
      <c r="A31" s="370"/>
      <c r="B31" s="371"/>
      <c r="C31" s="371"/>
      <c r="D31" s="371"/>
      <c r="E31" s="371"/>
      <c r="F31" s="371"/>
      <c r="G31" s="441"/>
      <c r="I31" s="370"/>
      <c r="J31" s="371"/>
      <c r="K31" s="371"/>
      <c r="L31" s="371"/>
      <c r="M31" s="371"/>
      <c r="N31" s="371"/>
      <c r="O31" s="371"/>
      <c r="P31" s="371"/>
      <c r="Q31" s="441"/>
      <c r="S31" s="370"/>
      <c r="T31" s="371"/>
      <c r="U31" s="371"/>
      <c r="V31" s="371"/>
      <c r="W31" s="371"/>
      <c r="X31" s="371"/>
      <c r="Y31" s="371"/>
      <c r="Z31" s="441"/>
    </row>
    <row r="32" spans="1:26">
      <c r="A32" s="370"/>
      <c r="B32" s="371"/>
      <c r="C32" s="371"/>
      <c r="D32" s="371"/>
      <c r="E32" s="371"/>
      <c r="F32" s="371"/>
      <c r="G32" s="441"/>
      <c r="I32" s="370"/>
      <c r="J32" s="371"/>
      <c r="K32" s="371"/>
      <c r="L32" s="371"/>
      <c r="M32" s="371"/>
      <c r="N32" s="371"/>
      <c r="O32" s="371"/>
      <c r="P32" s="371"/>
      <c r="Q32" s="441"/>
      <c r="S32" s="370"/>
      <c r="T32" s="371"/>
      <c r="U32" s="371"/>
      <c r="V32" s="371"/>
      <c r="W32" s="371"/>
      <c r="X32" s="371"/>
      <c r="Y32" s="371"/>
      <c r="Z32" s="441"/>
    </row>
    <row r="33" spans="1:26">
      <c r="A33" s="370"/>
      <c r="B33" s="371"/>
      <c r="C33" s="371"/>
      <c r="D33" s="371"/>
      <c r="E33" s="371"/>
      <c r="F33" s="371"/>
      <c r="G33" s="441"/>
      <c r="I33" s="370"/>
      <c r="J33" s="371"/>
      <c r="K33" s="371"/>
      <c r="L33" s="371"/>
      <c r="M33" s="371"/>
      <c r="N33" s="371"/>
      <c r="O33" s="371"/>
      <c r="P33" s="371"/>
      <c r="Q33" s="441"/>
      <c r="S33" s="370"/>
      <c r="T33" s="371"/>
      <c r="U33" s="371"/>
      <c r="V33" s="371"/>
      <c r="W33" s="371"/>
      <c r="X33" s="371"/>
      <c r="Y33" s="371"/>
      <c r="Z33" s="441"/>
    </row>
    <row r="34" spans="1:26">
      <c r="A34" s="370"/>
      <c r="B34" s="371"/>
      <c r="C34" s="371"/>
      <c r="D34" s="371"/>
      <c r="E34" s="371"/>
      <c r="F34" s="371"/>
      <c r="G34" s="441"/>
      <c r="I34" s="370"/>
      <c r="J34" s="371"/>
      <c r="K34" s="371"/>
      <c r="L34" s="371"/>
      <c r="M34" s="371"/>
      <c r="N34" s="371"/>
      <c r="O34" s="371"/>
      <c r="P34" s="371"/>
      <c r="Q34" s="441"/>
      <c r="S34" s="370"/>
      <c r="T34" s="371"/>
      <c r="U34" s="371"/>
      <c r="V34" s="371"/>
      <c r="W34" s="371"/>
      <c r="X34" s="371"/>
      <c r="Y34" s="371"/>
      <c r="Z34" s="441"/>
    </row>
    <row r="35" spans="1:26">
      <c r="A35" s="370"/>
      <c r="B35" s="371"/>
      <c r="C35" s="371"/>
      <c r="D35" s="371"/>
      <c r="E35" s="371"/>
      <c r="F35" s="371"/>
      <c r="G35" s="441"/>
      <c r="I35" s="370"/>
      <c r="J35" s="371"/>
      <c r="K35" s="371"/>
      <c r="L35" s="371"/>
      <c r="M35" s="371"/>
      <c r="N35" s="371"/>
      <c r="O35" s="371"/>
      <c r="P35" s="371"/>
      <c r="Q35" s="441"/>
      <c r="S35" s="370"/>
      <c r="T35" s="371"/>
      <c r="U35" s="371"/>
      <c r="V35" s="371"/>
      <c r="W35" s="371"/>
      <c r="X35" s="371"/>
      <c r="Y35" s="371"/>
      <c r="Z35" s="441"/>
    </row>
    <row r="36" spans="1:26">
      <c r="A36" s="370"/>
      <c r="B36" s="371"/>
      <c r="C36" s="371"/>
      <c r="D36" s="371"/>
      <c r="E36" s="371"/>
      <c r="F36" s="371"/>
      <c r="G36" s="441"/>
      <c r="I36" s="370"/>
      <c r="J36" s="371"/>
      <c r="K36" s="371"/>
      <c r="L36" s="371"/>
      <c r="M36" s="371"/>
      <c r="N36" s="371"/>
      <c r="O36" s="371"/>
      <c r="P36" s="371"/>
      <c r="Q36" s="441"/>
      <c r="S36" s="370"/>
      <c r="T36" s="371"/>
      <c r="U36" s="371"/>
      <c r="V36" s="371"/>
      <c r="W36" s="371"/>
      <c r="X36" s="371"/>
      <c r="Y36" s="371"/>
      <c r="Z36" s="441"/>
    </row>
    <row r="37" spans="1:26">
      <c r="A37" s="370"/>
      <c r="B37" s="371"/>
      <c r="C37" s="371"/>
      <c r="D37" s="371"/>
      <c r="E37" s="371"/>
      <c r="F37" s="371"/>
      <c r="G37" s="441"/>
      <c r="I37" s="370"/>
      <c r="J37" s="371"/>
      <c r="K37" s="371"/>
      <c r="L37" s="371"/>
      <c r="M37" s="371"/>
      <c r="N37" s="371"/>
      <c r="O37" s="371"/>
      <c r="P37" s="371"/>
      <c r="Q37" s="441"/>
      <c r="S37" s="370"/>
      <c r="T37" s="371"/>
      <c r="U37" s="371"/>
      <c r="V37" s="371"/>
      <c r="W37" s="371"/>
      <c r="X37" s="371"/>
      <c r="Y37" s="371"/>
      <c r="Z37" s="441"/>
    </row>
    <row r="38" spans="1:26">
      <c r="A38" s="370"/>
      <c r="B38" s="371"/>
      <c r="C38" s="371"/>
      <c r="D38" s="371"/>
      <c r="E38" s="371"/>
      <c r="F38" s="371"/>
      <c r="G38" s="441"/>
      <c r="I38" s="370"/>
      <c r="J38" s="371"/>
      <c r="K38" s="371"/>
      <c r="L38" s="371"/>
      <c r="M38" s="371"/>
      <c r="N38" s="371"/>
      <c r="O38" s="371"/>
      <c r="P38" s="371"/>
      <c r="Q38" s="441"/>
      <c r="S38" s="370"/>
      <c r="T38" s="371"/>
      <c r="U38" s="371"/>
      <c r="V38" s="371"/>
      <c r="W38" s="371"/>
      <c r="X38" s="371"/>
      <c r="Y38" s="371"/>
      <c r="Z38" s="441"/>
    </row>
    <row r="39" spans="1:26">
      <c r="A39" s="370"/>
      <c r="B39" s="371"/>
      <c r="C39" s="371"/>
      <c r="D39" s="371"/>
      <c r="E39" s="371"/>
      <c r="F39" s="371"/>
      <c r="G39" s="441"/>
      <c r="I39" s="370"/>
      <c r="J39" s="371"/>
      <c r="K39" s="371"/>
      <c r="L39" s="371"/>
      <c r="M39" s="371"/>
      <c r="N39" s="371"/>
      <c r="O39" s="371"/>
      <c r="P39" s="371"/>
      <c r="Q39" s="441"/>
      <c r="S39" s="370"/>
      <c r="T39" s="371"/>
      <c r="U39" s="371"/>
      <c r="V39" s="371"/>
      <c r="W39" s="371"/>
      <c r="X39" s="371"/>
      <c r="Y39" s="371"/>
      <c r="Z39" s="441"/>
    </row>
    <row r="40" spans="1:26">
      <c r="A40" s="370"/>
      <c r="B40" s="371"/>
      <c r="C40" s="371"/>
      <c r="D40" s="371"/>
      <c r="E40" s="371"/>
      <c r="F40" s="371"/>
      <c r="G40" s="441"/>
      <c r="I40" s="370"/>
      <c r="J40" s="371"/>
      <c r="K40" s="371"/>
      <c r="L40" s="371"/>
      <c r="M40" s="371"/>
      <c r="N40" s="371"/>
      <c r="O40" s="371"/>
      <c r="P40" s="371"/>
      <c r="Q40" s="441"/>
      <c r="S40" s="370"/>
      <c r="T40" s="371"/>
      <c r="U40" s="371"/>
      <c r="V40" s="371"/>
      <c r="W40" s="371"/>
      <c r="X40" s="371"/>
      <c r="Y40" s="371"/>
      <c r="Z40" s="441"/>
    </row>
    <row r="41" spans="1:26">
      <c r="A41" s="370"/>
      <c r="B41" s="371"/>
      <c r="C41" s="371"/>
      <c r="D41" s="371"/>
      <c r="E41" s="371"/>
      <c r="F41" s="371"/>
      <c r="G41" s="441"/>
      <c r="I41" s="370"/>
      <c r="J41" s="371"/>
      <c r="K41" s="371"/>
      <c r="L41" s="371"/>
      <c r="M41" s="371"/>
      <c r="N41" s="371"/>
      <c r="O41" s="371"/>
      <c r="P41" s="371"/>
      <c r="Q41" s="441"/>
      <c r="S41" s="370"/>
      <c r="T41" s="371"/>
      <c r="U41" s="371"/>
      <c r="V41" s="371"/>
      <c r="W41" s="371"/>
      <c r="X41" s="371"/>
      <c r="Y41" s="371"/>
      <c r="Z41" s="441"/>
    </row>
    <row r="42" spans="1:26">
      <c r="A42" s="370"/>
      <c r="B42" s="371"/>
      <c r="C42" s="371"/>
      <c r="D42" s="371"/>
      <c r="E42" s="371"/>
      <c r="F42" s="371"/>
      <c r="G42" s="441"/>
      <c r="I42" s="370"/>
      <c r="J42" s="371"/>
      <c r="K42" s="371"/>
      <c r="L42" s="371"/>
      <c r="M42" s="371"/>
      <c r="N42" s="371"/>
      <c r="O42" s="371"/>
      <c r="P42" s="371"/>
      <c r="Q42" s="441"/>
      <c r="S42" s="370"/>
      <c r="T42" s="371"/>
      <c r="U42" s="371"/>
      <c r="V42" s="371"/>
      <c r="W42" s="371"/>
      <c r="X42" s="371"/>
      <c r="Y42" s="371"/>
      <c r="Z42" s="441"/>
    </row>
    <row r="43" spans="1:26">
      <c r="A43" s="370"/>
      <c r="B43" s="371"/>
      <c r="C43" s="371"/>
      <c r="D43" s="371"/>
      <c r="E43" s="371"/>
      <c r="F43" s="371"/>
      <c r="G43" s="441"/>
      <c r="I43" s="370"/>
      <c r="J43" s="371"/>
      <c r="K43" s="371"/>
      <c r="L43" s="371"/>
      <c r="M43" s="371"/>
      <c r="N43" s="371"/>
      <c r="O43" s="371"/>
      <c r="P43" s="371"/>
      <c r="Q43" s="441"/>
      <c r="S43" s="370"/>
      <c r="T43" s="371"/>
      <c r="U43" s="371"/>
      <c r="V43" s="371"/>
      <c r="W43" s="371"/>
      <c r="X43" s="371"/>
      <c r="Y43" s="371"/>
      <c r="Z43" s="441"/>
    </row>
    <row r="44" spans="1:26">
      <c r="A44" s="370"/>
      <c r="B44" s="371"/>
      <c r="C44" s="371"/>
      <c r="D44" s="371"/>
      <c r="E44" s="371"/>
      <c r="F44" s="371"/>
      <c r="G44" s="441"/>
      <c r="I44" s="370"/>
      <c r="J44" s="371"/>
      <c r="K44" s="371"/>
      <c r="L44" s="371"/>
      <c r="M44" s="371"/>
      <c r="N44" s="371"/>
      <c r="O44" s="371"/>
      <c r="P44" s="371"/>
      <c r="Q44" s="441"/>
      <c r="S44" s="370"/>
      <c r="T44" s="371"/>
      <c r="U44" s="371"/>
      <c r="V44" s="371"/>
      <c r="W44" s="371"/>
      <c r="X44" s="371"/>
      <c r="Y44" s="371"/>
      <c r="Z44" s="441"/>
    </row>
    <row r="45" spans="1:26">
      <c r="A45" s="370"/>
      <c r="B45" s="371"/>
      <c r="C45" s="371"/>
      <c r="D45" s="371"/>
      <c r="E45" s="371"/>
      <c r="F45" s="371"/>
      <c r="G45" s="441"/>
      <c r="I45" s="370"/>
      <c r="J45" s="371"/>
      <c r="K45" s="371"/>
      <c r="L45" s="371"/>
      <c r="M45" s="371"/>
      <c r="N45" s="371"/>
      <c r="O45" s="371"/>
      <c r="P45" s="371"/>
      <c r="Q45" s="441"/>
      <c r="S45" s="370"/>
      <c r="T45" s="371"/>
      <c r="U45" s="371"/>
      <c r="V45" s="371"/>
      <c r="W45" s="371"/>
      <c r="X45" s="371"/>
      <c r="Y45" s="371"/>
      <c r="Z45" s="441"/>
    </row>
    <row r="46" spans="1:26">
      <c r="A46" s="370"/>
      <c r="B46" s="371"/>
      <c r="C46" s="371"/>
      <c r="D46" s="371"/>
      <c r="E46" s="371"/>
      <c r="F46" s="371"/>
      <c r="G46" s="441"/>
      <c r="I46" s="370"/>
      <c r="J46" s="371"/>
      <c r="K46" s="371"/>
      <c r="L46" s="371"/>
      <c r="M46" s="371"/>
      <c r="N46" s="371"/>
      <c r="O46" s="371"/>
      <c r="P46" s="371"/>
      <c r="Q46" s="441"/>
      <c r="S46" s="370"/>
      <c r="T46" s="371"/>
      <c r="U46" s="371"/>
      <c r="V46" s="371"/>
      <c r="W46" s="371"/>
      <c r="X46" s="371"/>
      <c r="Y46" s="371"/>
      <c r="Z46" s="441"/>
    </row>
    <row r="47" spans="1:26">
      <c r="A47" s="370"/>
      <c r="B47" s="371"/>
      <c r="C47" s="371"/>
      <c r="D47" s="371"/>
      <c r="E47" s="371"/>
      <c r="F47" s="371"/>
      <c r="G47" s="441"/>
      <c r="I47" s="370"/>
      <c r="J47" s="371"/>
      <c r="K47" s="371"/>
      <c r="L47" s="371"/>
      <c r="M47" s="371"/>
      <c r="N47" s="371"/>
      <c r="O47" s="371"/>
      <c r="P47" s="371"/>
      <c r="Q47" s="441"/>
      <c r="S47" s="370"/>
      <c r="T47" s="371"/>
      <c r="U47" s="371"/>
      <c r="V47" s="371"/>
      <c r="W47" s="371"/>
      <c r="X47" s="371"/>
      <c r="Y47" s="371"/>
      <c r="Z47" s="441"/>
    </row>
    <row r="48" spans="1:26" ht="15" thickBot="1">
      <c r="A48" s="370"/>
      <c r="B48" s="371"/>
      <c r="C48" s="371"/>
      <c r="D48" s="371"/>
      <c r="E48" s="371"/>
      <c r="F48" s="371"/>
      <c r="G48" s="441"/>
      <c r="I48" s="370"/>
      <c r="J48" s="371"/>
      <c r="K48" s="371"/>
      <c r="L48" s="371"/>
      <c r="M48" s="371"/>
      <c r="N48" s="371"/>
      <c r="O48" s="371"/>
      <c r="P48" s="371"/>
      <c r="Q48" s="441"/>
      <c r="S48" s="329"/>
      <c r="T48" s="330"/>
      <c r="U48" s="330"/>
      <c r="V48" s="330"/>
      <c r="W48" s="330"/>
      <c r="X48" s="330"/>
      <c r="Y48" s="330"/>
      <c r="Z48" s="442"/>
    </row>
    <row r="49" spans="1:17">
      <c r="A49" s="370"/>
      <c r="B49" s="371"/>
      <c r="C49" s="371"/>
      <c r="D49" s="371"/>
      <c r="E49" s="371"/>
      <c r="F49" s="371"/>
      <c r="G49" s="441"/>
      <c r="I49" s="370"/>
      <c r="J49" s="371"/>
      <c r="K49" s="371"/>
      <c r="L49" s="371"/>
      <c r="M49" s="371"/>
      <c r="N49" s="371"/>
      <c r="O49" s="371"/>
      <c r="P49" s="371"/>
      <c r="Q49" s="441"/>
    </row>
    <row r="50" spans="1:17">
      <c r="A50" s="370"/>
      <c r="B50" s="371"/>
      <c r="C50" s="371"/>
      <c r="D50" s="371"/>
      <c r="E50" s="371"/>
      <c r="F50" s="371"/>
      <c r="G50" s="441"/>
      <c r="I50" s="370"/>
      <c r="J50" s="371"/>
      <c r="K50" s="371"/>
      <c r="L50" s="371"/>
      <c r="M50" s="371"/>
      <c r="N50" s="371"/>
      <c r="O50" s="371"/>
      <c r="P50" s="371"/>
      <c r="Q50" s="441"/>
    </row>
    <row r="51" spans="1:17" ht="15" thickBot="1">
      <c r="A51" s="370"/>
      <c r="B51" s="371"/>
      <c r="C51" s="371"/>
      <c r="D51" s="371"/>
      <c r="E51" s="371"/>
      <c r="F51" s="371"/>
      <c r="G51" s="441"/>
      <c r="I51" s="329"/>
      <c r="J51" s="330"/>
      <c r="K51" s="330"/>
      <c r="L51" s="330"/>
      <c r="M51" s="330"/>
      <c r="N51" s="330"/>
      <c r="O51" s="330"/>
      <c r="P51" s="330"/>
      <c r="Q51" s="442"/>
    </row>
    <row r="52" spans="1:17">
      <c r="A52" s="370"/>
      <c r="B52" s="371"/>
      <c r="C52" s="371"/>
      <c r="D52" s="371"/>
      <c r="E52" s="371"/>
      <c r="F52" s="371"/>
      <c r="G52" s="441"/>
    </row>
    <row r="53" spans="1:17">
      <c r="A53" s="370"/>
      <c r="B53" s="371"/>
      <c r="C53" s="371"/>
      <c r="D53" s="371"/>
      <c r="E53" s="371"/>
      <c r="F53" s="371"/>
      <c r="G53" s="441"/>
    </row>
    <row r="54" spans="1:17">
      <c r="A54" s="370"/>
      <c r="B54" s="371"/>
      <c r="C54" s="371"/>
      <c r="D54" s="371"/>
      <c r="E54" s="371"/>
      <c r="F54" s="371"/>
      <c r="G54" s="441"/>
    </row>
    <row r="55" spans="1:17">
      <c r="A55" s="370"/>
      <c r="B55" s="371"/>
      <c r="C55" s="371"/>
      <c r="D55" s="371"/>
      <c r="E55" s="371"/>
      <c r="F55" s="371"/>
      <c r="G55" s="441"/>
    </row>
    <row r="56" spans="1:17">
      <c r="A56" s="370"/>
      <c r="B56" s="371"/>
      <c r="C56" s="371"/>
      <c r="D56" s="371"/>
      <c r="E56" s="371"/>
      <c r="F56" s="371"/>
      <c r="G56" s="441"/>
    </row>
    <row r="57" spans="1:17">
      <c r="A57" s="370"/>
      <c r="B57" s="371"/>
      <c r="C57" s="371"/>
      <c r="D57" s="371"/>
      <c r="E57" s="371"/>
      <c r="F57" s="371"/>
      <c r="G57" s="441"/>
    </row>
    <row r="58" spans="1:17">
      <c r="A58" s="370"/>
      <c r="B58" s="371"/>
      <c r="C58" s="371"/>
      <c r="D58" s="371"/>
      <c r="E58" s="371"/>
      <c r="F58" s="371"/>
      <c r="G58" s="441"/>
    </row>
    <row r="59" spans="1:17">
      <c r="A59" s="370"/>
      <c r="B59" s="371"/>
      <c r="C59" s="371"/>
      <c r="D59" s="371"/>
      <c r="E59" s="371"/>
      <c r="F59" s="371"/>
      <c r="G59" s="441"/>
    </row>
    <row r="60" spans="1:17" ht="15" thickBot="1">
      <c r="A60" s="329"/>
      <c r="B60" s="330"/>
      <c r="C60" s="330"/>
      <c r="D60" s="330"/>
      <c r="E60" s="330"/>
      <c r="F60" s="330"/>
      <c r="G60" s="442"/>
    </row>
  </sheetData>
  <mergeCells count="7">
    <mergeCell ref="A1:G3"/>
    <mergeCell ref="I1:AI2"/>
    <mergeCell ref="I3:Q3"/>
    <mergeCell ref="A4:G60"/>
    <mergeCell ref="I4:Q51"/>
    <mergeCell ref="S4:Z48"/>
    <mergeCell ref="S3:Z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5"/>
  <dimension ref="A1:M10"/>
  <sheetViews>
    <sheetView workbookViewId="0">
      <selection activeCell="M12" sqref="M12"/>
    </sheetView>
  </sheetViews>
  <sheetFormatPr baseColWidth="10" defaultColWidth="11.44140625" defaultRowHeight="14.4"/>
  <sheetData>
    <row r="1" spans="1:13" ht="15" thickBot="1"/>
    <row r="2" spans="1:13" ht="15" thickBot="1">
      <c r="A2" s="443" t="s">
        <v>204</v>
      </c>
      <c r="B2" s="444"/>
      <c r="C2" s="444"/>
      <c r="D2" s="444"/>
      <c r="E2" s="444"/>
      <c r="F2" s="444"/>
      <c r="G2" s="445"/>
      <c r="H2" s="338" t="s">
        <v>205</v>
      </c>
      <c r="I2" s="339"/>
      <c r="J2" s="339"/>
      <c r="K2" s="339"/>
      <c r="L2" s="339"/>
      <c r="M2" s="340"/>
    </row>
    <row r="3" spans="1:13">
      <c r="A3" s="142"/>
      <c r="B3" s="143"/>
      <c r="C3" s="143"/>
      <c r="D3" s="143"/>
      <c r="E3" s="143"/>
      <c r="F3" s="143"/>
      <c r="G3" s="144"/>
      <c r="H3" s="142"/>
      <c r="I3" s="143"/>
      <c r="J3" s="143"/>
      <c r="K3" s="143"/>
      <c r="L3" s="143"/>
      <c r="M3" s="144"/>
    </row>
    <row r="4" spans="1:13">
      <c r="A4" s="145"/>
      <c r="B4" s="91"/>
      <c r="C4" s="91"/>
      <c r="D4" s="91"/>
      <c r="E4" s="91"/>
      <c r="F4" s="91"/>
      <c r="G4" s="146"/>
      <c r="H4" s="446" t="s">
        <v>206</v>
      </c>
      <c r="I4" s="447"/>
      <c r="J4" s="447"/>
      <c r="K4" s="79">
        <v>30</v>
      </c>
      <c r="L4" s="91" t="s">
        <v>207</v>
      </c>
      <c r="M4" s="146"/>
    </row>
    <row r="5" spans="1:13">
      <c r="A5" s="145"/>
      <c r="B5" s="91"/>
      <c r="C5" s="91"/>
      <c r="D5" s="91"/>
      <c r="E5" s="91"/>
      <c r="F5" s="91"/>
      <c r="G5" s="146"/>
      <c r="H5" s="446" t="s">
        <v>208</v>
      </c>
      <c r="I5" s="447"/>
      <c r="J5" s="447"/>
      <c r="K5" s="79">
        <v>300</v>
      </c>
      <c r="L5" s="91" t="s">
        <v>207</v>
      </c>
      <c r="M5" s="146"/>
    </row>
    <row r="6" spans="1:13" ht="15" thickBot="1">
      <c r="A6" s="145"/>
      <c r="B6" s="91"/>
      <c r="C6" s="91"/>
      <c r="D6" s="91"/>
      <c r="E6" s="91"/>
      <c r="F6" s="91"/>
      <c r="G6" s="146"/>
      <c r="H6" s="147"/>
      <c r="I6" s="148"/>
      <c r="J6" s="148"/>
      <c r="K6" s="148"/>
      <c r="L6" s="148"/>
      <c r="M6" s="149"/>
    </row>
    <row r="7" spans="1:13">
      <c r="A7" s="145"/>
      <c r="B7" s="91"/>
      <c r="C7" s="91"/>
      <c r="D7" s="91"/>
      <c r="E7" s="91"/>
      <c r="F7" s="91"/>
      <c r="G7" s="146"/>
    </row>
    <row r="8" spans="1:13">
      <c r="A8" s="145"/>
      <c r="B8" s="91"/>
      <c r="C8" s="91"/>
      <c r="D8" s="91"/>
      <c r="E8" s="91"/>
      <c r="F8" s="91"/>
      <c r="G8" s="146"/>
    </row>
    <row r="9" spans="1:13">
      <c r="A9" s="145"/>
      <c r="B9" s="91"/>
      <c r="C9" s="91"/>
      <c r="D9" s="91"/>
      <c r="E9" s="91"/>
      <c r="F9" s="91"/>
      <c r="G9" s="146"/>
    </row>
    <row r="10" spans="1:13" ht="15" thickBot="1">
      <c r="A10" s="147"/>
      <c r="B10" s="148"/>
      <c r="C10" s="148"/>
      <c r="D10" s="148"/>
      <c r="E10" s="148"/>
      <c r="F10" s="148"/>
      <c r="G10" s="149"/>
    </row>
  </sheetData>
  <mergeCells count="4">
    <mergeCell ref="A2:G2"/>
    <mergeCell ref="H2:M2"/>
    <mergeCell ref="H5:J5"/>
    <mergeCell ref="H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2"/>
  <sheetViews>
    <sheetView topLeftCell="E1" zoomScale="90" zoomScaleNormal="90" workbookViewId="0">
      <selection activeCell="M31" sqref="M31"/>
    </sheetView>
  </sheetViews>
  <sheetFormatPr baseColWidth="10" defaultColWidth="11.44140625" defaultRowHeight="14.4"/>
  <cols>
    <col min="1" max="1" width="28.33203125" customWidth="1"/>
    <col min="3" max="3" width="18.33203125" bestFit="1" customWidth="1"/>
    <col min="5" max="7" width="18.33203125" customWidth="1"/>
    <col min="8" max="8" width="28.33203125" customWidth="1"/>
    <col min="9" max="9" width="19.109375" customWidth="1"/>
    <col min="10" max="10" width="23.6640625" bestFit="1" customWidth="1"/>
    <col min="11" max="11" width="17" bestFit="1" customWidth="1"/>
    <col min="12" max="12" width="26.109375" bestFit="1" customWidth="1"/>
    <col min="13" max="13" width="26.109375" customWidth="1"/>
    <col min="15" max="15" width="12.5546875" customWidth="1"/>
    <col min="17" max="17" width="20.5546875" customWidth="1"/>
    <col min="19" max="19" width="17" bestFit="1" customWidth="1"/>
    <col min="23" max="23" width="14.5546875" customWidth="1"/>
    <col min="25" max="25" width="19" customWidth="1"/>
    <col min="27" max="27" width="17.109375" customWidth="1"/>
  </cols>
  <sheetData>
    <row r="1" spans="1:27">
      <c r="A1" s="112" t="s">
        <v>209</v>
      </c>
      <c r="C1" t="s">
        <v>31</v>
      </c>
      <c r="H1" t="s">
        <v>210</v>
      </c>
      <c r="J1" t="s">
        <v>211</v>
      </c>
      <c r="L1" t="s">
        <v>212</v>
      </c>
      <c r="O1" t="s">
        <v>213</v>
      </c>
      <c r="Q1" t="s">
        <v>214</v>
      </c>
      <c r="S1" t="s">
        <v>215</v>
      </c>
      <c r="U1" t="s">
        <v>216</v>
      </c>
      <c r="W1" t="s">
        <v>217</v>
      </c>
      <c r="Y1" t="s">
        <v>218</v>
      </c>
      <c r="AA1" t="s">
        <v>219</v>
      </c>
    </row>
    <row r="2" spans="1:27">
      <c r="A2" t="s">
        <v>31</v>
      </c>
      <c r="C2" t="s">
        <v>220</v>
      </c>
      <c r="H2" t="s">
        <v>221</v>
      </c>
      <c r="J2" t="s">
        <v>222</v>
      </c>
      <c r="L2" t="s">
        <v>223</v>
      </c>
      <c r="O2" t="s">
        <v>30</v>
      </c>
      <c r="Q2" t="s">
        <v>224</v>
      </c>
      <c r="AA2" t="s">
        <v>225</v>
      </c>
    </row>
    <row r="3" spans="1:27">
      <c r="A3" t="s">
        <v>210</v>
      </c>
      <c r="C3" t="s">
        <v>226</v>
      </c>
      <c r="H3" t="s">
        <v>227</v>
      </c>
      <c r="J3" t="s">
        <v>228</v>
      </c>
      <c r="O3" t="s">
        <v>215</v>
      </c>
      <c r="Q3" t="s">
        <v>229</v>
      </c>
    </row>
    <row r="4" spans="1:27">
      <c r="A4" t="s">
        <v>212</v>
      </c>
      <c r="C4" t="s">
        <v>230</v>
      </c>
      <c r="H4" t="s">
        <v>231</v>
      </c>
      <c r="J4" t="s">
        <v>232</v>
      </c>
      <c r="O4" t="s">
        <v>216</v>
      </c>
      <c r="Q4" t="s">
        <v>233</v>
      </c>
    </row>
    <row r="5" spans="1:27">
      <c r="A5" t="s">
        <v>211</v>
      </c>
      <c r="C5" t="s">
        <v>234</v>
      </c>
      <c r="H5" t="s">
        <v>235</v>
      </c>
      <c r="J5" t="s">
        <v>236</v>
      </c>
      <c r="O5" t="s">
        <v>217</v>
      </c>
      <c r="Q5" t="s">
        <v>237</v>
      </c>
    </row>
    <row r="6" spans="1:27">
      <c r="A6" t="s">
        <v>238</v>
      </c>
      <c r="C6" t="s">
        <v>239</v>
      </c>
      <c r="H6" t="s">
        <v>240</v>
      </c>
      <c r="J6" t="s">
        <v>241</v>
      </c>
      <c r="O6" t="s">
        <v>218</v>
      </c>
      <c r="Q6" s="219"/>
    </row>
    <row r="7" spans="1:27">
      <c r="A7" t="s">
        <v>242</v>
      </c>
      <c r="C7" t="s">
        <v>243</v>
      </c>
      <c r="H7" t="s">
        <v>244</v>
      </c>
      <c r="J7" t="s">
        <v>245</v>
      </c>
      <c r="O7" t="s">
        <v>219</v>
      </c>
    </row>
    <row r="8" spans="1:27">
      <c r="C8" t="s">
        <v>246</v>
      </c>
      <c r="H8" t="s">
        <v>247</v>
      </c>
      <c r="O8" t="s">
        <v>248</v>
      </c>
    </row>
    <row r="9" spans="1:27">
      <c r="C9" t="s">
        <v>249</v>
      </c>
      <c r="O9" t="s">
        <v>250</v>
      </c>
    </row>
    <row r="10" spans="1:27">
      <c r="C10" t="s">
        <v>35</v>
      </c>
      <c r="O10" t="s">
        <v>251</v>
      </c>
    </row>
    <row r="11" spans="1:27">
      <c r="C11" t="s">
        <v>252</v>
      </c>
      <c r="O11" t="s">
        <v>253</v>
      </c>
    </row>
    <row r="12" spans="1:27">
      <c r="C12" t="s">
        <v>254</v>
      </c>
    </row>
    <row r="13" spans="1:27">
      <c r="C13" t="s">
        <v>255</v>
      </c>
    </row>
    <row r="17" spans="1:15">
      <c r="A17" t="s">
        <v>256</v>
      </c>
      <c r="B17" t="s">
        <v>257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I17" t="s">
        <v>263</v>
      </c>
      <c r="J17" t="s">
        <v>264</v>
      </c>
      <c r="K17" t="s">
        <v>265</v>
      </c>
      <c r="L17" t="s">
        <v>45</v>
      </c>
      <c r="M17" s="267" t="s">
        <v>266</v>
      </c>
      <c r="N17" t="s">
        <v>50</v>
      </c>
      <c r="O17" t="s">
        <v>267</v>
      </c>
    </row>
    <row r="18" spans="1:15">
      <c r="A18" t="s">
        <v>246</v>
      </c>
      <c r="B18">
        <v>100</v>
      </c>
      <c r="C18">
        <v>400</v>
      </c>
      <c r="D18">
        <v>160.4</v>
      </c>
      <c r="I18" t="s">
        <v>268</v>
      </c>
      <c r="J18">
        <v>460</v>
      </c>
      <c r="K18">
        <v>41.79</v>
      </c>
      <c r="L18">
        <v>49.52</v>
      </c>
      <c r="N18">
        <v>11.01</v>
      </c>
      <c r="O18">
        <v>11.58</v>
      </c>
    </row>
    <row r="19" spans="1:15">
      <c r="A19" t="s">
        <v>249</v>
      </c>
      <c r="B19">
        <v>10</v>
      </c>
      <c r="C19">
        <v>400</v>
      </c>
      <c r="D19">
        <v>16.899999999999999</v>
      </c>
      <c r="I19" s="222" t="s">
        <v>237</v>
      </c>
      <c r="J19" s="223">
        <v>455</v>
      </c>
      <c r="K19" s="223">
        <v>41.6</v>
      </c>
      <c r="O19" s="224">
        <v>11.47</v>
      </c>
    </row>
    <row r="20" spans="1:15">
      <c r="A20" t="s">
        <v>226</v>
      </c>
      <c r="B20">
        <v>185</v>
      </c>
      <c r="C20">
        <v>800</v>
      </c>
      <c r="D20">
        <v>134.9</v>
      </c>
      <c r="I20" t="s">
        <v>224</v>
      </c>
      <c r="J20">
        <v>450</v>
      </c>
      <c r="K20">
        <v>41.52</v>
      </c>
      <c r="O20">
        <v>11.36</v>
      </c>
    </row>
    <row r="21" spans="1:15">
      <c r="A21" t="s">
        <v>230</v>
      </c>
      <c r="B21">
        <v>20</v>
      </c>
      <c r="C21">
        <v>400</v>
      </c>
      <c r="D21">
        <v>33.5</v>
      </c>
      <c r="I21" t="s">
        <v>229</v>
      </c>
      <c r="J21">
        <v>455</v>
      </c>
      <c r="K21">
        <v>41.82</v>
      </c>
      <c r="O21">
        <v>11.41</v>
      </c>
    </row>
    <row r="22" spans="1:15">
      <c r="A22" t="s">
        <v>234</v>
      </c>
      <c r="B22">
        <v>20</v>
      </c>
      <c r="C22">
        <v>400</v>
      </c>
      <c r="D22">
        <v>33.5</v>
      </c>
      <c r="I22" t="s">
        <v>233</v>
      </c>
      <c r="J22">
        <v>460</v>
      </c>
      <c r="K22">
        <v>42.13</v>
      </c>
      <c r="L22">
        <v>50.01</v>
      </c>
      <c r="N22">
        <v>10.92</v>
      </c>
      <c r="O22">
        <v>11.45</v>
      </c>
    </row>
    <row r="23" spans="1:15">
      <c r="A23" t="s">
        <v>252</v>
      </c>
      <c r="B23">
        <v>2</v>
      </c>
      <c r="C23">
        <v>230</v>
      </c>
      <c r="D23">
        <v>10</v>
      </c>
      <c r="E23">
        <v>100</v>
      </c>
      <c r="F23">
        <v>600</v>
      </c>
      <c r="G23">
        <v>12.5</v>
      </c>
      <c r="I23" t="s">
        <v>269</v>
      </c>
      <c r="J23">
        <v>545</v>
      </c>
      <c r="K23">
        <v>41.8</v>
      </c>
      <c r="O23">
        <v>13.93</v>
      </c>
    </row>
    <row r="24" spans="1:15">
      <c r="A24" t="s">
        <v>270</v>
      </c>
      <c r="B24">
        <v>3.68</v>
      </c>
      <c r="C24">
        <v>230</v>
      </c>
      <c r="D24">
        <v>16</v>
      </c>
      <c r="I24" t="s">
        <v>225</v>
      </c>
      <c r="J24">
        <v>455</v>
      </c>
    </row>
    <row r="25" spans="1:15">
      <c r="A25" t="s">
        <v>222</v>
      </c>
      <c r="B25">
        <v>40</v>
      </c>
      <c r="C25">
        <v>400</v>
      </c>
      <c r="D25">
        <v>48</v>
      </c>
      <c r="I25" t="s">
        <v>271</v>
      </c>
      <c r="J25">
        <v>450</v>
      </c>
      <c r="K25">
        <v>41.4</v>
      </c>
      <c r="O25">
        <v>11.54</v>
      </c>
    </row>
    <row r="26" spans="1:15">
      <c r="A26" t="s">
        <v>228</v>
      </c>
      <c r="B26">
        <v>100</v>
      </c>
      <c r="C26">
        <v>400</v>
      </c>
      <c r="D26">
        <v>145</v>
      </c>
      <c r="I26" t="s">
        <v>272</v>
      </c>
      <c r="J26">
        <v>450</v>
      </c>
      <c r="K26">
        <v>41.59</v>
      </c>
      <c r="O26">
        <v>11.59</v>
      </c>
    </row>
    <row r="27" spans="1:15">
      <c r="A27" t="s">
        <v>232</v>
      </c>
      <c r="B27">
        <v>20</v>
      </c>
      <c r="C27">
        <v>400</v>
      </c>
      <c r="D27">
        <v>29</v>
      </c>
      <c r="I27" t="s">
        <v>273</v>
      </c>
      <c r="J27">
        <v>410</v>
      </c>
      <c r="K27">
        <v>29.9</v>
      </c>
      <c r="L27">
        <v>35.9</v>
      </c>
      <c r="N27">
        <v>13.73</v>
      </c>
      <c r="O27">
        <v>14.63</v>
      </c>
    </row>
    <row r="28" spans="1:15">
      <c r="A28" t="s">
        <v>236</v>
      </c>
      <c r="B28">
        <v>33</v>
      </c>
      <c r="C28">
        <v>400</v>
      </c>
      <c r="D28">
        <v>48</v>
      </c>
      <c r="I28" t="s">
        <v>274</v>
      </c>
      <c r="J28">
        <v>420</v>
      </c>
      <c r="K28">
        <v>38.74</v>
      </c>
      <c r="L28">
        <v>45.91</v>
      </c>
      <c r="N28">
        <v>10.85</v>
      </c>
      <c r="O28">
        <v>11.66</v>
      </c>
    </row>
    <row r="29" spans="1:15">
      <c r="A29" t="s">
        <v>241</v>
      </c>
      <c r="B29">
        <v>20</v>
      </c>
      <c r="C29">
        <v>400</v>
      </c>
      <c r="D29">
        <v>37</v>
      </c>
    </row>
    <row r="30" spans="1:15">
      <c r="A30" t="s">
        <v>245</v>
      </c>
      <c r="B30">
        <v>33</v>
      </c>
      <c r="C30">
        <v>400</v>
      </c>
      <c r="D30">
        <v>61</v>
      </c>
    </row>
    <row r="31" spans="1:15">
      <c r="A31" t="s">
        <v>243</v>
      </c>
      <c r="B31">
        <v>30</v>
      </c>
      <c r="C31">
        <v>400</v>
      </c>
      <c r="D31">
        <v>48</v>
      </c>
      <c r="I31" t="s">
        <v>34</v>
      </c>
      <c r="J31">
        <v>500</v>
      </c>
      <c r="K31">
        <v>38.35</v>
      </c>
      <c r="L31">
        <v>45.59</v>
      </c>
      <c r="M31">
        <v>-0.27500000000000002</v>
      </c>
      <c r="N31">
        <v>13.04</v>
      </c>
      <c r="O31">
        <v>13.93</v>
      </c>
    </row>
    <row r="32" spans="1:15">
      <c r="A32" t="s">
        <v>239</v>
      </c>
      <c r="B32">
        <v>36</v>
      </c>
      <c r="C32">
        <v>400</v>
      </c>
      <c r="D32">
        <v>57.8</v>
      </c>
    </row>
    <row r="33" spans="1:7">
      <c r="A33" t="s">
        <v>35</v>
      </c>
      <c r="B33">
        <v>4</v>
      </c>
      <c r="C33">
        <v>230</v>
      </c>
      <c r="D33">
        <v>15</v>
      </c>
      <c r="E33">
        <v>100</v>
      </c>
      <c r="F33">
        <v>600</v>
      </c>
      <c r="G33">
        <v>12.5</v>
      </c>
    </row>
    <row r="34" spans="1:7">
      <c r="A34" t="s">
        <v>275</v>
      </c>
      <c r="B34">
        <v>3</v>
      </c>
      <c r="C34">
        <v>400</v>
      </c>
      <c r="D34">
        <v>5.0999999999999996</v>
      </c>
    </row>
    <row r="35" spans="1:7">
      <c r="A35" t="s">
        <v>254</v>
      </c>
      <c r="B35">
        <v>5</v>
      </c>
      <c r="C35">
        <v>230</v>
      </c>
      <c r="D35">
        <v>25</v>
      </c>
      <c r="E35">
        <v>100</v>
      </c>
      <c r="F35">
        <v>600</v>
      </c>
      <c r="G35">
        <v>12.5</v>
      </c>
    </row>
    <row r="36" spans="1:7">
      <c r="A36" t="s">
        <v>220</v>
      </c>
      <c r="B36">
        <v>60</v>
      </c>
      <c r="C36">
        <v>400</v>
      </c>
      <c r="D36">
        <v>95.3</v>
      </c>
    </row>
    <row r="37" spans="1:7">
      <c r="A37" s="278" t="s">
        <v>276</v>
      </c>
      <c r="B37">
        <v>8</v>
      </c>
      <c r="C37">
        <v>400</v>
      </c>
      <c r="D37">
        <v>13.5</v>
      </c>
    </row>
    <row r="38" spans="1:7">
      <c r="A38" s="203" t="s">
        <v>277</v>
      </c>
      <c r="B38">
        <v>50</v>
      </c>
      <c r="C38">
        <v>400</v>
      </c>
      <c r="D38">
        <v>66.5</v>
      </c>
    </row>
    <row r="39" spans="1:7">
      <c r="A39" s="278" t="s">
        <v>223</v>
      </c>
      <c r="B39">
        <v>110</v>
      </c>
      <c r="C39">
        <v>400</v>
      </c>
      <c r="D39">
        <v>158.80000000000001</v>
      </c>
    </row>
    <row r="40" spans="1:7">
      <c r="A40" t="s">
        <v>240</v>
      </c>
      <c r="B40">
        <v>100</v>
      </c>
      <c r="C40">
        <v>400</v>
      </c>
      <c r="D40">
        <v>151</v>
      </c>
      <c r="E40">
        <v>200</v>
      </c>
      <c r="F40">
        <v>1000</v>
      </c>
      <c r="G40">
        <v>22</v>
      </c>
    </row>
    <row r="41" spans="1:7">
      <c r="A41" t="s">
        <v>244</v>
      </c>
      <c r="B41">
        <v>150</v>
      </c>
      <c r="C41">
        <v>600</v>
      </c>
      <c r="D41">
        <v>151</v>
      </c>
    </row>
    <row r="42" spans="1:7">
      <c r="A42" t="s">
        <v>231</v>
      </c>
      <c r="B42">
        <v>15</v>
      </c>
      <c r="C42">
        <v>400</v>
      </c>
      <c r="D42">
        <v>29</v>
      </c>
    </row>
    <row r="43" spans="1:7">
      <c r="A43" t="s">
        <v>247</v>
      </c>
      <c r="B43">
        <v>20</v>
      </c>
      <c r="C43">
        <v>400</v>
      </c>
      <c r="D43">
        <v>29</v>
      </c>
    </row>
    <row r="44" spans="1:7">
      <c r="A44" s="278" t="s">
        <v>278</v>
      </c>
      <c r="B44">
        <v>3.68</v>
      </c>
      <c r="C44">
        <v>230</v>
      </c>
      <c r="D44">
        <v>16</v>
      </c>
      <c r="E44">
        <v>75</v>
      </c>
      <c r="F44">
        <v>750</v>
      </c>
      <c r="G44">
        <v>13</v>
      </c>
    </row>
    <row r="45" spans="1:7">
      <c r="A45" s="278" t="s">
        <v>279</v>
      </c>
      <c r="B45">
        <v>2</v>
      </c>
      <c r="C45">
        <v>230</v>
      </c>
      <c r="D45">
        <v>12</v>
      </c>
      <c r="E45">
        <v>75</v>
      </c>
      <c r="F45">
        <v>750</v>
      </c>
      <c r="G45">
        <v>13</v>
      </c>
    </row>
    <row r="46" spans="1:7">
      <c r="A46" t="s">
        <v>235</v>
      </c>
      <c r="B46">
        <v>25</v>
      </c>
      <c r="C46">
        <v>400</v>
      </c>
      <c r="D46">
        <v>36.200000000000003</v>
      </c>
    </row>
    <row r="47" spans="1:7">
      <c r="A47" s="278" t="s">
        <v>280</v>
      </c>
      <c r="B47">
        <v>6</v>
      </c>
      <c r="C47">
        <v>400</v>
      </c>
      <c r="D47">
        <v>9.1</v>
      </c>
    </row>
    <row r="48" spans="1:7">
      <c r="A48" t="s">
        <v>281</v>
      </c>
      <c r="B48">
        <v>8</v>
      </c>
      <c r="C48">
        <v>400</v>
      </c>
      <c r="D48">
        <v>12.1</v>
      </c>
    </row>
    <row r="49" spans="1:7">
      <c r="A49" s="278" t="s">
        <v>282</v>
      </c>
      <c r="B49">
        <v>4.5999999999999996</v>
      </c>
      <c r="C49">
        <v>230</v>
      </c>
      <c r="D49">
        <v>20</v>
      </c>
      <c r="E49">
        <v>75</v>
      </c>
      <c r="F49">
        <v>750</v>
      </c>
      <c r="G49">
        <v>13</v>
      </c>
    </row>
    <row r="50" spans="1:7">
      <c r="A50" t="s">
        <v>283</v>
      </c>
      <c r="B50">
        <v>3.68</v>
      </c>
      <c r="C50">
        <v>230</v>
      </c>
      <c r="D50">
        <v>16</v>
      </c>
      <c r="E50">
        <v>75</v>
      </c>
      <c r="F50">
        <v>750</v>
      </c>
      <c r="G50">
        <v>13</v>
      </c>
    </row>
    <row r="51" spans="1:7">
      <c r="A51" t="s">
        <v>284</v>
      </c>
      <c r="B51">
        <v>3</v>
      </c>
      <c r="C51">
        <v>230</v>
      </c>
      <c r="D51">
        <v>14</v>
      </c>
      <c r="E51">
        <v>75</v>
      </c>
      <c r="F51">
        <v>750</v>
      </c>
      <c r="G51">
        <v>13</v>
      </c>
    </row>
    <row r="52" spans="1:7">
      <c r="A52" t="s">
        <v>221</v>
      </c>
      <c r="B52">
        <v>50</v>
      </c>
      <c r="C52">
        <v>400</v>
      </c>
      <c r="D52">
        <v>72.5</v>
      </c>
    </row>
    <row r="53" spans="1:7">
      <c r="A53" t="s">
        <v>227</v>
      </c>
      <c r="B53">
        <v>110</v>
      </c>
      <c r="C53">
        <v>400</v>
      </c>
      <c r="D53">
        <v>159</v>
      </c>
    </row>
    <row r="54" spans="1:7" ht="18" customHeight="1">
      <c r="A54" t="s">
        <v>285</v>
      </c>
      <c r="B54">
        <v>0.34899999999999998</v>
      </c>
      <c r="C54">
        <v>230</v>
      </c>
      <c r="D54">
        <v>1.52</v>
      </c>
      <c r="E54">
        <v>33</v>
      </c>
      <c r="F54">
        <v>58</v>
      </c>
      <c r="G54">
        <v>15</v>
      </c>
    </row>
    <row r="55" spans="1:7" ht="16.2" customHeight="1">
      <c r="A55" t="s">
        <v>286</v>
      </c>
      <c r="B55">
        <v>5.2</v>
      </c>
      <c r="E55">
        <v>75</v>
      </c>
      <c r="F55">
        <v>750</v>
      </c>
      <c r="G55">
        <v>13</v>
      </c>
    </row>
    <row r="56" spans="1:7">
      <c r="A56" t="s">
        <v>287</v>
      </c>
      <c r="B56">
        <v>6</v>
      </c>
      <c r="C56">
        <v>230</v>
      </c>
      <c r="D56">
        <v>27.3</v>
      </c>
      <c r="E56">
        <v>100</v>
      </c>
      <c r="F56">
        <v>600</v>
      </c>
      <c r="G56">
        <v>12.5</v>
      </c>
    </row>
    <row r="57" spans="1:7">
      <c r="A57" t="s">
        <v>326</v>
      </c>
      <c r="B57">
        <v>15</v>
      </c>
      <c r="C57">
        <v>400</v>
      </c>
      <c r="D57">
        <v>28.6</v>
      </c>
      <c r="E57">
        <v>200</v>
      </c>
      <c r="F57">
        <v>800</v>
      </c>
      <c r="G57">
        <v>22</v>
      </c>
    </row>
    <row r="58" spans="1:7">
      <c r="A58" s="278" t="s">
        <v>327</v>
      </c>
      <c r="B58">
        <v>6</v>
      </c>
      <c r="C58">
        <v>400</v>
      </c>
      <c r="D58">
        <v>10.1</v>
      </c>
      <c r="E58">
        <v>200</v>
      </c>
      <c r="F58">
        <v>980</v>
      </c>
      <c r="G58">
        <v>19.5</v>
      </c>
    </row>
    <row r="59" spans="1:7">
      <c r="A59" s="278"/>
    </row>
    <row r="60" spans="1:7">
      <c r="A60" s="278"/>
    </row>
    <row r="61" spans="1:7">
      <c r="A61" s="278"/>
    </row>
    <row r="62" spans="1:7">
      <c r="A62" s="278"/>
    </row>
  </sheetData>
  <phoneticPr fontId="15" type="noConversion"/>
  <pageMargins left="0.7" right="0.7" top="0.75" bottom="0.75" header="0.3" footer="0.3"/>
  <pageSetup paperSize="9" orientation="portrait" verticalDpi="120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8"/>
  <dimension ref="A1:O57"/>
  <sheetViews>
    <sheetView zoomScale="110" zoomScaleNormal="110" workbookViewId="0">
      <selection activeCell="I1" sqref="I1:M17"/>
    </sheetView>
  </sheetViews>
  <sheetFormatPr baseColWidth="10" defaultColWidth="11.44140625" defaultRowHeight="14.4"/>
  <cols>
    <col min="1" max="1" width="11.5546875" style="3" customWidth="1"/>
    <col min="2" max="2" width="8.88671875" style="3" customWidth="1"/>
    <col min="3" max="3" width="11.5546875" style="3" customWidth="1"/>
    <col min="4" max="6" width="11.44140625" style="3"/>
    <col min="11" max="11" width="13.44140625" customWidth="1"/>
    <col min="12" max="12" width="13.5546875" customWidth="1"/>
    <col min="13" max="13" width="10.44140625" customWidth="1"/>
  </cols>
  <sheetData>
    <row r="1" spans="1:15">
      <c r="A1" s="459" t="s">
        <v>288</v>
      </c>
      <c r="B1" s="460"/>
      <c r="C1" s="460"/>
      <c r="D1" s="460"/>
      <c r="E1" s="460"/>
      <c r="F1" s="461"/>
      <c r="G1" s="8"/>
      <c r="H1" s="8"/>
      <c r="I1" s="459" t="s">
        <v>288</v>
      </c>
      <c r="J1" s="460"/>
      <c r="K1" s="460"/>
      <c r="L1" s="460"/>
      <c r="M1" s="461"/>
    </row>
    <row r="2" spans="1:15">
      <c r="A2" s="9" t="s">
        <v>289</v>
      </c>
      <c r="B2" s="10"/>
      <c r="C2" s="462" t="s">
        <v>290</v>
      </c>
      <c r="D2" s="463"/>
      <c r="E2" s="463"/>
      <c r="F2" s="464"/>
      <c r="G2" s="8"/>
      <c r="H2" s="8"/>
      <c r="I2" s="9" t="s">
        <v>289</v>
      </c>
      <c r="J2" s="10"/>
      <c r="K2" s="462" t="s">
        <v>291</v>
      </c>
      <c r="L2" s="463"/>
      <c r="M2" s="464"/>
    </row>
    <row r="3" spans="1:15">
      <c r="A3" s="15" t="s">
        <v>292</v>
      </c>
      <c r="B3" s="11"/>
      <c r="C3" s="451" t="s">
        <v>293</v>
      </c>
      <c r="D3" s="452"/>
      <c r="E3" s="452"/>
      <c r="F3" s="453"/>
      <c r="G3" s="8"/>
      <c r="H3" s="8"/>
      <c r="I3" s="15" t="s">
        <v>292</v>
      </c>
      <c r="J3" s="11"/>
      <c r="K3" s="451" t="s">
        <v>294</v>
      </c>
      <c r="L3" s="452"/>
      <c r="M3" s="453"/>
    </row>
    <row r="4" spans="1:15">
      <c r="A4" s="15" t="s">
        <v>295</v>
      </c>
      <c r="B4" s="11"/>
      <c r="C4" s="451" t="s">
        <v>296</v>
      </c>
      <c r="D4" s="452"/>
      <c r="E4" s="452"/>
      <c r="F4" s="453"/>
      <c r="G4" s="8"/>
      <c r="H4" s="8"/>
      <c r="I4" s="15" t="s">
        <v>295</v>
      </c>
      <c r="J4" s="11"/>
      <c r="K4" s="451" t="s">
        <v>297</v>
      </c>
      <c r="L4" s="452"/>
      <c r="M4" s="453"/>
    </row>
    <row r="5" spans="1:15">
      <c r="A5" s="15" t="s">
        <v>298</v>
      </c>
      <c r="B5" s="12" t="s">
        <v>299</v>
      </c>
      <c r="C5" s="451">
        <v>4590</v>
      </c>
      <c r="D5" s="452"/>
      <c r="E5" s="452"/>
      <c r="F5" s="453"/>
      <c r="G5" s="8" t="e">
        <f>+#REF!</f>
        <v>#REF!</v>
      </c>
      <c r="H5" s="8"/>
      <c r="I5" s="15" t="s">
        <v>298</v>
      </c>
      <c r="J5" s="12" t="s">
        <v>299</v>
      </c>
      <c r="K5" s="457">
        <v>12000</v>
      </c>
      <c r="L5" s="371"/>
      <c r="M5" s="458"/>
    </row>
    <row r="6" spans="1:15">
      <c r="A6" s="15" t="s">
        <v>300</v>
      </c>
      <c r="B6" s="12" t="s">
        <v>301</v>
      </c>
      <c r="C6" s="451">
        <v>60</v>
      </c>
      <c r="D6" s="452"/>
      <c r="E6" s="452"/>
      <c r="F6" s="453"/>
      <c r="G6" s="8" t="e">
        <f>+#REF!</f>
        <v>#REF!</v>
      </c>
      <c r="H6" s="8"/>
      <c r="I6" s="15" t="s">
        <v>300</v>
      </c>
      <c r="J6" s="12" t="s">
        <v>301</v>
      </c>
      <c r="K6" s="457">
        <v>30</v>
      </c>
      <c r="L6" s="371"/>
      <c r="M6" s="458"/>
    </row>
    <row r="7" spans="1:15">
      <c r="A7" s="15" t="s">
        <v>302</v>
      </c>
      <c r="B7" s="12" t="s">
        <v>303</v>
      </c>
      <c r="C7" s="451">
        <v>56</v>
      </c>
      <c r="D7" s="452"/>
      <c r="E7" s="452"/>
      <c r="F7" s="453"/>
      <c r="G7" s="8" t="e">
        <f>+#REF!</f>
        <v>#REF!</v>
      </c>
      <c r="H7" s="8"/>
      <c r="I7" s="15" t="s">
        <v>302</v>
      </c>
      <c r="J7" s="12" t="s">
        <v>303</v>
      </c>
      <c r="K7" s="457">
        <v>56</v>
      </c>
      <c r="L7" s="371"/>
      <c r="M7" s="458"/>
      <c r="O7">
        <f>42005.5/4</f>
        <v>10501.375</v>
      </c>
    </row>
    <row r="8" spans="1:15">
      <c r="A8" s="15" t="s">
        <v>304</v>
      </c>
      <c r="B8" s="12" t="s">
        <v>43</v>
      </c>
      <c r="C8" s="451">
        <v>2.6520000000000001</v>
      </c>
      <c r="D8" s="452"/>
      <c r="E8" s="452"/>
      <c r="F8" s="453"/>
      <c r="G8" s="8" t="e">
        <f>+#REF!</f>
        <v>#REF!</v>
      </c>
      <c r="H8" s="8"/>
      <c r="I8" s="15" t="s">
        <v>304</v>
      </c>
      <c r="J8" s="12" t="s">
        <v>43</v>
      </c>
      <c r="K8" s="457">
        <v>4</v>
      </c>
      <c r="L8" s="371"/>
      <c r="M8" s="458"/>
    </row>
    <row r="9" spans="1:15">
      <c r="A9" s="15" t="s">
        <v>305</v>
      </c>
      <c r="B9" s="12" t="s">
        <v>43</v>
      </c>
      <c r="C9" s="451">
        <v>530.4</v>
      </c>
      <c r="D9" s="452"/>
      <c r="E9" s="452"/>
      <c r="F9" s="453"/>
      <c r="G9" s="8" t="e">
        <f>+#REF!</f>
        <v>#REF!</v>
      </c>
      <c r="H9" s="8"/>
      <c r="I9" s="15" t="s">
        <v>305</v>
      </c>
      <c r="J9" s="12" t="s">
        <v>43</v>
      </c>
      <c r="K9" s="457">
        <v>400</v>
      </c>
      <c r="L9" s="371"/>
      <c r="M9" s="458"/>
    </row>
    <row r="10" spans="1:15">
      <c r="A10" s="15" t="s">
        <v>265</v>
      </c>
      <c r="B10" s="12" t="s">
        <v>43</v>
      </c>
      <c r="C10" s="451">
        <v>31.2</v>
      </c>
      <c r="D10" s="452"/>
      <c r="E10" s="452"/>
      <c r="F10" s="453"/>
      <c r="G10" s="8" t="e">
        <f>+#REF!</f>
        <v>#REF!</v>
      </c>
      <c r="H10" s="8"/>
      <c r="I10" s="15" t="s">
        <v>265</v>
      </c>
      <c r="J10" s="12" t="s">
        <v>43</v>
      </c>
      <c r="K10" s="457">
        <v>31.2</v>
      </c>
      <c r="L10" s="371"/>
      <c r="M10" s="458"/>
    </row>
    <row r="11" spans="1:15">
      <c r="A11" s="15" t="s">
        <v>306</v>
      </c>
      <c r="B11" s="12"/>
      <c r="C11" s="451">
        <v>17</v>
      </c>
      <c r="D11" s="452"/>
      <c r="E11" s="452"/>
      <c r="F11" s="453"/>
      <c r="G11" s="8" t="e">
        <f>+#REF!</f>
        <v>#REF!</v>
      </c>
      <c r="H11" s="8"/>
      <c r="I11" s="15" t="s">
        <v>306</v>
      </c>
      <c r="J11" s="12"/>
      <c r="K11" s="457">
        <v>17</v>
      </c>
      <c r="L11" s="371"/>
      <c r="M11" s="458"/>
    </row>
    <row r="12" spans="1:15">
      <c r="A12" s="15" t="s">
        <v>307</v>
      </c>
      <c r="B12" s="12" t="s">
        <v>43</v>
      </c>
      <c r="C12" s="451">
        <v>530.4</v>
      </c>
      <c r="D12" s="452"/>
      <c r="E12" s="452"/>
      <c r="F12" s="453"/>
      <c r="G12" s="8" t="e">
        <f>+#REF!</f>
        <v>#REF!</v>
      </c>
      <c r="H12" s="8"/>
      <c r="I12" s="15" t="s">
        <v>307</v>
      </c>
      <c r="J12" s="12" t="s">
        <v>43</v>
      </c>
      <c r="K12" s="457">
        <v>800</v>
      </c>
      <c r="L12" s="371"/>
      <c r="M12" s="458"/>
    </row>
    <row r="13" spans="1:15">
      <c r="A13" s="15" t="s">
        <v>267</v>
      </c>
      <c r="B13" s="12" t="s">
        <v>46</v>
      </c>
      <c r="C13" s="451">
        <v>9.2200000000000006</v>
      </c>
      <c r="D13" s="452"/>
      <c r="E13" s="452"/>
      <c r="F13" s="453"/>
      <c r="G13" s="8" t="e">
        <f>+#REF!</f>
        <v>#REF!</v>
      </c>
      <c r="H13" s="8"/>
      <c r="I13" s="15" t="s">
        <v>267</v>
      </c>
      <c r="J13" s="12" t="s">
        <v>46</v>
      </c>
      <c r="K13" s="457">
        <v>17.399999999999999</v>
      </c>
      <c r="L13" s="371"/>
      <c r="M13" s="458"/>
    </row>
    <row r="14" spans="1:15">
      <c r="A14" s="15" t="s">
        <v>308</v>
      </c>
      <c r="B14" s="12" t="s">
        <v>46</v>
      </c>
      <c r="C14" s="451">
        <v>11.525</v>
      </c>
      <c r="D14" s="452"/>
      <c r="E14" s="452"/>
      <c r="F14" s="453"/>
      <c r="G14" s="8" t="e">
        <f>+#REF!</f>
        <v>#REF!</v>
      </c>
      <c r="H14" s="8"/>
      <c r="I14" s="15" t="s">
        <v>308</v>
      </c>
      <c r="J14" s="12" t="s">
        <v>46</v>
      </c>
      <c r="K14" s="457">
        <v>19.3</v>
      </c>
      <c r="L14" s="371"/>
      <c r="M14" s="458"/>
    </row>
    <row r="15" spans="1:15">
      <c r="A15" s="15" t="s">
        <v>309</v>
      </c>
      <c r="B15" s="12" t="s">
        <v>310</v>
      </c>
      <c r="C15" s="451">
        <v>6</v>
      </c>
      <c r="D15" s="452"/>
      <c r="E15" s="452"/>
      <c r="F15" s="453"/>
      <c r="G15" s="8" t="e">
        <f>+#REF!</f>
        <v>#REF!</v>
      </c>
      <c r="H15" s="8"/>
      <c r="I15" s="15" t="s">
        <v>309</v>
      </c>
      <c r="J15" s="12" t="s">
        <v>310</v>
      </c>
      <c r="K15" s="457">
        <v>10</v>
      </c>
      <c r="L15" s="371"/>
      <c r="M15" s="458"/>
    </row>
    <row r="16" spans="1:15">
      <c r="A16" s="465" t="s">
        <v>311</v>
      </c>
      <c r="B16" s="12" t="s">
        <v>43</v>
      </c>
      <c r="C16" s="451">
        <v>3.09</v>
      </c>
      <c r="D16" s="452"/>
      <c r="E16" s="452"/>
      <c r="F16" s="453"/>
      <c r="G16" s="8" t="e">
        <f>+#REF!</f>
        <v>#REF!</v>
      </c>
      <c r="H16" s="8"/>
      <c r="I16" s="465" t="s">
        <v>311</v>
      </c>
      <c r="J16" s="12" t="s">
        <v>43</v>
      </c>
      <c r="K16" s="457">
        <v>1.607</v>
      </c>
      <c r="L16" s="371"/>
      <c r="M16" s="458"/>
    </row>
    <row r="17" spans="1:14">
      <c r="A17" s="466"/>
      <c r="B17" s="13" t="s">
        <v>312</v>
      </c>
      <c r="C17" s="454">
        <v>5.7999999999999996E-3</v>
      </c>
      <c r="D17" s="455"/>
      <c r="E17" s="455"/>
      <c r="F17" s="456"/>
      <c r="G17" s="20" t="e">
        <f>+#REF!</f>
        <v>#REF!</v>
      </c>
      <c r="H17" s="8"/>
      <c r="I17" s="466"/>
      <c r="J17" s="13" t="s">
        <v>312</v>
      </c>
      <c r="K17" s="448">
        <v>4.0000000000000001E-3</v>
      </c>
      <c r="L17" s="449"/>
      <c r="M17" s="450"/>
    </row>
    <row r="18" spans="1:14">
      <c r="A18" s="19"/>
      <c r="B18" s="19"/>
      <c r="C18" s="19"/>
      <c r="D18" s="19"/>
      <c r="E18" s="19"/>
      <c r="F18" s="19"/>
      <c r="G18" s="8"/>
      <c r="H18" s="8"/>
      <c r="I18" s="8"/>
      <c r="J18" s="8"/>
      <c r="K18" s="8"/>
      <c r="L18" s="8"/>
    </row>
    <row r="21" spans="1:14">
      <c r="N21" s="1"/>
    </row>
    <row r="22" spans="1:14">
      <c r="A22" s="459" t="s">
        <v>288</v>
      </c>
      <c r="B22" s="460"/>
      <c r="C22" s="460"/>
      <c r="D22" s="460"/>
      <c r="E22" s="460"/>
      <c r="F22" s="461"/>
      <c r="H22">
        <v>6</v>
      </c>
      <c r="N22" s="1"/>
    </row>
    <row r="23" spans="1:14">
      <c r="A23" s="9" t="s">
        <v>289</v>
      </c>
      <c r="B23" s="10"/>
      <c r="C23" s="462" t="s">
        <v>313</v>
      </c>
      <c r="D23" s="463"/>
      <c r="E23" s="463"/>
      <c r="F23" s="464"/>
      <c r="H23">
        <v>3.1739999999999999</v>
      </c>
      <c r="N23" s="1"/>
    </row>
    <row r="24" spans="1:14">
      <c r="A24" s="15" t="s">
        <v>292</v>
      </c>
      <c r="B24" s="11"/>
      <c r="C24" s="18" t="s">
        <v>314</v>
      </c>
      <c r="D24" s="19" t="s">
        <v>315</v>
      </c>
      <c r="E24" s="19" t="s">
        <v>316</v>
      </c>
      <c r="F24" s="43" t="s">
        <v>317</v>
      </c>
      <c r="H24" s="17">
        <v>5.0000000000000001E-3</v>
      </c>
      <c r="J24" s="3"/>
    </row>
    <row r="25" spans="1:14">
      <c r="A25" s="15" t="s">
        <v>295</v>
      </c>
      <c r="B25" s="11"/>
      <c r="C25" s="451" t="s">
        <v>296</v>
      </c>
      <c r="D25" s="452"/>
      <c r="E25" s="452"/>
      <c r="F25" s="453"/>
      <c r="J25" s="3"/>
    </row>
    <row r="26" spans="1:14">
      <c r="A26" s="15" t="s">
        <v>298</v>
      </c>
      <c r="B26" s="12" t="s">
        <v>299</v>
      </c>
      <c r="C26" s="18">
        <v>5600</v>
      </c>
      <c r="D26" s="19">
        <v>5600</v>
      </c>
      <c r="E26" s="19">
        <v>5600</v>
      </c>
      <c r="F26" s="43">
        <v>5600</v>
      </c>
      <c r="J26" s="35">
        <v>6</v>
      </c>
    </row>
    <row r="27" spans="1:14">
      <c r="A27" s="15" t="s">
        <v>300</v>
      </c>
      <c r="B27" s="12" t="s">
        <v>301</v>
      </c>
      <c r="C27" s="18">
        <v>45</v>
      </c>
      <c r="D27" s="19">
        <v>48</v>
      </c>
      <c r="E27" s="19">
        <v>50</v>
      </c>
      <c r="F27" s="43">
        <v>53</v>
      </c>
      <c r="J27" s="35">
        <v>2.38</v>
      </c>
    </row>
    <row r="28" spans="1:14">
      <c r="A28" s="15" t="s">
        <v>302</v>
      </c>
      <c r="B28" s="12" t="s">
        <v>303</v>
      </c>
      <c r="C28" s="18">
        <v>56</v>
      </c>
      <c r="D28" s="19">
        <v>56</v>
      </c>
      <c r="E28" s="19">
        <v>56</v>
      </c>
      <c r="F28" s="43">
        <v>56</v>
      </c>
      <c r="J28" s="48">
        <v>3.8E-3</v>
      </c>
    </row>
    <row r="29" spans="1:14">
      <c r="A29" s="15" t="s">
        <v>304</v>
      </c>
      <c r="B29" s="12" t="s">
        <v>43</v>
      </c>
      <c r="C29" s="18">
        <v>9.4499999999999993</v>
      </c>
      <c r="D29" s="19">
        <v>9.4499999999999993</v>
      </c>
      <c r="E29" s="19">
        <v>9.4499999999999993</v>
      </c>
      <c r="F29" s="43">
        <v>9.4499999999999993</v>
      </c>
    </row>
    <row r="30" spans="1:14">
      <c r="A30" s="15" t="s">
        <v>305</v>
      </c>
      <c r="B30" s="12" t="s">
        <v>43</v>
      </c>
      <c r="C30" s="18">
        <v>630</v>
      </c>
      <c r="D30" s="19">
        <v>630</v>
      </c>
      <c r="E30" s="19">
        <v>630</v>
      </c>
      <c r="F30" s="43">
        <v>630</v>
      </c>
    </row>
    <row r="31" spans="1:14">
      <c r="A31" s="15" t="s">
        <v>265</v>
      </c>
      <c r="B31" s="12" t="s">
        <v>43</v>
      </c>
      <c r="C31" s="18">
        <v>31.5</v>
      </c>
      <c r="D31" s="19">
        <v>31.5</v>
      </c>
      <c r="E31" s="19">
        <v>31.5</v>
      </c>
      <c r="F31" s="43">
        <v>31.5</v>
      </c>
    </row>
    <row r="32" spans="1:14">
      <c r="A32" s="15" t="s">
        <v>306</v>
      </c>
      <c r="B32" s="12"/>
      <c r="C32" s="18">
        <v>20</v>
      </c>
      <c r="D32" s="19">
        <v>20</v>
      </c>
      <c r="E32" s="19">
        <v>20</v>
      </c>
      <c r="F32" s="43">
        <v>20</v>
      </c>
    </row>
    <row r="33" spans="1:6">
      <c r="A33" s="15" t="s">
        <v>307</v>
      </c>
      <c r="B33" s="12" t="s">
        <v>43</v>
      </c>
      <c r="C33" s="18">
        <v>630</v>
      </c>
      <c r="D33" s="19">
        <v>630</v>
      </c>
      <c r="E33" s="19">
        <v>630</v>
      </c>
      <c r="F33" s="43">
        <v>630</v>
      </c>
    </row>
    <row r="34" spans="1:6">
      <c r="A34" s="15" t="s">
        <v>267</v>
      </c>
      <c r="B34" s="12" t="s">
        <v>46</v>
      </c>
      <c r="C34" s="18">
        <v>9.31</v>
      </c>
      <c r="D34" s="19">
        <v>9.31</v>
      </c>
      <c r="E34" s="19">
        <v>9.31</v>
      </c>
      <c r="F34" s="43">
        <v>9.31</v>
      </c>
    </row>
    <row r="35" spans="1:6">
      <c r="A35" s="15" t="s">
        <v>308</v>
      </c>
      <c r="B35" s="12" t="s">
        <v>46</v>
      </c>
      <c r="C35" s="18">
        <v>11.63</v>
      </c>
      <c r="D35" s="19">
        <v>11.63</v>
      </c>
      <c r="E35" s="19">
        <v>11.63</v>
      </c>
      <c r="F35" s="43">
        <v>11.63</v>
      </c>
    </row>
    <row r="36" spans="1:6">
      <c r="A36" s="15" t="s">
        <v>309</v>
      </c>
      <c r="B36" s="12" t="s">
        <v>310</v>
      </c>
      <c r="C36" s="47">
        <v>6</v>
      </c>
      <c r="D36" s="47">
        <v>6</v>
      </c>
      <c r="E36" s="47">
        <v>6</v>
      </c>
      <c r="F36" s="49">
        <v>6</v>
      </c>
    </row>
    <row r="37" spans="1:6">
      <c r="A37" s="465" t="s">
        <v>311</v>
      </c>
      <c r="B37" s="12" t="s">
        <v>43</v>
      </c>
      <c r="C37" s="47">
        <v>2.38</v>
      </c>
      <c r="D37" s="47">
        <v>2.54</v>
      </c>
      <c r="E37" s="47">
        <v>2.64</v>
      </c>
      <c r="F37" s="49">
        <v>2.8</v>
      </c>
    </row>
    <row r="38" spans="1:6">
      <c r="A38" s="466"/>
      <c r="B38" s="13" t="s">
        <v>312</v>
      </c>
      <c r="C38" s="50">
        <v>3.8E-3</v>
      </c>
      <c r="D38" s="50">
        <v>4.0000000000000001E-3</v>
      </c>
      <c r="E38" s="50">
        <v>4.1999999999999997E-3</v>
      </c>
      <c r="F38" s="51">
        <v>4.4999999999999997E-3</v>
      </c>
    </row>
    <row r="41" spans="1:6">
      <c r="A41" s="459" t="s">
        <v>288</v>
      </c>
      <c r="B41" s="460"/>
      <c r="C41" s="460"/>
      <c r="D41" s="460"/>
      <c r="E41" s="461"/>
      <c r="F41" s="41"/>
    </row>
    <row r="42" spans="1:6">
      <c r="A42" s="9" t="s">
        <v>289</v>
      </c>
      <c r="B42" s="10"/>
      <c r="C42" s="462" t="s">
        <v>313</v>
      </c>
      <c r="D42" s="463"/>
      <c r="E42" s="464"/>
      <c r="F42" s="40"/>
    </row>
    <row r="43" spans="1:6">
      <c r="A43" s="15" t="s">
        <v>292</v>
      </c>
      <c r="B43" s="11"/>
      <c r="C43" s="18" t="s">
        <v>318</v>
      </c>
      <c r="D43" s="19" t="s">
        <v>319</v>
      </c>
      <c r="E43" s="43" t="s">
        <v>320</v>
      </c>
      <c r="F43" s="19"/>
    </row>
    <row r="44" spans="1:6">
      <c r="A44" s="15" t="s">
        <v>295</v>
      </c>
      <c r="B44" s="11"/>
      <c r="C44" s="451" t="s">
        <v>296</v>
      </c>
      <c r="D44" s="452"/>
      <c r="E44" s="453"/>
      <c r="F44" s="40"/>
    </row>
    <row r="45" spans="1:6">
      <c r="A45" s="15" t="s">
        <v>298</v>
      </c>
      <c r="B45" s="12" t="s">
        <v>299</v>
      </c>
      <c r="C45" s="44">
        <v>5600</v>
      </c>
      <c r="D45" s="46">
        <v>5600</v>
      </c>
      <c r="E45" s="43">
        <v>5600</v>
      </c>
      <c r="F45" s="16"/>
    </row>
    <row r="46" spans="1:6">
      <c r="A46" s="15" t="s">
        <v>300</v>
      </c>
      <c r="B46" s="12" t="s">
        <v>301</v>
      </c>
      <c r="C46" s="44">
        <v>55</v>
      </c>
      <c r="D46" s="19">
        <v>57</v>
      </c>
      <c r="E46" s="45">
        <v>60</v>
      </c>
      <c r="F46" s="16"/>
    </row>
    <row r="47" spans="1:6">
      <c r="A47" s="15" t="s">
        <v>302</v>
      </c>
      <c r="B47" s="12" t="s">
        <v>303</v>
      </c>
      <c r="C47" s="44">
        <v>56</v>
      </c>
      <c r="D47" s="46">
        <v>56</v>
      </c>
      <c r="E47" s="43">
        <v>56</v>
      </c>
      <c r="F47" s="16"/>
    </row>
    <row r="48" spans="1:6">
      <c r="A48" s="15" t="s">
        <v>304</v>
      </c>
      <c r="B48" s="12" t="s">
        <v>43</v>
      </c>
      <c r="C48" s="44">
        <v>9.4499999999999993</v>
      </c>
      <c r="D48" s="46">
        <v>9.4499999999999993</v>
      </c>
      <c r="E48" s="43">
        <v>9.4499999999999993</v>
      </c>
      <c r="F48" s="16"/>
    </row>
    <row r="49" spans="1:6">
      <c r="A49" s="15" t="s">
        <v>305</v>
      </c>
      <c r="B49" s="12" t="s">
        <v>43</v>
      </c>
      <c r="C49" s="44">
        <v>630</v>
      </c>
      <c r="D49" s="19">
        <v>630</v>
      </c>
      <c r="E49" s="45">
        <v>630</v>
      </c>
      <c r="F49" s="16"/>
    </row>
    <row r="50" spans="1:6">
      <c r="A50" s="15" t="s">
        <v>265</v>
      </c>
      <c r="B50" s="12" t="s">
        <v>43</v>
      </c>
      <c r="C50" s="44">
        <v>31.5</v>
      </c>
      <c r="D50" s="19">
        <v>31.5</v>
      </c>
      <c r="E50" s="45">
        <v>31.5</v>
      </c>
      <c r="F50" s="16"/>
    </row>
    <row r="51" spans="1:6">
      <c r="A51" s="15" t="s">
        <v>306</v>
      </c>
      <c r="B51" s="12"/>
      <c r="C51" s="44">
        <v>20</v>
      </c>
      <c r="D51" s="46">
        <v>20</v>
      </c>
      <c r="E51" s="43">
        <v>20</v>
      </c>
      <c r="F51" s="16"/>
    </row>
    <row r="52" spans="1:6">
      <c r="A52" s="15" t="s">
        <v>307</v>
      </c>
      <c r="B52" s="12" t="s">
        <v>43</v>
      </c>
      <c r="C52" s="44">
        <v>630</v>
      </c>
      <c r="D52" s="46">
        <v>630</v>
      </c>
      <c r="E52" s="43">
        <v>630</v>
      </c>
      <c r="F52" s="16"/>
    </row>
    <row r="53" spans="1:6">
      <c r="A53" s="15" t="s">
        <v>267</v>
      </c>
      <c r="B53" s="12" t="s">
        <v>46</v>
      </c>
      <c r="C53" s="44">
        <v>9.31</v>
      </c>
      <c r="D53" s="19">
        <v>9.31</v>
      </c>
      <c r="E53" s="45">
        <v>9.31</v>
      </c>
      <c r="F53" s="16"/>
    </row>
    <row r="54" spans="1:6">
      <c r="A54" s="15" t="s">
        <v>308</v>
      </c>
      <c r="B54" s="12" t="s">
        <v>46</v>
      </c>
      <c r="C54" s="44">
        <v>11.63</v>
      </c>
      <c r="D54" s="19">
        <v>11.63</v>
      </c>
      <c r="E54" s="45">
        <v>11.63</v>
      </c>
      <c r="F54" s="16"/>
    </row>
    <row r="55" spans="1:6">
      <c r="A55" s="15" t="s">
        <v>309</v>
      </c>
      <c r="B55" s="12" t="s">
        <v>310</v>
      </c>
      <c r="C55" s="47">
        <v>6</v>
      </c>
      <c r="D55" s="47">
        <v>6</v>
      </c>
      <c r="E55" s="49">
        <v>6</v>
      </c>
      <c r="F55" s="16"/>
    </row>
    <row r="56" spans="1:6">
      <c r="A56" s="465" t="s">
        <v>311</v>
      </c>
      <c r="B56" s="12" t="s">
        <v>43</v>
      </c>
      <c r="C56" s="47">
        <v>2.91</v>
      </c>
      <c r="D56" s="47">
        <v>3.01</v>
      </c>
      <c r="E56" s="49">
        <v>3.1739999999999999</v>
      </c>
      <c r="F56" s="16"/>
    </row>
    <row r="57" spans="1:6">
      <c r="A57" s="466"/>
      <c r="B57" s="13" t="s">
        <v>312</v>
      </c>
      <c r="C57" s="50">
        <v>4.5999999999999999E-3</v>
      </c>
      <c r="D57" s="50">
        <v>4.7999999999999996E-3</v>
      </c>
      <c r="E57" s="17">
        <v>5.0000000000000001E-3</v>
      </c>
      <c r="F57" s="42"/>
    </row>
  </sheetData>
  <mergeCells count="44">
    <mergeCell ref="A56:A57"/>
    <mergeCell ref="A41:E41"/>
    <mergeCell ref="C42:E42"/>
    <mergeCell ref="C44:E44"/>
    <mergeCell ref="C25:F25"/>
    <mergeCell ref="A37:A38"/>
    <mergeCell ref="I1:M1"/>
    <mergeCell ref="K2:M2"/>
    <mergeCell ref="K4:M4"/>
    <mergeCell ref="I16:I17"/>
    <mergeCell ref="C23:F23"/>
    <mergeCell ref="A1:F1"/>
    <mergeCell ref="A16:A17"/>
    <mergeCell ref="C4:F4"/>
    <mergeCell ref="C2:F2"/>
    <mergeCell ref="A22:F22"/>
    <mergeCell ref="K3:M3"/>
    <mergeCell ref="C3:F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K10:M10"/>
    <mergeCell ref="K11:M11"/>
    <mergeCell ref="K12:M12"/>
    <mergeCell ref="K13:M13"/>
    <mergeCell ref="K14:M14"/>
    <mergeCell ref="K5:M5"/>
    <mergeCell ref="K6:M6"/>
    <mergeCell ref="K7:M7"/>
    <mergeCell ref="K8:M8"/>
    <mergeCell ref="K9:M9"/>
    <mergeCell ref="K17:M17"/>
    <mergeCell ref="C14:F14"/>
    <mergeCell ref="C15:F15"/>
    <mergeCell ref="C16:F16"/>
    <mergeCell ref="C17:F17"/>
    <mergeCell ref="K15:M15"/>
    <mergeCell ref="K16:M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M35"/>
  <sheetViews>
    <sheetView workbookViewId="0">
      <selection activeCell="E39" sqref="E39"/>
    </sheetView>
  </sheetViews>
  <sheetFormatPr baseColWidth="10" defaultColWidth="11.44140625" defaultRowHeight="14.4"/>
  <cols>
    <col min="1" max="1" width="11.5546875" customWidth="1"/>
    <col min="2" max="2" width="8.88671875" customWidth="1"/>
    <col min="3" max="3" width="11.5546875" customWidth="1"/>
    <col min="10" max="10" width="23.88671875" bestFit="1" customWidth="1"/>
    <col min="11" max="11" width="15.88671875" bestFit="1" customWidth="1"/>
  </cols>
  <sheetData>
    <row r="1" spans="1:13" ht="15" thickBot="1">
      <c r="A1" s="470" t="s">
        <v>288</v>
      </c>
      <c r="B1" s="471"/>
      <c r="C1" s="471"/>
      <c r="D1" s="471"/>
      <c r="E1" s="471"/>
      <c r="F1" s="472"/>
      <c r="G1" s="8"/>
      <c r="H1" s="470" t="s">
        <v>288</v>
      </c>
      <c r="I1" s="471"/>
      <c r="J1" s="471"/>
      <c r="K1" s="471"/>
      <c r="L1" s="471"/>
      <c r="M1" s="472"/>
    </row>
    <row r="2" spans="1:13">
      <c r="A2" s="27" t="s">
        <v>289</v>
      </c>
      <c r="B2" s="28"/>
      <c r="C2" s="473" t="s">
        <v>321</v>
      </c>
      <c r="D2" s="473"/>
      <c r="E2" s="473"/>
      <c r="F2" s="474"/>
      <c r="G2" s="8"/>
      <c r="H2" s="27" t="s">
        <v>289</v>
      </c>
      <c r="I2" s="28"/>
      <c r="J2" s="473" t="s">
        <v>321</v>
      </c>
      <c r="K2" s="473"/>
      <c r="L2" s="473"/>
      <c r="M2" s="474"/>
    </row>
    <row r="3" spans="1:13">
      <c r="A3" s="22" t="s">
        <v>292</v>
      </c>
      <c r="B3" s="29"/>
      <c r="C3" s="8" t="s">
        <v>293</v>
      </c>
      <c r="D3" s="8" t="s">
        <v>322</v>
      </c>
      <c r="E3" s="8" t="s">
        <v>323</v>
      </c>
      <c r="F3" s="23" t="s">
        <v>324</v>
      </c>
      <c r="G3" s="8"/>
      <c r="H3" s="22" t="s">
        <v>292</v>
      </c>
      <c r="I3" s="29"/>
      <c r="J3" s="8" t="s">
        <v>293</v>
      </c>
      <c r="K3" s="8" t="s">
        <v>322</v>
      </c>
      <c r="L3" s="8" t="s">
        <v>323</v>
      </c>
      <c r="M3" s="23" t="s">
        <v>324</v>
      </c>
    </row>
    <row r="4" spans="1:13">
      <c r="A4" s="22" t="s">
        <v>295</v>
      </c>
      <c r="B4" s="29"/>
      <c r="C4" s="473" t="s">
        <v>296</v>
      </c>
      <c r="D4" s="473"/>
      <c r="E4" s="473"/>
      <c r="F4" s="474"/>
      <c r="G4" s="8"/>
      <c r="H4" s="22" t="s">
        <v>295</v>
      </c>
      <c r="I4" s="29"/>
      <c r="J4" s="473" t="s">
        <v>296</v>
      </c>
      <c r="K4" s="473"/>
      <c r="L4" s="473"/>
      <c r="M4" s="474"/>
    </row>
    <row r="5" spans="1:13">
      <c r="A5" s="22" t="s">
        <v>298</v>
      </c>
      <c r="B5" s="30" t="s">
        <v>299</v>
      </c>
      <c r="C5" s="14" t="e">
        <f>+#REF!</f>
        <v>#REF!</v>
      </c>
      <c r="D5" s="14" t="e">
        <f>+C5</f>
        <v>#REF!</v>
      </c>
      <c r="E5" s="14" t="e">
        <f>+D5</f>
        <v>#REF!</v>
      </c>
      <c r="F5" s="24" t="e">
        <f>+E5</f>
        <v>#REF!</v>
      </c>
      <c r="G5" s="8"/>
      <c r="H5" s="22" t="s">
        <v>298</v>
      </c>
      <c r="I5" s="30" t="s">
        <v>299</v>
      </c>
      <c r="J5" s="3">
        <v>42005.25</v>
      </c>
      <c r="K5" s="3">
        <v>42005.25</v>
      </c>
      <c r="L5" s="3">
        <v>42005.25</v>
      </c>
      <c r="M5" s="32">
        <v>42005.25</v>
      </c>
    </row>
    <row r="6" spans="1:13">
      <c r="A6" s="22" t="s">
        <v>300</v>
      </c>
      <c r="B6" s="30" t="s">
        <v>301</v>
      </c>
      <c r="C6" s="14" t="e">
        <f>+#REF!</f>
        <v>#REF!</v>
      </c>
      <c r="D6" s="14" t="e">
        <f t="shared" ref="D6:F17" si="0">+C6</f>
        <v>#REF!</v>
      </c>
      <c r="E6" s="14" t="e">
        <f t="shared" si="0"/>
        <v>#REF!</v>
      </c>
      <c r="F6" s="24" t="e">
        <f t="shared" si="0"/>
        <v>#REF!</v>
      </c>
      <c r="G6" s="8"/>
      <c r="H6" s="22" t="s">
        <v>300</v>
      </c>
      <c r="I6" s="30" t="s">
        <v>301</v>
      </c>
      <c r="J6" s="3">
        <v>20</v>
      </c>
      <c r="K6" s="3">
        <v>22</v>
      </c>
      <c r="L6" s="3">
        <v>25</v>
      </c>
      <c r="M6" s="32">
        <v>23</v>
      </c>
    </row>
    <row r="7" spans="1:13">
      <c r="A7" s="22" t="s">
        <v>302</v>
      </c>
      <c r="B7" s="30" t="s">
        <v>303</v>
      </c>
      <c r="C7" s="14" t="e">
        <f>+#REF!</f>
        <v>#REF!</v>
      </c>
      <c r="D7" s="14" t="e">
        <f t="shared" si="0"/>
        <v>#REF!</v>
      </c>
      <c r="E7" s="14" t="e">
        <f t="shared" si="0"/>
        <v>#REF!</v>
      </c>
      <c r="F7" s="24" t="e">
        <f t="shared" si="0"/>
        <v>#REF!</v>
      </c>
      <c r="G7" s="8"/>
      <c r="H7" s="22" t="s">
        <v>302</v>
      </c>
      <c r="I7" s="30" t="s">
        <v>303</v>
      </c>
      <c r="J7" s="3">
        <v>56</v>
      </c>
      <c r="K7" s="3">
        <v>56</v>
      </c>
      <c r="L7" s="3">
        <v>56</v>
      </c>
      <c r="M7" s="32">
        <v>56</v>
      </c>
    </row>
    <row r="8" spans="1:13">
      <c r="A8" s="22" t="s">
        <v>304</v>
      </c>
      <c r="B8" s="30" t="s">
        <v>43</v>
      </c>
      <c r="C8" s="14" t="e">
        <f>+#REF!</f>
        <v>#REF!</v>
      </c>
      <c r="D8" s="14" t="e">
        <f t="shared" si="0"/>
        <v>#REF!</v>
      </c>
      <c r="E8" s="14" t="e">
        <f t="shared" si="0"/>
        <v>#REF!</v>
      </c>
      <c r="F8" s="24" t="e">
        <f t="shared" si="0"/>
        <v>#REF!</v>
      </c>
      <c r="G8" s="8"/>
      <c r="H8" s="22" t="s">
        <v>304</v>
      </c>
      <c r="I8" s="30" t="s">
        <v>43</v>
      </c>
      <c r="J8" s="3">
        <v>9.4499999999999993</v>
      </c>
      <c r="K8" s="3">
        <v>9.4499999999999993</v>
      </c>
      <c r="L8" s="3">
        <v>9.4499999999999993</v>
      </c>
      <c r="M8" s="32">
        <v>9.4499999999999993</v>
      </c>
    </row>
    <row r="9" spans="1:13">
      <c r="A9" s="22" t="s">
        <v>305</v>
      </c>
      <c r="B9" s="30" t="s">
        <v>43</v>
      </c>
      <c r="C9" s="14" t="e">
        <f>+#REF!</f>
        <v>#REF!</v>
      </c>
      <c r="D9" s="14" t="e">
        <f t="shared" si="0"/>
        <v>#REF!</v>
      </c>
      <c r="E9" s="14" t="e">
        <f t="shared" si="0"/>
        <v>#REF!</v>
      </c>
      <c r="F9" s="24" t="e">
        <f t="shared" si="0"/>
        <v>#REF!</v>
      </c>
      <c r="G9" s="8"/>
      <c r="H9" s="22" t="s">
        <v>305</v>
      </c>
      <c r="I9" s="30" t="s">
        <v>43</v>
      </c>
      <c r="J9" s="3">
        <v>630</v>
      </c>
      <c r="K9" s="3">
        <v>630</v>
      </c>
      <c r="L9" s="3">
        <v>630</v>
      </c>
      <c r="M9" s="32">
        <v>630</v>
      </c>
    </row>
    <row r="10" spans="1:13">
      <c r="A10" s="22" t="s">
        <v>265</v>
      </c>
      <c r="B10" s="30" t="s">
        <v>43</v>
      </c>
      <c r="C10" s="14" t="e">
        <f>+#REF!</f>
        <v>#REF!</v>
      </c>
      <c r="D10" s="14" t="e">
        <f t="shared" si="0"/>
        <v>#REF!</v>
      </c>
      <c r="E10" s="14" t="e">
        <f t="shared" si="0"/>
        <v>#REF!</v>
      </c>
      <c r="F10" s="24" t="e">
        <f t="shared" si="0"/>
        <v>#REF!</v>
      </c>
      <c r="G10" s="8"/>
      <c r="H10" s="22" t="s">
        <v>265</v>
      </c>
      <c r="I10" s="30" t="s">
        <v>43</v>
      </c>
      <c r="J10" s="3">
        <v>31.5</v>
      </c>
      <c r="K10" s="3">
        <v>31.5</v>
      </c>
      <c r="L10" s="3">
        <v>31.5</v>
      </c>
      <c r="M10" s="32">
        <v>31.5</v>
      </c>
    </row>
    <row r="11" spans="1:13">
      <c r="A11" s="22" t="s">
        <v>306</v>
      </c>
      <c r="B11" s="30"/>
      <c r="C11" s="14" t="e">
        <f>+#REF!</f>
        <v>#REF!</v>
      </c>
      <c r="D11" s="14" t="e">
        <f t="shared" si="0"/>
        <v>#REF!</v>
      </c>
      <c r="E11" s="14" t="e">
        <f t="shared" si="0"/>
        <v>#REF!</v>
      </c>
      <c r="F11" s="24" t="e">
        <f t="shared" si="0"/>
        <v>#REF!</v>
      </c>
      <c r="G11" s="8"/>
      <c r="H11" s="22" t="s">
        <v>306</v>
      </c>
      <c r="I11" s="30"/>
      <c r="J11" s="3">
        <v>20</v>
      </c>
      <c r="K11" s="3">
        <v>20</v>
      </c>
      <c r="L11" s="3">
        <v>20</v>
      </c>
      <c r="M11" s="32">
        <v>20</v>
      </c>
    </row>
    <row r="12" spans="1:13">
      <c r="A12" s="22" t="s">
        <v>307</v>
      </c>
      <c r="B12" s="30" t="s">
        <v>43</v>
      </c>
      <c r="C12" s="14" t="e">
        <f>+#REF!</f>
        <v>#REF!</v>
      </c>
      <c r="D12" s="14" t="e">
        <f t="shared" si="0"/>
        <v>#REF!</v>
      </c>
      <c r="E12" s="14" t="e">
        <f t="shared" si="0"/>
        <v>#REF!</v>
      </c>
      <c r="F12" s="24" t="e">
        <f t="shared" si="0"/>
        <v>#REF!</v>
      </c>
      <c r="G12" s="8"/>
      <c r="H12" s="22" t="s">
        <v>307</v>
      </c>
      <c r="I12" s="30" t="s">
        <v>43</v>
      </c>
      <c r="J12" s="3">
        <v>630</v>
      </c>
      <c r="K12" s="3">
        <v>630</v>
      </c>
      <c r="L12" s="3">
        <v>630</v>
      </c>
      <c r="M12" s="32">
        <v>630</v>
      </c>
    </row>
    <row r="13" spans="1:13">
      <c r="A13" s="22" t="s">
        <v>267</v>
      </c>
      <c r="B13" s="30" t="s">
        <v>46</v>
      </c>
      <c r="C13" s="14" t="e">
        <f>+#REF!</f>
        <v>#REF!</v>
      </c>
      <c r="D13" s="14" t="e">
        <f t="shared" si="0"/>
        <v>#REF!</v>
      </c>
      <c r="E13" s="14" t="e">
        <f t="shared" si="0"/>
        <v>#REF!</v>
      </c>
      <c r="F13" s="24" t="e">
        <f t="shared" si="0"/>
        <v>#REF!</v>
      </c>
      <c r="G13" s="8"/>
      <c r="H13" s="22" t="s">
        <v>267</v>
      </c>
      <c r="I13" s="30" t="s">
        <v>46</v>
      </c>
      <c r="J13" s="3">
        <v>53.34</v>
      </c>
      <c r="K13" s="3">
        <v>53.34</v>
      </c>
      <c r="L13" s="3">
        <v>53.34</v>
      </c>
      <c r="M13" s="32">
        <v>53.34</v>
      </c>
    </row>
    <row r="14" spans="1:13">
      <c r="A14" s="22" t="s">
        <v>308</v>
      </c>
      <c r="B14" s="30" t="s">
        <v>46</v>
      </c>
      <c r="C14" s="14" t="e">
        <f>+#REF!</f>
        <v>#REF!</v>
      </c>
      <c r="D14" s="14" t="e">
        <f t="shared" si="0"/>
        <v>#REF!</v>
      </c>
      <c r="E14" s="14" t="e">
        <f t="shared" si="0"/>
        <v>#REF!</v>
      </c>
      <c r="F14" s="24" t="e">
        <f t="shared" si="0"/>
        <v>#REF!</v>
      </c>
      <c r="G14" s="8"/>
      <c r="H14" s="22" t="s">
        <v>308</v>
      </c>
      <c r="I14" s="30" t="s">
        <v>46</v>
      </c>
      <c r="J14" s="3">
        <v>66.680000000000007</v>
      </c>
      <c r="K14" s="3">
        <v>66.680000000000007</v>
      </c>
      <c r="L14" s="3">
        <v>66.680000000000007</v>
      </c>
      <c r="M14" s="32">
        <v>66.680000000000007</v>
      </c>
    </row>
    <row r="15" spans="1:13">
      <c r="A15" s="22" t="s">
        <v>309</v>
      </c>
      <c r="B15" s="30" t="s">
        <v>310</v>
      </c>
      <c r="C15" s="14" t="e">
        <f>+#REF!</f>
        <v>#REF!</v>
      </c>
      <c r="D15" s="14" t="e">
        <f t="shared" si="0"/>
        <v>#REF!</v>
      </c>
      <c r="E15" s="14" t="e">
        <f t="shared" si="0"/>
        <v>#REF!</v>
      </c>
      <c r="F15" s="24" t="e">
        <f t="shared" si="0"/>
        <v>#REF!</v>
      </c>
      <c r="G15" s="8"/>
      <c r="H15" s="22" t="s">
        <v>309</v>
      </c>
      <c r="I15" s="30" t="s">
        <v>310</v>
      </c>
      <c r="J15" s="3">
        <v>16</v>
      </c>
      <c r="K15" s="3">
        <v>16</v>
      </c>
      <c r="L15" s="3">
        <v>16</v>
      </c>
      <c r="M15" s="32">
        <v>16</v>
      </c>
    </row>
    <row r="16" spans="1:13">
      <c r="A16" s="468" t="s">
        <v>311</v>
      </c>
      <c r="B16" s="30" t="s">
        <v>43</v>
      </c>
      <c r="C16" s="14" t="e">
        <f>+#REF!</f>
        <v>#REF!</v>
      </c>
      <c r="D16" s="14" t="e">
        <f t="shared" si="0"/>
        <v>#REF!</v>
      </c>
      <c r="E16" s="14" t="e">
        <f t="shared" si="0"/>
        <v>#REF!</v>
      </c>
      <c r="F16" s="24" t="e">
        <f t="shared" si="0"/>
        <v>#REF!</v>
      </c>
      <c r="G16" s="8"/>
      <c r="H16" s="468" t="s">
        <v>311</v>
      </c>
      <c r="I16" s="30" t="s">
        <v>43</v>
      </c>
      <c r="J16" s="3">
        <v>2.98</v>
      </c>
      <c r="K16" s="3">
        <v>3.27</v>
      </c>
      <c r="L16" s="3">
        <v>3.72</v>
      </c>
      <c r="M16" s="32">
        <v>3.42</v>
      </c>
    </row>
    <row r="17" spans="1:13" ht="15" thickBot="1">
      <c r="A17" s="469"/>
      <c r="B17" s="31" t="s">
        <v>312</v>
      </c>
      <c r="C17" s="25" t="e">
        <f>+#REF!</f>
        <v>#REF!</v>
      </c>
      <c r="D17" s="25" t="e">
        <f t="shared" si="0"/>
        <v>#REF!</v>
      </c>
      <c r="E17" s="25" t="e">
        <f t="shared" si="0"/>
        <v>#REF!</v>
      </c>
      <c r="F17" s="26" t="e">
        <f t="shared" si="0"/>
        <v>#REF!</v>
      </c>
      <c r="G17" s="8"/>
      <c r="H17" s="469"/>
      <c r="I17" s="31" t="s">
        <v>312</v>
      </c>
      <c r="J17" s="33">
        <v>4.7000000000000002E-3</v>
      </c>
      <c r="K17" s="25">
        <v>5.1999999999999998E-3</v>
      </c>
      <c r="L17" s="25">
        <v>5.8999999999999999E-3</v>
      </c>
      <c r="M17" s="26">
        <v>5.4000000000000003E-3</v>
      </c>
    </row>
    <row r="18" spans="1:13" ht="15" thickBot="1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3">
      <c r="H19" s="475" t="s">
        <v>288</v>
      </c>
      <c r="I19" s="476"/>
      <c r="J19" s="476"/>
      <c r="K19" s="477"/>
    </row>
    <row r="20" spans="1:13">
      <c r="H20" s="21" t="s">
        <v>289</v>
      </c>
      <c r="I20" s="10"/>
      <c r="J20" s="462" t="s">
        <v>291</v>
      </c>
      <c r="K20" s="478"/>
    </row>
    <row r="21" spans="1:13">
      <c r="H21" s="22" t="s">
        <v>292</v>
      </c>
      <c r="I21" s="11"/>
      <c r="J21" s="18" t="s">
        <v>294</v>
      </c>
      <c r="K21" s="34" t="s">
        <v>325</v>
      </c>
    </row>
    <row r="22" spans="1:13">
      <c r="H22" s="22" t="s">
        <v>295</v>
      </c>
      <c r="I22" s="11"/>
      <c r="J22" s="451" t="s">
        <v>297</v>
      </c>
      <c r="K22" s="467"/>
    </row>
    <row r="23" spans="1:13">
      <c r="H23" s="22" t="s">
        <v>298</v>
      </c>
      <c r="I23" s="12" t="s">
        <v>299</v>
      </c>
      <c r="J23" s="35">
        <v>42005.25</v>
      </c>
      <c r="K23" s="36">
        <v>42005.25</v>
      </c>
    </row>
    <row r="24" spans="1:13">
      <c r="H24" s="22" t="s">
        <v>300</v>
      </c>
      <c r="I24" s="12" t="s">
        <v>301</v>
      </c>
      <c r="J24" s="35">
        <v>20</v>
      </c>
      <c r="K24" s="36">
        <v>20</v>
      </c>
    </row>
    <row r="25" spans="1:13">
      <c r="H25" s="22" t="s">
        <v>302</v>
      </c>
      <c r="I25" s="12" t="s">
        <v>303</v>
      </c>
      <c r="J25" s="35">
        <v>56</v>
      </c>
      <c r="K25" s="36">
        <v>56</v>
      </c>
    </row>
    <row r="26" spans="1:13">
      <c r="H26" s="22" t="s">
        <v>304</v>
      </c>
      <c r="I26" s="12" t="s">
        <v>43</v>
      </c>
      <c r="J26" s="35">
        <v>9.4499999999999993</v>
      </c>
      <c r="K26" s="36">
        <v>9.4499999999999993</v>
      </c>
    </row>
    <row r="27" spans="1:13">
      <c r="H27" s="22" t="s">
        <v>305</v>
      </c>
      <c r="I27" s="12" t="s">
        <v>43</v>
      </c>
      <c r="J27" s="35">
        <v>630</v>
      </c>
      <c r="K27" s="36">
        <v>630</v>
      </c>
    </row>
    <row r="28" spans="1:13">
      <c r="H28" s="22" t="s">
        <v>265</v>
      </c>
      <c r="I28" s="12" t="s">
        <v>43</v>
      </c>
      <c r="J28" s="35">
        <v>31.5</v>
      </c>
      <c r="K28" s="36">
        <v>31.5</v>
      </c>
    </row>
    <row r="29" spans="1:13">
      <c r="H29" s="22" t="s">
        <v>306</v>
      </c>
      <c r="I29" s="12"/>
      <c r="J29" s="35">
        <v>20</v>
      </c>
      <c r="K29" s="36">
        <v>20</v>
      </c>
    </row>
    <row r="30" spans="1:13">
      <c r="H30" s="22" t="s">
        <v>307</v>
      </c>
      <c r="I30" s="12" t="s">
        <v>43</v>
      </c>
      <c r="J30" s="35">
        <v>630</v>
      </c>
      <c r="K30" s="36">
        <v>630</v>
      </c>
    </row>
    <row r="31" spans="1:13">
      <c r="H31" s="22" t="s">
        <v>267</v>
      </c>
      <c r="I31" s="12" t="s">
        <v>46</v>
      </c>
      <c r="J31" s="35">
        <v>53.34</v>
      </c>
      <c r="K31" s="36">
        <v>53.34</v>
      </c>
    </row>
    <row r="32" spans="1:13">
      <c r="H32" s="22" t="s">
        <v>308</v>
      </c>
      <c r="I32" s="12" t="s">
        <v>46</v>
      </c>
      <c r="J32" s="35">
        <v>66.675000000000011</v>
      </c>
      <c r="K32" s="36">
        <v>66.675000000000011</v>
      </c>
    </row>
    <row r="33" spans="8:11">
      <c r="H33" s="22" t="s">
        <v>309</v>
      </c>
      <c r="I33" s="12" t="s">
        <v>310</v>
      </c>
      <c r="J33" s="35">
        <v>16</v>
      </c>
      <c r="K33" s="36">
        <v>16</v>
      </c>
    </row>
    <row r="34" spans="8:11">
      <c r="H34" s="468" t="s">
        <v>311</v>
      </c>
      <c r="I34" s="12" t="s">
        <v>43</v>
      </c>
      <c r="J34" s="35">
        <v>2.9765000000000001</v>
      </c>
      <c r="K34" s="36">
        <v>2.9765000000000001</v>
      </c>
    </row>
    <row r="35" spans="8:11" ht="15" thickBot="1">
      <c r="H35" s="469"/>
      <c r="I35" s="37" t="s">
        <v>312</v>
      </c>
      <c r="J35" s="38">
        <v>4.7000000000000002E-3</v>
      </c>
      <c r="K35" s="39">
        <v>4.7000000000000002E-3</v>
      </c>
    </row>
  </sheetData>
  <mergeCells count="12">
    <mergeCell ref="A16:A17"/>
    <mergeCell ref="C2:F2"/>
    <mergeCell ref="C4:F4"/>
    <mergeCell ref="A1:F1"/>
    <mergeCell ref="J20:K20"/>
    <mergeCell ref="J22:K22"/>
    <mergeCell ref="H34:H35"/>
    <mergeCell ref="H1:M1"/>
    <mergeCell ref="J2:M2"/>
    <mergeCell ref="J4:M4"/>
    <mergeCell ref="H16:H17"/>
    <mergeCell ref="H19:K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19"/>
  <sheetViews>
    <sheetView zoomScaleNormal="100" workbookViewId="0">
      <selection activeCell="A2" sqref="A2"/>
    </sheetView>
  </sheetViews>
  <sheetFormatPr baseColWidth="10" defaultColWidth="11.44140625" defaultRowHeight="14.4"/>
  <cols>
    <col min="1" max="1" width="32.88671875" customWidth="1"/>
    <col min="2" max="3" width="11.44140625" style="3"/>
    <col min="4" max="4" width="13.5546875" style="3" bestFit="1" customWidth="1"/>
    <col min="5" max="5" width="13.5546875" style="3" customWidth="1"/>
    <col min="8" max="8" width="21.33203125" bestFit="1" customWidth="1"/>
  </cols>
  <sheetData>
    <row r="1" spans="1:8" ht="30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t="s">
        <v>8</v>
      </c>
      <c r="B2" s="3" t="s">
        <v>9</v>
      </c>
      <c r="C2" s="3">
        <v>230</v>
      </c>
      <c r="D2" s="3">
        <v>31</v>
      </c>
      <c r="E2" s="3">
        <v>8.9</v>
      </c>
      <c r="F2">
        <v>10</v>
      </c>
      <c r="G2" t="s">
        <v>10</v>
      </c>
      <c r="H2" s="3">
        <v>10</v>
      </c>
    </row>
    <row r="3" spans="1:8">
      <c r="A3" t="s">
        <v>8</v>
      </c>
      <c r="B3" s="3" t="s">
        <v>11</v>
      </c>
      <c r="C3" s="3">
        <v>230</v>
      </c>
      <c r="D3" s="3">
        <v>31</v>
      </c>
      <c r="E3" s="3">
        <v>8.9</v>
      </c>
      <c r="F3">
        <v>10</v>
      </c>
      <c r="G3" t="s">
        <v>10</v>
      </c>
      <c r="H3" s="3">
        <v>10</v>
      </c>
    </row>
    <row r="4" spans="1:8">
      <c r="A4" t="s">
        <v>8</v>
      </c>
      <c r="B4" s="3" t="s">
        <v>12</v>
      </c>
      <c r="C4" s="3">
        <v>230</v>
      </c>
      <c r="D4" s="3">
        <v>31</v>
      </c>
      <c r="E4" s="3">
        <v>8.9</v>
      </c>
      <c r="F4">
        <v>10</v>
      </c>
      <c r="G4" t="s">
        <v>10</v>
      </c>
      <c r="H4" s="3">
        <v>10</v>
      </c>
    </row>
    <row r="5" spans="1:8">
      <c r="A5" s="6" t="s">
        <v>13</v>
      </c>
      <c r="B5" s="7"/>
      <c r="C5" s="7"/>
      <c r="D5" s="7"/>
      <c r="E5" s="7"/>
      <c r="F5" s="6"/>
      <c r="G5" s="6"/>
      <c r="H5" s="6"/>
    </row>
    <row r="6" spans="1:8">
      <c r="A6" t="s">
        <v>14</v>
      </c>
      <c r="B6" s="310" t="s">
        <v>15</v>
      </c>
      <c r="C6" s="310"/>
      <c r="D6" s="310"/>
      <c r="E6" s="310"/>
      <c r="F6" s="310"/>
      <c r="G6" s="310"/>
      <c r="H6" s="310"/>
    </row>
    <row r="7" spans="1:8">
      <c r="A7" t="s">
        <v>16</v>
      </c>
      <c r="B7" s="310" t="s">
        <v>17</v>
      </c>
      <c r="C7" s="310"/>
      <c r="D7" s="310"/>
      <c r="E7" s="310"/>
      <c r="F7" s="310"/>
      <c r="G7" s="310"/>
      <c r="H7" s="310"/>
    </row>
    <row r="8" spans="1:8" ht="30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18</v>
      </c>
      <c r="H8" s="5" t="s">
        <v>19</v>
      </c>
    </row>
    <row r="9" spans="1:8">
      <c r="A9" t="s">
        <v>20</v>
      </c>
      <c r="B9" s="3" t="s">
        <v>9</v>
      </c>
      <c r="C9" s="3">
        <v>230</v>
      </c>
      <c r="D9" s="3">
        <v>35</v>
      </c>
      <c r="E9" s="3">
        <v>10.063000000000001</v>
      </c>
      <c r="F9">
        <v>20</v>
      </c>
      <c r="G9" t="s">
        <v>10</v>
      </c>
      <c r="H9" s="3">
        <v>16</v>
      </c>
    </row>
    <row r="10" spans="1:8">
      <c r="A10" t="s">
        <v>20</v>
      </c>
      <c r="B10" s="3" t="s">
        <v>11</v>
      </c>
      <c r="C10" s="3">
        <v>230</v>
      </c>
      <c r="D10" s="3">
        <v>35</v>
      </c>
      <c r="E10" s="3">
        <v>10.063000000000001</v>
      </c>
      <c r="F10">
        <v>20</v>
      </c>
      <c r="G10" t="s">
        <v>10</v>
      </c>
      <c r="H10" s="3">
        <v>16</v>
      </c>
    </row>
    <row r="11" spans="1:8">
      <c r="A11" t="s">
        <v>20</v>
      </c>
      <c r="B11" s="3" t="s">
        <v>12</v>
      </c>
      <c r="C11" s="3">
        <v>230</v>
      </c>
      <c r="D11" s="3">
        <v>35</v>
      </c>
      <c r="E11" s="3">
        <v>10.063000000000001</v>
      </c>
      <c r="F11">
        <v>20</v>
      </c>
      <c r="G11" t="s">
        <v>10</v>
      </c>
      <c r="H11" s="3">
        <v>16</v>
      </c>
    </row>
    <row r="12" spans="1:8">
      <c r="A12" s="6" t="s">
        <v>13</v>
      </c>
      <c r="B12" s="7"/>
      <c r="C12" s="7"/>
      <c r="D12" s="7"/>
      <c r="E12" s="7"/>
      <c r="F12" s="6"/>
      <c r="G12" s="6"/>
      <c r="H12" s="6"/>
    </row>
    <row r="13" spans="1:8">
      <c r="A13" t="s">
        <v>14</v>
      </c>
      <c r="B13" s="310" t="s">
        <v>15</v>
      </c>
      <c r="C13" s="310"/>
      <c r="D13" s="310"/>
      <c r="E13" s="310"/>
      <c r="F13" s="310"/>
      <c r="G13" s="310"/>
      <c r="H13" s="310"/>
    </row>
    <row r="14" spans="1:8">
      <c r="A14" t="s">
        <v>16</v>
      </c>
      <c r="B14" s="310" t="s">
        <v>17</v>
      </c>
      <c r="C14" s="310"/>
      <c r="D14" s="310"/>
      <c r="E14" s="310"/>
      <c r="F14" s="310"/>
      <c r="G14" s="310"/>
      <c r="H14" s="310"/>
    </row>
    <row r="15" spans="1:8" ht="30" customHeight="1">
      <c r="A15" s="4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18</v>
      </c>
      <c r="H15" s="5" t="s">
        <v>19</v>
      </c>
    </row>
    <row r="16" spans="1:8">
      <c r="A16" t="s">
        <v>21</v>
      </c>
      <c r="B16" s="3" t="s">
        <v>22</v>
      </c>
      <c r="C16" s="3">
        <v>400</v>
      </c>
      <c r="D16" s="3">
        <v>29</v>
      </c>
      <c r="E16" s="3">
        <v>25.03</v>
      </c>
      <c r="F16">
        <v>22</v>
      </c>
      <c r="G16" t="s">
        <v>10</v>
      </c>
      <c r="H16" s="3">
        <v>10</v>
      </c>
    </row>
    <row r="17" spans="1:8">
      <c r="A17" s="6" t="s">
        <v>13</v>
      </c>
      <c r="B17" s="7"/>
      <c r="C17" s="7"/>
      <c r="D17" s="7"/>
      <c r="E17" s="7"/>
      <c r="F17" s="6"/>
      <c r="G17" s="6"/>
      <c r="H17" s="6"/>
    </row>
    <row r="18" spans="1:8">
      <c r="A18" t="s">
        <v>14</v>
      </c>
      <c r="B18" s="310" t="s">
        <v>23</v>
      </c>
      <c r="C18" s="310"/>
      <c r="D18" s="310"/>
      <c r="E18" s="310"/>
      <c r="F18" s="310"/>
      <c r="G18" s="310"/>
      <c r="H18" s="310"/>
    </row>
    <row r="19" spans="1:8">
      <c r="A19" t="s">
        <v>16</v>
      </c>
      <c r="B19" s="310" t="s">
        <v>24</v>
      </c>
      <c r="C19" s="310"/>
      <c r="D19" s="310"/>
      <c r="E19" s="310"/>
      <c r="F19" s="310"/>
      <c r="G19" s="310"/>
      <c r="H19" s="310"/>
    </row>
  </sheetData>
  <mergeCells count="6">
    <mergeCell ref="B19:H19"/>
    <mergeCell ref="B13:H13"/>
    <mergeCell ref="B14:H14"/>
    <mergeCell ref="B6:H6"/>
    <mergeCell ref="B7:H7"/>
    <mergeCell ref="B18:H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Z68"/>
  <sheetViews>
    <sheetView showGridLines="0" zoomScaleNormal="100" workbookViewId="0">
      <selection activeCell="C6" sqref="C6:D6"/>
    </sheetView>
  </sheetViews>
  <sheetFormatPr baseColWidth="10" defaultColWidth="11.44140625" defaultRowHeight="14.4"/>
  <cols>
    <col min="1" max="1" width="7.6640625" customWidth="1"/>
    <col min="2" max="2" width="21.5546875" customWidth="1"/>
    <col min="3" max="3" width="11.88671875" bestFit="1" customWidth="1"/>
    <col min="4" max="4" width="14.33203125" customWidth="1"/>
    <col min="5" max="5" width="10.5546875" customWidth="1"/>
    <col min="6" max="6" width="20.88671875" bestFit="1" customWidth="1"/>
    <col min="7" max="7" width="8.88671875" customWidth="1"/>
    <col min="8" max="8" width="14.6640625" customWidth="1"/>
    <col min="9" max="9" width="9.88671875" bestFit="1" customWidth="1"/>
    <col min="10" max="10" width="13.109375" customWidth="1"/>
    <col min="11" max="11" width="14.33203125" customWidth="1"/>
    <col min="12" max="12" width="9.33203125" bestFit="1" customWidth="1"/>
    <col min="13" max="13" width="11.88671875" bestFit="1" customWidth="1"/>
    <col min="14" max="14" width="14.33203125" customWidth="1"/>
    <col min="15" max="15" width="16.5546875" customWidth="1"/>
    <col min="16" max="16" width="8.88671875" customWidth="1"/>
    <col min="17" max="17" width="17" bestFit="1" customWidth="1"/>
    <col min="18" max="18" width="8.33203125" customWidth="1"/>
    <col min="19" max="19" width="14.44140625" bestFit="1" customWidth="1"/>
    <col min="20" max="20" width="17.44140625" bestFit="1" customWidth="1"/>
    <col min="21" max="21" width="4.88671875" bestFit="1" customWidth="1"/>
    <col min="22" max="22" width="7.33203125" customWidth="1"/>
    <col min="23" max="24" width="7.33203125" bestFit="1" customWidth="1"/>
    <col min="25" max="25" width="8.109375" customWidth="1"/>
    <col min="26" max="26" width="6.33203125" bestFit="1" customWidth="1"/>
  </cols>
  <sheetData>
    <row r="1" spans="1:26">
      <c r="B1" s="345" t="s">
        <v>25</v>
      </c>
      <c r="C1" s="346"/>
      <c r="D1" s="349" t="s">
        <v>328</v>
      </c>
      <c r="E1" s="350"/>
      <c r="F1" s="351"/>
    </row>
    <row r="2" spans="1:26" ht="15" thickBot="1">
      <c r="B2" s="347"/>
      <c r="C2" s="348"/>
      <c r="D2" s="352"/>
      <c r="E2" s="352"/>
      <c r="F2" s="353"/>
    </row>
    <row r="3" spans="1:26" ht="15" thickBot="1"/>
    <row r="4" spans="1:26" ht="15" thickBot="1">
      <c r="B4" s="338" t="s">
        <v>26</v>
      </c>
      <c r="C4" s="339"/>
      <c r="D4" s="340"/>
      <c r="E4" s="112"/>
      <c r="F4" s="338" t="s">
        <v>27</v>
      </c>
      <c r="G4" s="339"/>
      <c r="H4" s="340"/>
      <c r="I4" s="112"/>
      <c r="J4" s="354" t="s">
        <v>28</v>
      </c>
      <c r="K4" s="355"/>
      <c r="L4" s="356"/>
      <c r="M4" s="94"/>
      <c r="O4" s="94"/>
    </row>
    <row r="5" spans="1:26" ht="15" thickBot="1">
      <c r="B5" s="125" t="s">
        <v>29</v>
      </c>
      <c r="C5" s="313" t="s">
        <v>30</v>
      </c>
      <c r="D5" s="337"/>
      <c r="E5" s="112"/>
      <c r="F5" s="129" t="s">
        <v>29</v>
      </c>
      <c r="G5" s="341" t="s">
        <v>31</v>
      </c>
      <c r="H5" s="342"/>
      <c r="I5" s="112"/>
      <c r="J5" s="362" t="s">
        <v>32</v>
      </c>
      <c r="K5" s="363"/>
      <c r="L5" s="205">
        <v>14</v>
      </c>
      <c r="M5" s="94"/>
      <c r="O5" s="186"/>
      <c r="P5" s="186"/>
    </row>
    <row r="6" spans="1:26" ht="15" thickBot="1">
      <c r="B6" s="213" t="s">
        <v>33</v>
      </c>
      <c r="C6" s="360" t="s">
        <v>34</v>
      </c>
      <c r="D6" s="361"/>
      <c r="E6" s="112"/>
      <c r="F6" s="124" t="s">
        <v>33</v>
      </c>
      <c r="G6" s="343" t="s">
        <v>287</v>
      </c>
      <c r="H6" s="344"/>
      <c r="I6" s="112"/>
      <c r="J6" s="364" t="s">
        <v>36</v>
      </c>
      <c r="K6" s="365"/>
      <c r="L6" s="205">
        <f>G11*G7+IF(G16=0,0,G16*G18)</f>
        <v>6</v>
      </c>
      <c r="M6" s="94"/>
      <c r="N6" s="186"/>
      <c r="O6" s="186"/>
      <c r="P6" s="186"/>
    </row>
    <row r="7" spans="1:26" ht="15" thickBot="1">
      <c r="B7" s="124" t="s">
        <v>37</v>
      </c>
      <c r="C7" s="225">
        <f>VLOOKUP(C6,MODULOS,2,FALSE)</f>
        <v>500</v>
      </c>
      <c r="D7" s="204" t="s">
        <v>38</v>
      </c>
      <c r="F7" s="130" t="s">
        <v>39</v>
      </c>
      <c r="G7" s="211">
        <f>VLOOKUP($G$6,INVERSORES,2,FALSE)</f>
        <v>6</v>
      </c>
      <c r="H7" s="131" t="s">
        <v>40</v>
      </c>
      <c r="J7" s="368" t="s">
        <v>41</v>
      </c>
      <c r="K7" s="369"/>
      <c r="L7" s="206">
        <f>L5*C7/1000</f>
        <v>7</v>
      </c>
      <c r="M7" s="91"/>
      <c r="N7" s="150"/>
      <c r="O7" s="332"/>
      <c r="P7" s="332"/>
    </row>
    <row r="8" spans="1:26" ht="15" thickBot="1">
      <c r="B8" s="125" t="s">
        <v>42</v>
      </c>
      <c r="C8" s="212">
        <f>VLOOKUP(C6,MODULOS,3,FALSE)</f>
        <v>38.35</v>
      </c>
      <c r="D8" s="126" t="s">
        <v>43</v>
      </c>
      <c r="F8" s="124" t="s">
        <v>44</v>
      </c>
      <c r="G8" s="210">
        <f>VLOOKUP($G$6,INVERSORES,3,FALSE)</f>
        <v>230</v>
      </c>
      <c r="H8" s="128" t="s">
        <v>43</v>
      </c>
      <c r="I8" s="112"/>
      <c r="J8" s="150"/>
      <c r="K8" s="172"/>
      <c r="L8" s="173"/>
      <c r="M8" s="94"/>
      <c r="N8" s="150"/>
      <c r="O8" s="172"/>
      <c r="P8" s="173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5" customHeight="1" thickBot="1">
      <c r="B9" s="124" t="s">
        <v>45</v>
      </c>
      <c r="C9" s="220">
        <f>VLOOKUP(C6,MODULOS,4,FALSE)</f>
        <v>45.59</v>
      </c>
      <c r="D9" s="204" t="s">
        <v>46</v>
      </c>
      <c r="F9" s="130" t="s">
        <v>47</v>
      </c>
      <c r="G9" s="263">
        <f>VLOOKUP($G$6,INVERSORES,5,FALSE)</f>
        <v>100</v>
      </c>
      <c r="H9" s="264">
        <f>VLOOKUP($G$6,INVERSORES,6,FALSE)</f>
        <v>600</v>
      </c>
      <c r="I9" s="105"/>
      <c r="J9" s="357" t="s">
        <v>48</v>
      </c>
      <c r="K9" s="358"/>
      <c r="L9" s="359"/>
      <c r="M9" s="171"/>
      <c r="N9" s="354" t="s">
        <v>49</v>
      </c>
      <c r="O9" s="372"/>
      <c r="P9" s="91"/>
      <c r="Q9" s="106"/>
      <c r="R9" s="107"/>
      <c r="S9" s="105"/>
      <c r="T9" s="105"/>
      <c r="U9" s="105"/>
      <c r="V9" s="105"/>
      <c r="W9" s="105"/>
      <c r="X9" s="105"/>
      <c r="Y9" s="105"/>
      <c r="Z9" s="105"/>
    </row>
    <row r="10" spans="1:26" ht="15.75" customHeight="1" thickBot="1">
      <c r="A10" s="120"/>
      <c r="B10" s="125" t="s">
        <v>50</v>
      </c>
      <c r="C10" s="212">
        <f>VLOOKUP(C6,MODULOS,6,FALSE)</f>
        <v>13.04</v>
      </c>
      <c r="D10" s="126" t="s">
        <v>43</v>
      </c>
      <c r="F10" s="123" t="s">
        <v>51</v>
      </c>
      <c r="G10" s="210">
        <f>VLOOKUP($G$6,INVERSORES,4,FALSE)</f>
        <v>27.3</v>
      </c>
      <c r="H10" s="127" t="s">
        <v>46</v>
      </c>
      <c r="I10" s="310"/>
      <c r="J10" s="333" t="s">
        <v>52</v>
      </c>
      <c r="K10" s="334"/>
      <c r="L10" s="226">
        <f>TRUNC(H9/C9)</f>
        <v>13</v>
      </c>
      <c r="M10" s="83"/>
      <c r="N10" s="124" t="s">
        <v>53</v>
      </c>
      <c r="O10" s="95">
        <v>-25</v>
      </c>
      <c r="P10" s="173"/>
      <c r="Q10" s="100"/>
      <c r="R10" s="108"/>
      <c r="S10" s="101"/>
      <c r="T10" s="101"/>
      <c r="U10" s="101"/>
      <c r="V10" s="101"/>
      <c r="W10" s="103"/>
      <c r="X10" s="104"/>
      <c r="Y10" s="101"/>
      <c r="Z10" s="102"/>
    </row>
    <row r="11" spans="1:26" ht="15.75" customHeight="1" thickBot="1">
      <c r="A11" s="120"/>
      <c r="B11" s="124" t="s">
        <v>54</v>
      </c>
      <c r="C11" s="220">
        <f>VLOOKUP(C6,MODULOS,7,FALSE)</f>
        <v>13.93</v>
      </c>
      <c r="D11" s="204" t="s">
        <v>46</v>
      </c>
      <c r="F11" s="221" t="s">
        <v>55</v>
      </c>
      <c r="G11" s="313">
        <v>1</v>
      </c>
      <c r="H11" s="337"/>
      <c r="I11" s="310"/>
      <c r="J11" s="335" t="s">
        <v>56</v>
      </c>
      <c r="K11" s="336"/>
      <c r="L11" s="228">
        <f>ROUNDUP(G9/C8,0)</f>
        <v>3</v>
      </c>
      <c r="M11" s="101"/>
      <c r="N11" s="221" t="s">
        <v>57</v>
      </c>
      <c r="O11" s="268">
        <f>L13*(1+C12*O10/100)</f>
        <v>730.86468750000006</v>
      </c>
      <c r="P11" s="169"/>
      <c r="Q11" s="100"/>
      <c r="R11" s="108"/>
      <c r="S11" s="101"/>
      <c r="T11" s="101"/>
      <c r="U11" s="101"/>
      <c r="V11" s="101"/>
      <c r="W11" s="103"/>
      <c r="X11" s="104"/>
      <c r="Y11" s="101"/>
      <c r="Z11" s="102"/>
    </row>
    <row r="12" spans="1:26" ht="15.75" customHeight="1" thickBot="1">
      <c r="A12" s="120"/>
      <c r="B12" s="125" t="s">
        <v>58</v>
      </c>
      <c r="C12" s="212">
        <f>VLOOKUP(C6,MODULOS,5,FALSE)</f>
        <v>-0.27500000000000002</v>
      </c>
      <c r="D12" s="126" t="s">
        <v>43</v>
      </c>
      <c r="I12" s="310"/>
      <c r="J12" s="366" t="s">
        <v>59</v>
      </c>
      <c r="K12" s="367"/>
      <c r="L12" s="205">
        <v>15</v>
      </c>
      <c r="M12" s="101"/>
      <c r="N12" s="168"/>
      <c r="O12" s="98"/>
      <c r="P12" s="169"/>
      <c r="Q12" s="100"/>
      <c r="R12" s="108"/>
      <c r="S12" s="101"/>
      <c r="T12" s="101"/>
      <c r="U12" s="101"/>
      <c r="V12" s="101"/>
      <c r="W12" s="103"/>
      <c r="X12" s="104"/>
      <c r="Y12" s="101"/>
      <c r="Z12" s="102"/>
    </row>
    <row r="13" spans="1:26" ht="15.75" customHeight="1" thickBot="1">
      <c r="A13" s="120"/>
      <c r="B13" s="120"/>
      <c r="C13" s="170"/>
      <c r="F13" s="338" t="s">
        <v>60</v>
      </c>
      <c r="G13" s="339"/>
      <c r="H13" s="340"/>
      <c r="I13" s="310"/>
      <c r="J13" s="331" t="s">
        <v>61</v>
      </c>
      <c r="K13" s="332"/>
      <c r="L13" s="205">
        <f>L12*C9</f>
        <v>683.85</v>
      </c>
      <c r="N13" s="168"/>
      <c r="O13" s="98"/>
      <c r="P13" s="169"/>
      <c r="Q13" s="100"/>
      <c r="R13" s="108"/>
      <c r="S13" s="101"/>
      <c r="T13" s="101"/>
      <c r="U13" s="101"/>
      <c r="V13" s="101"/>
      <c r="W13" s="103"/>
      <c r="X13" s="104"/>
      <c r="Y13" s="101"/>
      <c r="Z13" s="102"/>
    </row>
    <row r="14" spans="1:26" ht="15.75" customHeight="1" thickBot="1">
      <c r="A14" s="120"/>
      <c r="B14" s="120"/>
      <c r="C14" s="170"/>
      <c r="F14" s="129" t="s">
        <v>29</v>
      </c>
      <c r="G14" s="341" t="s">
        <v>31</v>
      </c>
      <c r="H14" s="342"/>
      <c r="I14" s="310"/>
      <c r="J14" s="329" t="s">
        <v>62</v>
      </c>
      <c r="K14" s="330"/>
      <c r="L14" s="227">
        <f>$C$7*L12</f>
        <v>7500</v>
      </c>
      <c r="M14" s="168"/>
      <c r="O14" s="98"/>
      <c r="P14" s="169"/>
      <c r="Q14" s="100"/>
      <c r="R14" s="108"/>
      <c r="S14" s="101"/>
      <c r="T14" s="101"/>
      <c r="U14" s="101"/>
      <c r="V14" s="101"/>
      <c r="W14" s="103"/>
      <c r="X14" s="104"/>
      <c r="Y14" s="101"/>
      <c r="Z14" s="102"/>
    </row>
    <row r="15" spans="1:26" ht="15.75" customHeight="1" thickBot="1">
      <c r="A15" s="120"/>
      <c r="B15" s="120"/>
      <c r="C15" s="170"/>
      <c r="F15" s="124" t="s">
        <v>33</v>
      </c>
      <c r="G15" s="343" t="s">
        <v>277</v>
      </c>
      <c r="H15" s="344"/>
      <c r="I15" s="310"/>
      <c r="J15" s="333" t="s">
        <v>63</v>
      </c>
      <c r="K15" s="334"/>
      <c r="L15" s="205">
        <v>17</v>
      </c>
      <c r="M15" s="101"/>
      <c r="R15" s="108"/>
      <c r="S15" s="101"/>
      <c r="T15" s="101"/>
      <c r="U15" s="101"/>
      <c r="V15" s="101"/>
      <c r="W15" s="103"/>
      <c r="X15" s="104"/>
      <c r="Y15" s="101"/>
      <c r="Z15" s="102"/>
    </row>
    <row r="16" spans="1:26" ht="15.75" customHeight="1" thickBot="1">
      <c r="A16" s="120"/>
      <c r="B16" s="120"/>
      <c r="C16" s="170"/>
      <c r="F16" s="166" t="s">
        <v>55</v>
      </c>
      <c r="G16" s="211">
        <v>0</v>
      </c>
      <c r="H16" s="131" t="s">
        <v>40</v>
      </c>
      <c r="I16" s="310"/>
      <c r="J16" s="331" t="s">
        <v>64</v>
      </c>
      <c r="K16" s="332"/>
      <c r="L16" s="205">
        <f>L15*C9</f>
        <v>775.03000000000009</v>
      </c>
      <c r="M16" s="101"/>
      <c r="N16" s="168"/>
      <c r="O16" s="98"/>
      <c r="P16" s="169"/>
      <c r="Q16" s="100"/>
      <c r="R16" s="108"/>
      <c r="S16" s="101"/>
      <c r="T16" s="101"/>
      <c r="U16" s="101"/>
      <c r="V16" s="101"/>
      <c r="W16" s="103"/>
      <c r="X16" s="104"/>
      <c r="Y16" s="101"/>
      <c r="Z16" s="102"/>
    </row>
    <row r="17" spans="1:26" ht="15.75" customHeight="1" thickBot="1">
      <c r="A17" s="120"/>
      <c r="B17" s="120"/>
      <c r="C17" s="122"/>
      <c r="F17" s="124" t="s">
        <v>44</v>
      </c>
      <c r="G17" s="210">
        <f>VLOOKUP($G$6,INVERSORES,3,FALSE)</f>
        <v>230</v>
      </c>
      <c r="H17" s="128" t="s">
        <v>43</v>
      </c>
      <c r="I17" s="310"/>
      <c r="J17" s="329" t="s">
        <v>65</v>
      </c>
      <c r="K17" s="330"/>
      <c r="L17" s="227">
        <f>$C$7*L15</f>
        <v>8500</v>
      </c>
      <c r="M17" s="101"/>
      <c r="N17" s="168"/>
      <c r="O17" s="98"/>
      <c r="P17" s="169"/>
      <c r="Q17" s="100"/>
      <c r="R17" s="108"/>
      <c r="S17" s="101"/>
      <c r="T17" s="101"/>
      <c r="U17" s="101"/>
      <c r="V17" s="101"/>
      <c r="W17" s="103"/>
      <c r="X17" s="104"/>
      <c r="Y17" s="101"/>
      <c r="Z17" s="102"/>
    </row>
    <row r="18" spans="1:26" ht="15.75" customHeight="1" thickBot="1">
      <c r="A18" s="120"/>
      <c r="B18" s="121"/>
      <c r="C18" s="122"/>
      <c r="F18" s="130" t="s">
        <v>39</v>
      </c>
      <c r="G18" s="263">
        <v>200</v>
      </c>
      <c r="H18" s="264">
        <v>1100</v>
      </c>
      <c r="I18" s="310"/>
      <c r="M18" s="101"/>
      <c r="N18" s="168"/>
      <c r="O18" s="98"/>
      <c r="P18" s="169"/>
      <c r="Q18" s="100"/>
      <c r="R18" s="108"/>
      <c r="S18" s="101"/>
      <c r="T18" s="101"/>
      <c r="U18" s="101"/>
      <c r="V18" s="101"/>
      <c r="W18" s="103"/>
      <c r="X18" s="104"/>
      <c r="Y18" s="101"/>
      <c r="Z18" s="102"/>
    </row>
    <row r="19" spans="1:26" ht="15.75" customHeight="1" thickBot="1">
      <c r="A19" s="120"/>
      <c r="B19" s="121"/>
      <c r="C19" s="122"/>
      <c r="F19" s="123" t="s">
        <v>51</v>
      </c>
      <c r="G19" s="210">
        <f>VLOOKUP($G$6,INVERSORES,4,FALSE)</f>
        <v>27.3</v>
      </c>
      <c r="H19" s="127" t="s">
        <v>46</v>
      </c>
      <c r="I19" s="310"/>
      <c r="M19" s="101"/>
      <c r="N19" s="168"/>
      <c r="O19" s="98"/>
      <c r="P19" s="169"/>
      <c r="Q19" s="100"/>
      <c r="R19" s="108"/>
      <c r="S19" s="101"/>
      <c r="T19" s="101"/>
      <c r="U19" s="101"/>
      <c r="V19" s="101"/>
      <c r="W19" s="103"/>
      <c r="X19" s="104"/>
      <c r="Y19" s="101"/>
      <c r="Z19" s="102"/>
    </row>
    <row r="20" spans="1:26" ht="15" thickBot="1">
      <c r="A20" s="121"/>
      <c r="B20" s="121"/>
      <c r="C20" s="122"/>
      <c r="G20" s="98"/>
      <c r="H20" s="35"/>
      <c r="I20" s="310"/>
      <c r="J20" s="99"/>
      <c r="K20" s="100"/>
      <c r="L20" s="101"/>
      <c r="M20" s="101"/>
      <c r="N20" s="102"/>
      <c r="O20" s="101"/>
      <c r="P20" s="101"/>
      <c r="Q20" s="100"/>
      <c r="R20" s="108"/>
      <c r="S20" s="101"/>
      <c r="T20" s="101"/>
      <c r="U20" s="101"/>
      <c r="V20" s="101"/>
      <c r="W20" s="103"/>
      <c r="X20" s="104"/>
      <c r="Y20" s="101"/>
      <c r="Z20" s="102"/>
    </row>
    <row r="21" spans="1:26" ht="15" thickBot="1">
      <c r="A21" s="121"/>
      <c r="B21" s="326" t="s">
        <v>66</v>
      </c>
      <c r="C21" s="327"/>
      <c r="D21" s="327"/>
      <c r="E21" s="327"/>
      <c r="F21" s="327"/>
      <c r="G21" s="328"/>
      <c r="H21" s="35"/>
      <c r="I21" s="326" t="s">
        <v>67</v>
      </c>
      <c r="J21" s="327"/>
      <c r="K21" s="327"/>
      <c r="L21" s="327"/>
      <c r="M21" s="328"/>
      <c r="N21" s="102"/>
      <c r="O21" s="314" t="s">
        <v>68</v>
      </c>
      <c r="P21" s="315"/>
      <c r="Q21" s="315"/>
      <c r="R21" s="315"/>
      <c r="S21" s="315"/>
      <c r="T21" s="316"/>
      <c r="U21" s="140"/>
      <c r="V21" s="140"/>
      <c r="W21" s="140"/>
      <c r="X21" s="104"/>
      <c r="Y21" s="101"/>
      <c r="Z21" s="102"/>
    </row>
    <row r="22" spans="1:26" ht="15" thickBot="1">
      <c r="A22" s="121"/>
      <c r="B22" s="90" t="s">
        <v>69</v>
      </c>
      <c r="C22" s="90" t="s">
        <v>70</v>
      </c>
      <c r="D22" s="90" t="s">
        <v>71</v>
      </c>
      <c r="E22" s="132" t="s">
        <v>72</v>
      </c>
      <c r="F22" s="90" t="s">
        <v>73</v>
      </c>
      <c r="G22" s="133" t="s">
        <v>74</v>
      </c>
      <c r="H22" s="35"/>
      <c r="I22" s="321" t="s">
        <v>75</v>
      </c>
      <c r="J22" s="322"/>
      <c r="K22" s="138" t="s">
        <v>76</v>
      </c>
      <c r="L22" s="134" t="s">
        <v>77</v>
      </c>
      <c r="M22" s="137" t="s">
        <v>78</v>
      </c>
      <c r="N22" s="2"/>
      <c r="O22" s="321" t="s">
        <v>75</v>
      </c>
      <c r="P22" s="322"/>
      <c r="Q22" s="138" t="s">
        <v>76</v>
      </c>
      <c r="R22" s="134" t="s">
        <v>77</v>
      </c>
      <c r="S22" s="138" t="s">
        <v>79</v>
      </c>
      <c r="T22" s="137" t="s">
        <v>80</v>
      </c>
      <c r="U22" s="140"/>
      <c r="V22" s="140"/>
      <c r="W22" s="140"/>
      <c r="X22" s="104"/>
      <c r="Y22" s="101"/>
      <c r="Z22" s="102"/>
    </row>
    <row r="23" spans="1:26" ht="15" thickBot="1">
      <c r="A23" s="121"/>
      <c r="B23" s="214" t="s">
        <v>81</v>
      </c>
      <c r="C23" s="215" t="s">
        <v>82</v>
      </c>
      <c r="D23" s="215">
        <f>IF(C23="Cobre",0.018,IF(C23="Aluminio",0.029,"ERROR"))</f>
        <v>1.7999999999999999E-2</v>
      </c>
      <c r="E23" s="215">
        <f>IF(C23="Cobre",0.00392,IF(C23="Aluminio",0.00403,"ERROR"))</f>
        <v>3.9199999999999999E-3</v>
      </c>
      <c r="F23" s="216" t="s">
        <v>83</v>
      </c>
      <c r="G23" s="215">
        <f>IF(F23="Rejiband",40,IF(F23="Tubo",25,"ERROR"))</f>
        <v>25</v>
      </c>
      <c r="H23" s="35"/>
      <c r="I23" s="317" t="s">
        <v>84</v>
      </c>
      <c r="J23" s="318"/>
      <c r="K23" s="96" t="s">
        <v>85</v>
      </c>
      <c r="L23" s="96">
        <v>4</v>
      </c>
      <c r="M23" s="95">
        <f>IF($F$23="Rejiband",44,IF($F$23="Tubo",42,"Error"))</f>
        <v>42</v>
      </c>
      <c r="N23" s="2"/>
      <c r="O23" s="323" t="s">
        <v>86</v>
      </c>
      <c r="P23" s="324"/>
      <c r="Q23" s="265" t="s">
        <v>87</v>
      </c>
      <c r="R23" s="265">
        <v>4</v>
      </c>
      <c r="S23" s="265">
        <v>34</v>
      </c>
      <c r="T23" s="266" t="s">
        <v>88</v>
      </c>
      <c r="U23" s="140"/>
      <c r="V23" s="140"/>
      <c r="W23" s="140"/>
      <c r="X23" s="104"/>
      <c r="Y23" s="101"/>
      <c r="Z23" s="102"/>
    </row>
    <row r="24" spans="1:26" ht="15" thickBot="1">
      <c r="A24" s="121"/>
      <c r="B24" s="216" t="s">
        <v>89</v>
      </c>
      <c r="C24" s="216" t="s">
        <v>82</v>
      </c>
      <c r="D24" s="216">
        <f>IF(C24="Cobre",0.018,IF(C24="Aluminio",0.029,"ERROR"))</f>
        <v>1.7999999999999999E-2</v>
      </c>
      <c r="E24" s="216">
        <f>IF(C24="Cobre",0.00392,IF(C24="Aluminio",0.00403,"ERROR"))</f>
        <v>3.9199999999999999E-3</v>
      </c>
      <c r="F24" s="216" t="s">
        <v>83</v>
      </c>
      <c r="G24" s="216">
        <f>IF(F24="Rejiband",40,IF(F24="Tubo",25,"ERROR"))</f>
        <v>25</v>
      </c>
      <c r="H24" s="35"/>
      <c r="I24" s="312" t="s">
        <v>90</v>
      </c>
      <c r="J24" s="313"/>
      <c r="K24" s="135" t="s">
        <v>91</v>
      </c>
      <c r="L24" s="135">
        <v>6</v>
      </c>
      <c r="M24" s="136">
        <f>IF($F$23="Rejiband",57,IF($F$23="Tubo",42,"Error"))</f>
        <v>42</v>
      </c>
      <c r="N24" s="2"/>
      <c r="O24" s="312" t="s">
        <v>92</v>
      </c>
      <c r="P24" s="313"/>
      <c r="Q24" s="135" t="s">
        <v>93</v>
      </c>
      <c r="R24" s="135">
        <v>6</v>
      </c>
      <c r="S24" s="135">
        <v>44</v>
      </c>
      <c r="T24" s="136" t="s">
        <v>88</v>
      </c>
      <c r="U24" s="140"/>
      <c r="V24" s="140"/>
      <c r="W24" s="140"/>
      <c r="X24" s="104"/>
      <c r="Y24" s="101"/>
      <c r="Z24" s="102"/>
    </row>
    <row r="25" spans="1:26" ht="15" thickBot="1">
      <c r="A25" s="121"/>
      <c r="B25" s="216" t="s">
        <v>89</v>
      </c>
      <c r="C25" s="216" t="s">
        <v>82</v>
      </c>
      <c r="D25" s="217">
        <f>IF(C25="Cobre",0.018,IF(C25="Aluminio",0.029,"ERROR"))</f>
        <v>1.7999999999999999E-2</v>
      </c>
      <c r="E25" s="217">
        <f>IF(C25="Cobre",0.00392,IF(C25="Aluminio",0.00403,"ERROR"))</f>
        <v>3.9199999999999999E-3</v>
      </c>
      <c r="F25" s="216" t="s">
        <v>94</v>
      </c>
      <c r="G25" s="217">
        <f>IF(F25="Rejiband",40,IF(F25="Tubo",25,"ERROR"))</f>
        <v>40</v>
      </c>
      <c r="H25" s="35"/>
      <c r="I25" s="329" t="s">
        <v>86</v>
      </c>
      <c r="J25" s="330"/>
      <c r="K25" s="97" t="s">
        <v>95</v>
      </c>
      <c r="L25" s="97">
        <v>10</v>
      </c>
      <c r="M25" s="95">
        <f>IF($F$23="Rejiband",78,IF($F$23="Tubo",42,"Error"))</f>
        <v>42</v>
      </c>
      <c r="N25" s="2"/>
      <c r="O25" s="370" t="s">
        <v>86</v>
      </c>
      <c r="P25" s="371"/>
      <c r="Q25" s="35" t="s">
        <v>96</v>
      </c>
      <c r="R25" s="35">
        <v>10</v>
      </c>
      <c r="S25" s="35">
        <f>IF($F$24="Rejiband",IF($C$24="Aluminio",52,IF($C$24="Cobre",68,"Error")),IF($F$24="Tubo",IF($C$24="Aluminio",47,IF($C$24="Cobre",61,"Error"))))</f>
        <v>61</v>
      </c>
      <c r="T25" s="36">
        <f>IF($F$25="Rejiband",IF($C$25="Aluminio",52,IF($C$25="Cobre",68,"Error")),IF($F$25="Tubo",IF($C$25="Aluminio",47,IF($C$25="Cobre",61,"Error"))))</f>
        <v>68</v>
      </c>
      <c r="U25" s="140"/>
      <c r="V25" s="140"/>
      <c r="W25" s="140"/>
      <c r="X25" s="104"/>
      <c r="Y25" s="101"/>
      <c r="Z25" s="102"/>
    </row>
    <row r="26" spans="1:26" ht="15" thickBot="1">
      <c r="H26" s="35"/>
      <c r="I26" s="2"/>
      <c r="J26" s="99"/>
      <c r="K26" s="100"/>
      <c r="L26" s="101"/>
      <c r="M26" s="101"/>
      <c r="N26" s="102"/>
      <c r="O26" s="312" t="s">
        <v>92</v>
      </c>
      <c r="P26" s="313"/>
      <c r="Q26" s="135" t="s">
        <v>97</v>
      </c>
      <c r="R26" s="135">
        <v>16</v>
      </c>
      <c r="S26" s="135">
        <f>IF($F$24="Rejiband",IF($C$24="Aluminio",70,IF($C$24="Cobre",91,"Error")),IF($F$24="Tubo",IF($C$24="Aluminio",61,IF($C$24="Cobre",79,"Error"))))</f>
        <v>79</v>
      </c>
      <c r="T26" s="136">
        <f>IF($F$24="Rejiband",IF($C$24="Aluminio",70,IF($C$24="Cobre",91,"Error")),IF($F$24="Tubo",IF($C$24="Aluminio",61,IF($C$24="Cobre",79,"Error"))))</f>
        <v>79</v>
      </c>
      <c r="U26" s="140"/>
      <c r="V26" s="140"/>
      <c r="W26" s="140"/>
      <c r="X26" s="104"/>
      <c r="Y26" s="101"/>
      <c r="Z26" s="102"/>
    </row>
    <row r="27" spans="1:26" ht="15" thickBot="1">
      <c r="H27" s="35"/>
      <c r="I27" s="311" t="s">
        <v>98</v>
      </c>
      <c r="J27" s="311"/>
      <c r="K27" s="311"/>
      <c r="L27" s="311"/>
      <c r="M27" s="311"/>
      <c r="N27" s="102"/>
      <c r="O27" s="317" t="s">
        <v>99</v>
      </c>
      <c r="P27" s="318"/>
      <c r="Q27" s="35" t="s">
        <v>100</v>
      </c>
      <c r="R27" s="35">
        <v>25</v>
      </c>
      <c r="S27" s="35">
        <f>IF($F$24="Rejiband",IF($C$24="Aluminio",88,IF($C$24="Cobre",115,"Error")),IF($F$24="Tubo",IF($C$24="Aluminio",78,IF($C$24="Cobre",101,"Error"))))</f>
        <v>101</v>
      </c>
      <c r="T27" s="36">
        <f>IF($F$24="Rejiband",IF($C$24="Aluminio",88,IF($C$24="Cobre",115,"Error")),IF($F$24="Tubo",IF($C$24="Aluminio",78,IF($C$24="Cobre",101,"Error"))))</f>
        <v>101</v>
      </c>
      <c r="U27" s="140"/>
      <c r="V27" s="140"/>
      <c r="W27" s="140"/>
      <c r="X27" s="104"/>
      <c r="Y27" s="101"/>
      <c r="Z27" s="102"/>
    </row>
    <row r="28" spans="1:26" ht="15" thickBot="1">
      <c r="H28" s="35"/>
      <c r="L28" s="101">
        <v>4</v>
      </c>
      <c r="M28" s="101">
        <v>55</v>
      </c>
      <c r="N28" s="102"/>
      <c r="O28" s="312" t="s">
        <v>101</v>
      </c>
      <c r="P28" s="313"/>
      <c r="Q28" s="135" t="s">
        <v>102</v>
      </c>
      <c r="R28" s="135">
        <v>35</v>
      </c>
      <c r="S28" s="135">
        <f>IF($F$24="Rejiband",IF($C$24="Aluminio",109,IF($C$24="Cobre",143,"Error")),IF($F$24="Tubo",IF($C$24="Aluminio",94,IF($C$24="Cobre",122,"Error"))))</f>
        <v>122</v>
      </c>
      <c r="T28" s="136">
        <f>IF($F$24="Rejiband",IF($C$24="Aluminio",109,IF($C$24="Cobre",143,"Error")),IF($F$24="Tubo",IF($C$24="Aluminio",94,IF($C$24="Cobre",122,"Error"))))</f>
        <v>122</v>
      </c>
      <c r="U28" s="140"/>
      <c r="V28" s="140"/>
      <c r="W28" s="140"/>
      <c r="X28" s="104"/>
      <c r="Y28" s="101"/>
      <c r="Z28" s="102"/>
    </row>
    <row r="29" spans="1:26" ht="15" thickBot="1">
      <c r="H29" s="35"/>
      <c r="L29" s="101">
        <v>6</v>
      </c>
      <c r="M29" s="101">
        <v>70</v>
      </c>
      <c r="N29" s="102"/>
      <c r="O29" s="317" t="s">
        <v>103</v>
      </c>
      <c r="P29" s="318"/>
      <c r="Q29" s="35" t="s">
        <v>104</v>
      </c>
      <c r="R29" s="35">
        <v>50</v>
      </c>
      <c r="S29" s="35">
        <f>IF($F$24="Rejiband",IF($C$24="Aluminio",132,IF($C$24="Cobre",174,"Error")),IF($F$24="Tubo",IF($C$24="Aluminio",112,IF($C$24="Cobre",144,"Error"))))</f>
        <v>144</v>
      </c>
      <c r="T29" s="36">
        <f>IF($F$24="Rejiband",IF($C$24="Aluminio",132,IF($C$24="Cobre",174,"Error")),IF($F$24="Tubo",IF($C$24="Aluminio",112,IF($C$24="Cobre",144,"Error"))))</f>
        <v>144</v>
      </c>
      <c r="U29" s="140"/>
      <c r="V29" s="140"/>
      <c r="W29" s="140"/>
      <c r="X29" s="104"/>
      <c r="Y29" s="101"/>
      <c r="Z29" s="102"/>
    </row>
    <row r="30" spans="1:26" ht="15" thickBot="1">
      <c r="H30" s="35"/>
      <c r="I30" s="2"/>
      <c r="J30" s="99"/>
      <c r="K30" s="100"/>
      <c r="L30" s="101">
        <v>10</v>
      </c>
      <c r="M30" s="101">
        <v>96</v>
      </c>
      <c r="N30" s="102"/>
      <c r="O30" s="312" t="s">
        <v>105</v>
      </c>
      <c r="P30" s="313"/>
      <c r="Q30" s="135" t="s">
        <v>106</v>
      </c>
      <c r="R30" s="135">
        <v>70</v>
      </c>
      <c r="S30" s="135">
        <f>IF($F$24="Rejiband",IF($C$24="Aluminio",170,IF($C$24="Cobre",223,"Error")),IF($F$24="Tubo",IF($C$24="Aluminio",138,IF($C$24="Cobre",178,"Error"))))</f>
        <v>178</v>
      </c>
      <c r="T30" s="136">
        <f>IF($F$24="Rejiband",IF($C$24="Aluminio",170,IF($C$24="Cobre",223,"Error")),IF($F$24="Tubo",IF($C$24="Aluminio",138,IF($C$24="Cobre",178,"Error"))))</f>
        <v>178</v>
      </c>
      <c r="U30" s="140"/>
      <c r="V30" s="140"/>
      <c r="W30" s="140"/>
      <c r="X30" s="104"/>
      <c r="Y30" s="101"/>
      <c r="Z30" s="102"/>
    </row>
    <row r="31" spans="1:26" ht="15" thickBot="1">
      <c r="G31" s="98"/>
      <c r="H31" s="35"/>
      <c r="I31" s="2"/>
      <c r="J31" s="99"/>
      <c r="K31" s="100"/>
      <c r="L31" s="101"/>
      <c r="M31" s="101"/>
      <c r="N31" s="102"/>
      <c r="O31" s="317" t="s">
        <v>107</v>
      </c>
      <c r="P31" s="318"/>
      <c r="Q31" s="35" t="s">
        <v>108</v>
      </c>
      <c r="R31" s="35">
        <v>95</v>
      </c>
      <c r="S31" s="35">
        <f>IF($F$24="Rejiband",IF($C$24="Aluminio",206,IF($C$24="Cobre",271,"Error")),IF($F$24="Tubo",IF($C$24="Aluminio",164,IF($C$24="Cobre",211,"Error"))))</f>
        <v>211</v>
      </c>
      <c r="T31" s="36">
        <f>IF($F$24="Rejiband",IF($C$24="Aluminio",206,IF($C$24="Cobre",271,"Error")),IF($F$24="Tubo",IF($C$24="Aluminio",164,IF($C$24="Cobre",211,"Error"))))</f>
        <v>211</v>
      </c>
      <c r="U31" s="140"/>
      <c r="V31" s="140"/>
      <c r="W31" s="140"/>
      <c r="X31" s="104"/>
      <c r="Y31" s="101"/>
      <c r="Z31" s="102"/>
    </row>
    <row r="32" spans="1:26" ht="15" thickBot="1">
      <c r="G32" s="98"/>
      <c r="H32" s="35"/>
      <c r="I32" s="3"/>
      <c r="J32" s="99"/>
      <c r="K32" s="100"/>
      <c r="L32" s="101"/>
      <c r="M32" s="101"/>
      <c r="N32" s="102"/>
      <c r="O32" s="312" t="s">
        <v>109</v>
      </c>
      <c r="P32" s="313"/>
      <c r="Q32" s="135" t="s">
        <v>110</v>
      </c>
      <c r="R32" s="135">
        <v>120</v>
      </c>
      <c r="S32" s="135">
        <f>IF($F$24="Rejiband",IF($C$24="Aluminio",239,IF($C$24="Cobre",314,"Error")),IF($F$24="Tubo",IF($C$24="Aluminio",186,IF($C$24="Cobre",240,"Error"))))</f>
        <v>240</v>
      </c>
      <c r="T32" s="136">
        <f>IF($F$24="Rejiband",IF($C$24="Aluminio",239,IF($C$24="Cobre",314,"Error")),IF($F$24="Tubo",IF($C$24="Aluminio",186,IF($C$24="Cobre",240,"Error"))))</f>
        <v>240</v>
      </c>
      <c r="U32" s="140"/>
      <c r="V32" s="140"/>
      <c r="W32" s="140"/>
      <c r="X32" s="104"/>
      <c r="Y32" s="101"/>
      <c r="Z32" s="102"/>
    </row>
    <row r="33" spans="1:26" ht="15" thickBot="1">
      <c r="A33" s="154"/>
      <c r="B33" s="91"/>
      <c r="G33" s="98"/>
      <c r="H33" s="35"/>
      <c r="I33" s="3"/>
      <c r="J33" s="99"/>
      <c r="K33" s="100"/>
      <c r="L33" s="101"/>
      <c r="M33" s="101"/>
      <c r="N33" s="102"/>
      <c r="O33" s="317" t="s">
        <v>111</v>
      </c>
      <c r="P33" s="318"/>
      <c r="Q33" s="35" t="s">
        <v>112</v>
      </c>
      <c r="R33" s="35">
        <v>150</v>
      </c>
      <c r="S33" s="35">
        <f>IF($F$24="Rejiband",IF($C$24="Aluminio",276,IF($C$24="Cobre",359,"Error")),IF($F$24="Tubo",IF($C$24="Aluminio",210,IF($C$24="Cobre",271,"Error"))))</f>
        <v>271</v>
      </c>
      <c r="T33" s="36">
        <f>IF($F$24="Rejiband",IF($C$24="Aluminio",276,IF($C$24="Cobre",359,"Error")),IF($F$24="Tubo",IF($C$24="Aluminio",210,IF($C$24="Cobre",271,"Error"))))</f>
        <v>271</v>
      </c>
      <c r="U33" s="140"/>
      <c r="V33" s="140"/>
      <c r="W33" s="140"/>
      <c r="X33" s="104"/>
      <c r="Y33" s="101"/>
      <c r="Z33" s="102"/>
    </row>
    <row r="34" spans="1:26" ht="15" thickBot="1">
      <c r="A34" s="154"/>
      <c r="B34" s="91"/>
      <c r="G34" s="98"/>
      <c r="H34" s="35"/>
      <c r="I34" s="3"/>
      <c r="J34" s="99"/>
      <c r="K34" s="100"/>
      <c r="L34" s="101"/>
      <c r="M34" s="101"/>
      <c r="N34" s="102"/>
      <c r="O34" s="312" t="s">
        <v>113</v>
      </c>
      <c r="P34" s="313"/>
      <c r="Q34" s="135" t="s">
        <v>114</v>
      </c>
      <c r="R34" s="135">
        <v>185</v>
      </c>
      <c r="S34" s="135">
        <f>IF($F$24="Rejiband",IF($C$24="Aluminio",315,IF($C$24="Cobre",409,"Error")),IF($F$24="Tubo",IF($C$24="Aluminio",236,IF($C$24="Cobre",304,"Error"))))</f>
        <v>304</v>
      </c>
      <c r="T34" s="136">
        <f>IF($F$24="Rejiband",IF($C$24="Aluminio",315,IF($C$24="Cobre",409,"Error")),IF($F$24="Tubo",IF($C$24="Aluminio",236,IF($C$24="Cobre",304,"Error"))))</f>
        <v>304</v>
      </c>
      <c r="U34" s="140"/>
      <c r="V34" s="140"/>
      <c r="W34" s="140"/>
      <c r="X34" s="104"/>
      <c r="Y34" s="101"/>
      <c r="Z34" s="102"/>
    </row>
    <row r="35" spans="1:26" ht="15.75" customHeight="1" thickBot="1">
      <c r="A35" s="154"/>
      <c r="B35" s="91"/>
      <c r="O35" s="317" t="s">
        <v>115</v>
      </c>
      <c r="P35" s="318"/>
      <c r="Q35" s="97" t="s">
        <v>116</v>
      </c>
      <c r="R35" s="97">
        <v>240</v>
      </c>
      <c r="S35" s="97">
        <f>IF($F$24="Rejiband",IF($C$24="Aluminio",372,IF($C$24="Cobre",489,"Error")),IF($F$24="Tubo",IF($C$24="Aluminio",272,IF($C$24="Cobre",351,"Error"))))</f>
        <v>351</v>
      </c>
      <c r="T35" s="185">
        <f>IF($F$24="Rejiband",IF($C$24="Aluminio",372,IF($C$24="Cobre",489,"Error")),IF($F$24="Tubo",IF($C$24="Aluminio",272,IF($C$24="Cobre",351,"Error"))))</f>
        <v>351</v>
      </c>
      <c r="U35" s="140"/>
      <c r="V35" s="140"/>
      <c r="W35" s="140"/>
      <c r="Y35" s="54"/>
    </row>
    <row r="36" spans="1:26">
      <c r="G36" s="139"/>
      <c r="H36" s="139"/>
      <c r="I36" s="139"/>
      <c r="J36" s="139"/>
      <c r="K36" s="139"/>
      <c r="L36" s="139"/>
      <c r="M36" s="139"/>
      <c r="N36" s="139"/>
      <c r="O36" s="140"/>
      <c r="P36" s="140"/>
      <c r="Q36" s="140"/>
      <c r="R36" s="140"/>
      <c r="S36" s="140"/>
      <c r="T36" s="140"/>
      <c r="U36" s="140"/>
      <c r="V36" s="140"/>
      <c r="W36" s="140"/>
      <c r="X36" s="139"/>
      <c r="Y36" s="54"/>
    </row>
    <row r="37" spans="1:26">
      <c r="G37" s="109"/>
      <c r="H37" s="105"/>
      <c r="I37" s="105"/>
      <c r="J37" s="105"/>
      <c r="K37" s="105"/>
      <c r="L37" s="105"/>
      <c r="M37" s="105"/>
      <c r="N37" s="105"/>
      <c r="O37" s="140"/>
      <c r="P37" s="140"/>
      <c r="Q37" s="140"/>
      <c r="R37" s="140"/>
      <c r="S37" s="140"/>
      <c r="T37" s="140"/>
      <c r="U37" s="140"/>
      <c r="V37" s="140"/>
      <c r="W37" s="140"/>
      <c r="X37" s="105"/>
      <c r="Y37" s="54"/>
    </row>
    <row r="38" spans="1:26">
      <c r="G38" s="109"/>
      <c r="H38" s="105"/>
      <c r="I38" s="105"/>
      <c r="J38" s="105"/>
      <c r="K38" s="105"/>
      <c r="L38" s="105"/>
      <c r="M38" s="105"/>
      <c r="N38" s="105"/>
      <c r="O38" s="140"/>
      <c r="P38" s="140"/>
      <c r="Q38" s="140"/>
      <c r="R38" s="140"/>
      <c r="S38" s="140"/>
      <c r="T38" s="140"/>
      <c r="U38" s="140"/>
      <c r="V38" s="140"/>
      <c r="W38" s="140"/>
      <c r="X38" s="110"/>
      <c r="Y38" s="54"/>
    </row>
    <row r="39" spans="1:26">
      <c r="O39" s="140"/>
      <c r="P39" s="140"/>
      <c r="Q39" s="140"/>
      <c r="R39" s="140"/>
      <c r="S39" s="140"/>
      <c r="T39" s="140"/>
      <c r="U39" s="140"/>
      <c r="V39" s="140"/>
      <c r="W39" s="140"/>
    </row>
    <row r="40" spans="1:26">
      <c r="O40" s="140"/>
      <c r="P40" s="140"/>
      <c r="Q40" s="140"/>
      <c r="R40" s="140"/>
      <c r="S40" s="140"/>
      <c r="T40" s="140"/>
      <c r="U40" s="140"/>
      <c r="V40" s="140"/>
      <c r="W40" s="140"/>
    </row>
    <row r="41" spans="1:26">
      <c r="G41" s="325"/>
      <c r="H41" s="325"/>
      <c r="I41" s="325"/>
      <c r="J41" s="325"/>
      <c r="O41" s="140"/>
      <c r="P41" s="140"/>
      <c r="Q41" s="140"/>
      <c r="R41" s="140"/>
      <c r="S41" s="140"/>
      <c r="T41" s="140"/>
      <c r="U41" s="140"/>
      <c r="V41" s="140"/>
      <c r="W41" s="140"/>
    </row>
    <row r="42" spans="1:26">
      <c r="G42" s="111"/>
      <c r="H42" s="111"/>
      <c r="I42" s="112"/>
      <c r="J42" s="113"/>
      <c r="O42" s="140"/>
      <c r="P42" s="140"/>
      <c r="Q42" s="140"/>
      <c r="R42" s="140"/>
      <c r="S42" s="140"/>
      <c r="T42" s="140"/>
      <c r="U42" s="140"/>
      <c r="V42" s="140"/>
      <c r="W42" s="140"/>
    </row>
    <row r="43" spans="1:26">
      <c r="G43" s="35"/>
      <c r="H43" s="35"/>
      <c r="I43" s="35"/>
      <c r="J43" s="113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6">
      <c r="G44" s="35"/>
      <c r="H44" s="114"/>
      <c r="I44" s="115"/>
      <c r="J44" s="114"/>
      <c r="O44" s="140"/>
      <c r="P44" s="140"/>
      <c r="Q44" s="140"/>
      <c r="R44" s="140"/>
      <c r="S44" s="140"/>
      <c r="T44" s="140"/>
      <c r="U44" s="140"/>
      <c r="V44" s="140"/>
      <c r="W44" s="140"/>
    </row>
    <row r="45" spans="1:26">
      <c r="G45" s="35"/>
      <c r="H45" s="114"/>
      <c r="I45" s="115"/>
      <c r="J45" s="114"/>
      <c r="O45" s="140"/>
      <c r="P45" s="140"/>
      <c r="Q45" s="140"/>
      <c r="R45" s="140"/>
      <c r="S45" s="140"/>
      <c r="T45" s="140"/>
      <c r="U45" s="140"/>
      <c r="V45" s="140"/>
      <c r="W45" s="140"/>
    </row>
    <row r="46" spans="1:26">
      <c r="G46" s="35"/>
      <c r="H46" s="114"/>
      <c r="I46" s="115"/>
      <c r="J46" s="114"/>
      <c r="O46" s="140"/>
      <c r="P46" s="140"/>
      <c r="Q46" s="140"/>
      <c r="R46" s="140"/>
      <c r="S46" s="140"/>
      <c r="T46" s="140"/>
      <c r="U46" s="140"/>
      <c r="V46" s="140"/>
      <c r="W46" s="140"/>
    </row>
    <row r="47" spans="1:26">
      <c r="G47" s="35"/>
      <c r="H47" s="114"/>
      <c r="I47" s="115"/>
      <c r="J47" s="114"/>
      <c r="O47" s="140"/>
      <c r="P47" s="140"/>
      <c r="Q47" s="140"/>
      <c r="R47" s="140"/>
      <c r="S47" s="140"/>
      <c r="T47" s="140"/>
      <c r="U47" s="140"/>
      <c r="V47" s="140"/>
      <c r="W47" s="140"/>
    </row>
    <row r="48" spans="1:26">
      <c r="G48" s="35"/>
      <c r="H48" s="114"/>
      <c r="I48" s="115"/>
      <c r="J48" s="114"/>
      <c r="O48" s="140"/>
      <c r="P48" s="140"/>
      <c r="Q48" s="140"/>
      <c r="R48" s="140"/>
      <c r="S48" s="140"/>
      <c r="T48" s="140"/>
      <c r="U48" s="140"/>
      <c r="V48" s="140"/>
      <c r="W48" s="140"/>
      <c r="Y48" s="2"/>
    </row>
    <row r="49" spans="1:23">
      <c r="G49" s="35"/>
      <c r="H49" s="114"/>
      <c r="I49" s="115"/>
      <c r="J49" s="114"/>
      <c r="O49" s="140"/>
      <c r="P49" s="140"/>
      <c r="Q49" s="140"/>
      <c r="R49" s="140"/>
      <c r="S49" s="140"/>
      <c r="T49" s="140"/>
      <c r="U49" s="140"/>
      <c r="V49" s="140"/>
      <c r="W49" s="140"/>
    </row>
    <row r="50" spans="1:23">
      <c r="G50" s="35"/>
      <c r="H50" s="114"/>
      <c r="I50" s="115"/>
      <c r="J50" s="114"/>
      <c r="K50" s="2"/>
      <c r="O50" s="140"/>
      <c r="P50" s="140"/>
      <c r="Q50" s="140"/>
      <c r="R50" s="140"/>
      <c r="S50" s="140"/>
      <c r="T50" s="140"/>
      <c r="U50" s="140"/>
      <c r="V50" s="140"/>
      <c r="W50" s="140"/>
    </row>
    <row r="51" spans="1:23">
      <c r="G51" s="35"/>
      <c r="H51" s="114"/>
      <c r="I51" s="115"/>
      <c r="J51" s="114"/>
      <c r="O51" s="140"/>
      <c r="P51" s="140"/>
      <c r="Q51" s="140"/>
      <c r="R51" s="140"/>
      <c r="S51" s="140"/>
      <c r="T51" s="140"/>
      <c r="U51" s="140"/>
      <c r="V51" s="140"/>
      <c r="W51" s="140"/>
    </row>
    <row r="52" spans="1:23">
      <c r="G52" s="35"/>
      <c r="H52" s="114"/>
      <c r="I52" s="115"/>
      <c r="J52" s="114"/>
      <c r="O52" s="140"/>
      <c r="P52" s="140"/>
      <c r="Q52" s="140"/>
      <c r="R52" s="140"/>
      <c r="S52" s="140"/>
      <c r="T52" s="140"/>
      <c r="U52" s="140"/>
      <c r="V52" s="140"/>
      <c r="W52" s="140"/>
    </row>
    <row r="53" spans="1:23">
      <c r="G53" s="79"/>
      <c r="H53" s="88"/>
      <c r="I53" s="89"/>
      <c r="J53" s="88"/>
      <c r="U53" s="2"/>
    </row>
    <row r="55" spans="1:23">
      <c r="L55" s="116"/>
      <c r="M55" s="116"/>
      <c r="N55" s="116"/>
      <c r="O55" s="116"/>
      <c r="P55" s="116"/>
      <c r="Q55" s="116"/>
      <c r="R55" s="116"/>
      <c r="S55" s="116"/>
      <c r="T55" s="116"/>
    </row>
    <row r="56" spans="1:23">
      <c r="L56" s="117"/>
      <c r="M56" s="116"/>
      <c r="N56" s="116"/>
      <c r="O56" s="319"/>
      <c r="P56" s="319"/>
      <c r="Q56" s="320"/>
      <c r="R56" s="320"/>
      <c r="S56" s="116"/>
      <c r="T56" s="116"/>
    </row>
    <row r="57" spans="1:23">
      <c r="A57" s="186"/>
      <c r="B57" s="186"/>
      <c r="C57" s="186"/>
      <c r="D57" s="186"/>
      <c r="E57" s="186"/>
      <c r="F57" s="186"/>
      <c r="G57" s="94"/>
      <c r="H57" s="94"/>
      <c r="I57" s="94"/>
      <c r="L57" s="116"/>
      <c r="M57" s="116"/>
      <c r="N57" s="116"/>
      <c r="O57" s="118"/>
      <c r="P57" s="118"/>
      <c r="Q57" s="118"/>
      <c r="R57" s="118"/>
      <c r="S57" s="116"/>
      <c r="T57" s="116"/>
    </row>
    <row r="58" spans="1:23">
      <c r="A58" s="91"/>
      <c r="B58" s="91"/>
      <c r="C58" s="91"/>
      <c r="D58" s="92"/>
      <c r="E58" s="91"/>
      <c r="F58" s="91"/>
      <c r="H58" s="91"/>
      <c r="I58" s="91"/>
      <c r="J58" s="92"/>
      <c r="L58" s="116"/>
      <c r="M58" s="116"/>
      <c r="N58" s="116"/>
      <c r="O58" s="116"/>
      <c r="P58" s="116"/>
      <c r="Q58" s="116"/>
      <c r="R58" s="116"/>
      <c r="S58" s="116"/>
      <c r="T58" s="116"/>
    </row>
    <row r="59" spans="1:23">
      <c r="A59" s="91"/>
      <c r="B59" s="91"/>
      <c r="C59" s="91"/>
      <c r="D59" s="91"/>
      <c r="E59" s="91"/>
      <c r="F59" s="91"/>
      <c r="H59" s="93"/>
      <c r="I59" s="91"/>
      <c r="J59" s="93"/>
      <c r="L59" s="116"/>
      <c r="M59" s="116"/>
      <c r="N59" s="116"/>
      <c r="O59" s="116"/>
      <c r="P59" s="116"/>
      <c r="Q59" s="116"/>
      <c r="R59" s="116"/>
      <c r="S59" s="116"/>
      <c r="T59" s="116"/>
    </row>
    <row r="60" spans="1:23">
      <c r="A60" s="91"/>
      <c r="B60" s="91"/>
      <c r="C60" s="91"/>
      <c r="D60" s="91"/>
      <c r="E60" s="91"/>
      <c r="F60" s="91"/>
      <c r="H60" s="93"/>
      <c r="I60" s="91"/>
      <c r="J60" s="93"/>
      <c r="L60" s="116"/>
      <c r="M60" s="116"/>
      <c r="N60" s="116"/>
      <c r="O60" s="116"/>
      <c r="P60" s="116"/>
      <c r="Q60" s="116"/>
      <c r="R60" s="116"/>
      <c r="S60" s="116"/>
      <c r="T60" s="116"/>
    </row>
    <row r="61" spans="1:23">
      <c r="A61" s="91"/>
      <c r="B61" s="91"/>
      <c r="C61" s="91"/>
      <c r="D61" s="91"/>
      <c r="E61" s="91"/>
      <c r="F61" s="91"/>
      <c r="L61" s="116"/>
      <c r="M61" s="116"/>
      <c r="N61" s="116"/>
      <c r="O61" s="116"/>
      <c r="P61" s="116"/>
      <c r="Q61" s="116"/>
      <c r="R61" s="116"/>
      <c r="S61" s="116"/>
      <c r="T61" s="116"/>
    </row>
    <row r="62" spans="1:23">
      <c r="L62" s="116"/>
      <c r="M62" s="116"/>
      <c r="N62" s="116"/>
      <c r="O62" s="116"/>
      <c r="P62" s="116"/>
      <c r="Q62" s="116"/>
      <c r="R62" s="116"/>
      <c r="S62" s="116"/>
      <c r="T62" s="116"/>
    </row>
    <row r="63" spans="1:23">
      <c r="L63" s="116"/>
      <c r="M63" s="116"/>
      <c r="N63" s="116"/>
      <c r="O63" s="116"/>
      <c r="P63" s="116"/>
      <c r="Q63" s="116"/>
      <c r="R63" s="116"/>
      <c r="S63" s="116"/>
      <c r="T63" s="116"/>
    </row>
    <row r="64" spans="1:23">
      <c r="L64" s="119"/>
      <c r="M64" s="119"/>
      <c r="N64" s="116"/>
      <c r="O64" s="116"/>
      <c r="P64" s="116"/>
      <c r="Q64" s="116"/>
      <c r="R64" s="116"/>
      <c r="S64" s="116"/>
      <c r="T64" s="116"/>
    </row>
    <row r="65" spans="12:20">
      <c r="L65" s="116"/>
      <c r="M65" s="116"/>
      <c r="N65" s="116"/>
      <c r="O65" s="116"/>
      <c r="P65" s="116"/>
      <c r="Q65" s="116"/>
      <c r="R65" s="116"/>
      <c r="S65" s="116"/>
      <c r="T65" s="116"/>
    </row>
    <row r="66" spans="12:20">
      <c r="L66" s="116"/>
      <c r="M66" s="116"/>
      <c r="N66" s="116"/>
      <c r="O66" s="116"/>
      <c r="P66" s="116"/>
      <c r="Q66" s="116"/>
      <c r="R66" s="116"/>
      <c r="S66" s="116"/>
      <c r="T66" s="116"/>
    </row>
    <row r="67" spans="12:20">
      <c r="L67" s="116"/>
      <c r="M67" s="116"/>
      <c r="N67" s="116"/>
      <c r="O67" s="116"/>
      <c r="P67" s="116"/>
      <c r="Q67" s="116"/>
      <c r="R67" s="116"/>
      <c r="S67" s="116"/>
      <c r="T67" s="116"/>
    </row>
    <row r="68" spans="12:20">
      <c r="L68" s="116"/>
      <c r="M68" s="116"/>
      <c r="N68" s="116"/>
      <c r="O68" s="116"/>
      <c r="P68" s="116"/>
      <c r="Q68" s="116"/>
      <c r="R68" s="116"/>
      <c r="S68" s="116"/>
      <c r="T68" s="116"/>
    </row>
  </sheetData>
  <mergeCells count="53">
    <mergeCell ref="O7:P7"/>
    <mergeCell ref="O26:P26"/>
    <mergeCell ref="J6:K6"/>
    <mergeCell ref="J12:K12"/>
    <mergeCell ref="J14:K14"/>
    <mergeCell ref="J7:K7"/>
    <mergeCell ref="O25:P25"/>
    <mergeCell ref="J10:K10"/>
    <mergeCell ref="J17:K17"/>
    <mergeCell ref="N9:O9"/>
    <mergeCell ref="B1:C2"/>
    <mergeCell ref="D1:F2"/>
    <mergeCell ref="J4:L4"/>
    <mergeCell ref="B4:D4"/>
    <mergeCell ref="J9:L9"/>
    <mergeCell ref="C5:D5"/>
    <mergeCell ref="G5:H5"/>
    <mergeCell ref="G6:H6"/>
    <mergeCell ref="C6:D6"/>
    <mergeCell ref="F4:H4"/>
    <mergeCell ref="J5:K5"/>
    <mergeCell ref="I10:I20"/>
    <mergeCell ref="G41:J41"/>
    <mergeCell ref="B21:G21"/>
    <mergeCell ref="I21:M21"/>
    <mergeCell ref="I23:J23"/>
    <mergeCell ref="I24:J24"/>
    <mergeCell ref="I25:J25"/>
    <mergeCell ref="I22:J22"/>
    <mergeCell ref="J16:K16"/>
    <mergeCell ref="J13:K13"/>
    <mergeCell ref="J15:K15"/>
    <mergeCell ref="J11:K11"/>
    <mergeCell ref="G11:H11"/>
    <mergeCell ref="F13:H13"/>
    <mergeCell ref="G14:H14"/>
    <mergeCell ref="G15:H15"/>
    <mergeCell ref="I27:M27"/>
    <mergeCell ref="O28:P28"/>
    <mergeCell ref="O21:T21"/>
    <mergeCell ref="O27:P27"/>
    <mergeCell ref="O56:P56"/>
    <mergeCell ref="O34:P34"/>
    <mergeCell ref="O35:P35"/>
    <mergeCell ref="O33:P33"/>
    <mergeCell ref="O30:P30"/>
    <mergeCell ref="O29:P29"/>
    <mergeCell ref="O31:P31"/>
    <mergeCell ref="O32:P32"/>
    <mergeCell ref="Q56:R56"/>
    <mergeCell ref="O22:P22"/>
    <mergeCell ref="O23:P23"/>
    <mergeCell ref="O24:P24"/>
  </mergeCells>
  <phoneticPr fontId="15" type="noConversion"/>
  <conditionalFormatting sqref="C25:G25">
    <cfRule type="expression" dxfId="22" priority="55">
      <formula>#REF!="NO"</formula>
    </cfRule>
  </conditionalFormatting>
  <conditionalFormatting sqref="J44:J53">
    <cfRule type="cellIs" dxfId="21" priority="27" operator="greaterThan">
      <formula>$B$35</formula>
    </cfRule>
  </conditionalFormatting>
  <dataValidations count="6">
    <dataValidation type="list" allowBlank="1" showInputMessage="1" showErrorMessage="1" sqref="C23:C25" xr:uid="{00000000-0002-0000-0100-000001000000}">
      <formula1>"Cobre, Aluminio"</formula1>
    </dataValidation>
    <dataValidation type="list" allowBlank="1" showInputMessage="1" showErrorMessage="1" sqref="F23:F25" xr:uid="{00000000-0002-0000-0100-000002000000}">
      <formula1>"Rejiband,Tubo"</formula1>
    </dataValidation>
    <dataValidation type="list" allowBlank="1" showInputMessage="1" showErrorMessage="1" sqref="G5:H5 G14:H14" xr:uid="{00000000-0002-0000-0100-000004000000}">
      <formula1>FABRICANTES_INV</formula1>
    </dataValidation>
    <dataValidation type="list" allowBlank="1" showInputMessage="1" showErrorMessage="1" sqref="C5:D5" xr:uid="{00000000-0002-0000-0100-000007000000}">
      <formula1>FABRICANTES_MOD</formula1>
    </dataValidation>
    <dataValidation type="list" allowBlank="1" showInputMessage="1" showErrorMessage="1" sqref="C13:C16" xr:uid="{00000000-0002-0000-0100-000000000000}">
      <formula1>"1,2,3"</formula1>
    </dataValidation>
    <dataValidation type="list" allowBlank="1" showInputMessage="1" showErrorMessage="1" sqref="B24:B25" xr:uid="{AFA97063-5B95-473B-81BC-0F3BCB4A35B0}">
      <formula1>"CA Inversor-Agrupación,CA Inversor-CGBT"</formula1>
    </dataValidation>
  </dataValidations>
  <pageMargins left="0.7" right="0.7" top="0.75" bottom="0.75" header="0.3" footer="0.3"/>
  <pageSetup paperSize="9" orientation="portrait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5000000}">
          <x14:formula1>
            <xm:f>'BASE DE DATOS'!$A$18:$A$62</xm:f>
          </x14:formula1>
          <xm:sqref>G6:H6 G15:H15</xm:sqref>
        </x14:dataValidation>
        <x14:dataValidation type="list" allowBlank="1" showInputMessage="1" showErrorMessage="1" xr:uid="{7396D040-CCDE-48A7-90B6-D3B503736A97}">
          <x14:formula1>
            <xm:f>'BASE DE DATOS'!$I$18:$I$38</xm:f>
          </x14:formula1>
          <xm:sqref>C6:D6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D2:I6"/>
  <sheetViews>
    <sheetView workbookViewId="0">
      <selection activeCell="E5" sqref="E5"/>
    </sheetView>
  </sheetViews>
  <sheetFormatPr baseColWidth="10" defaultColWidth="11.44140625" defaultRowHeight="14.4"/>
  <cols>
    <col min="3" max="3" width="8.109375" customWidth="1"/>
    <col min="4" max="4" width="12.77734375" customWidth="1"/>
  </cols>
  <sheetData>
    <row r="2" spans="4:9" ht="15" thickBot="1"/>
    <row r="3" spans="4:9" ht="30.6" thickBot="1">
      <c r="D3" s="55" t="s">
        <v>117</v>
      </c>
      <c r="E3" s="56" t="s">
        <v>118</v>
      </c>
      <c r="F3" s="57" t="s">
        <v>119</v>
      </c>
      <c r="I3">
        <v>-0.31</v>
      </c>
    </row>
    <row r="4" spans="4:9" ht="30.6" thickBot="1">
      <c r="D4" s="58" t="s">
        <v>120</v>
      </c>
      <c r="E4" s="59">
        <v>38.6</v>
      </c>
      <c r="F4" s="62">
        <f>E4*21</f>
        <v>810.6</v>
      </c>
    </row>
    <row r="5" spans="4:9" ht="30.6" thickBot="1">
      <c r="D5" s="60" t="s">
        <v>121</v>
      </c>
      <c r="E5" s="61">
        <f>$E$4+(60-20)*$E$4*I3/100</f>
        <v>33.813600000000001</v>
      </c>
      <c r="F5" s="62">
        <f t="shared" ref="F5:F6" si="0">E5*21</f>
        <v>710.0856</v>
      </c>
    </row>
    <row r="6" spans="4:9" ht="30.6" thickBot="1">
      <c r="D6" s="58" t="s">
        <v>122</v>
      </c>
      <c r="E6" s="61">
        <f>$E$4+(-30)*$E$4*$I$3/100</f>
        <v>42.189800000000005</v>
      </c>
      <c r="F6" s="62">
        <f t="shared" si="0"/>
        <v>885.98580000000015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AC34"/>
  <sheetViews>
    <sheetView showGridLines="0" topLeftCell="A5" zoomScaleNormal="100" workbookViewId="0">
      <selection activeCell="D14" sqref="D14"/>
    </sheetView>
  </sheetViews>
  <sheetFormatPr baseColWidth="10" defaultColWidth="11.44140625" defaultRowHeight="14.4"/>
  <cols>
    <col min="2" max="2" width="18.6640625" customWidth="1"/>
    <col min="3" max="3" width="8.88671875" bestFit="1" customWidth="1"/>
    <col min="4" max="4" width="9" bestFit="1" customWidth="1"/>
    <col min="5" max="5" width="10.109375" customWidth="1"/>
    <col min="6" max="6" width="9.109375" customWidth="1"/>
    <col min="7" max="7" width="7.5546875" customWidth="1"/>
    <col min="8" max="8" width="7.88671875" customWidth="1"/>
    <col min="9" max="9" width="6.33203125" customWidth="1"/>
    <col min="10" max="10" width="8.88671875" bestFit="1" customWidth="1"/>
    <col min="11" max="11" width="11.6640625" customWidth="1"/>
    <col min="13" max="13" width="9.88671875" customWidth="1"/>
    <col min="14" max="14" width="7.33203125" bestFit="1" customWidth="1"/>
    <col min="15" max="15" width="9" customWidth="1"/>
    <col min="16" max="16" width="6.5546875" customWidth="1"/>
    <col min="17" max="17" width="9" customWidth="1"/>
    <col min="18" max="18" width="7.6640625" customWidth="1"/>
    <col min="19" max="19" width="6.5546875" customWidth="1"/>
    <col min="20" max="20" width="9.109375" customWidth="1"/>
    <col min="21" max="21" width="9.33203125" customWidth="1"/>
    <col min="23" max="23" width="19.6640625" bestFit="1" customWidth="1"/>
    <col min="24" max="24" width="17.109375" customWidth="1"/>
  </cols>
  <sheetData>
    <row r="1" spans="1:29">
      <c r="A1" s="371"/>
      <c r="B1" s="402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403"/>
      <c r="W1" s="218"/>
      <c r="X1" s="379" t="s">
        <v>123</v>
      </c>
      <c r="Y1" s="379"/>
      <c r="Z1" s="379"/>
      <c r="AA1" s="379"/>
      <c r="AB1" s="379"/>
      <c r="AC1" s="380"/>
    </row>
    <row r="2" spans="1:29" ht="15" thickBot="1">
      <c r="A2" s="371"/>
      <c r="B2" s="402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403"/>
      <c r="W2" s="218"/>
      <c r="X2" s="381"/>
      <c r="Y2" s="381"/>
      <c r="Z2" s="381"/>
      <c r="AA2" s="381"/>
      <c r="AB2" s="381"/>
      <c r="AC2" s="382"/>
    </row>
    <row r="3" spans="1:29" ht="15" thickBot="1">
      <c r="A3" s="371"/>
      <c r="B3" s="406" t="str">
        <f>CONCATENATE(DATOS!G5," ",DATOS!G6)</f>
        <v>HUAWEI SUN2000 6KTL-L1</v>
      </c>
      <c r="C3" s="408" t="str">
        <f>CONCATENATE(DATOS!$D$1," - CABLEADO CC")</f>
        <v>CRUZ ROJA (MOTRIL) - CABLEADO CC</v>
      </c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10"/>
      <c r="V3" s="404"/>
      <c r="W3" s="218"/>
      <c r="X3" s="383" t="str">
        <f>B3</f>
        <v>HUAWEI SUN2000 6KTL-L1</v>
      </c>
      <c r="Y3" s="385" t="str">
        <f>CONCATENATE(DATOS!$D$1," - CABLEADO CC")</f>
        <v>CRUZ ROJA (MOTRIL) - CABLEADO CC</v>
      </c>
      <c r="Z3" s="386"/>
      <c r="AA3" s="386"/>
      <c r="AB3" s="386"/>
      <c r="AC3" s="387"/>
    </row>
    <row r="4" spans="1:29" ht="28.5" customHeight="1" thickBot="1">
      <c r="A4" s="371"/>
      <c r="B4" s="407"/>
      <c r="C4" s="274" t="s">
        <v>124</v>
      </c>
      <c r="D4" s="229" t="s">
        <v>125</v>
      </c>
      <c r="E4" s="230" t="s">
        <v>76</v>
      </c>
      <c r="F4" s="229" t="s">
        <v>126</v>
      </c>
      <c r="G4" s="229" t="s">
        <v>127</v>
      </c>
      <c r="H4" s="230" t="s">
        <v>128</v>
      </c>
      <c r="I4" s="230" t="s">
        <v>129</v>
      </c>
      <c r="J4" s="230" t="s">
        <v>130</v>
      </c>
      <c r="K4" s="230" t="s">
        <v>131</v>
      </c>
      <c r="L4" s="230" t="s">
        <v>132</v>
      </c>
      <c r="M4" s="231" t="s">
        <v>133</v>
      </c>
      <c r="N4" s="232" t="s">
        <v>134</v>
      </c>
      <c r="O4" s="230" t="s">
        <v>78</v>
      </c>
      <c r="P4" s="233" t="s">
        <v>135</v>
      </c>
      <c r="Q4" s="230" t="s">
        <v>136</v>
      </c>
      <c r="R4" s="230" t="s">
        <v>137</v>
      </c>
      <c r="S4" s="230" t="s">
        <v>138</v>
      </c>
      <c r="T4" s="230" t="s">
        <v>139</v>
      </c>
      <c r="U4" s="234" t="s">
        <v>140</v>
      </c>
      <c r="V4" s="404"/>
      <c r="W4" s="218"/>
      <c r="X4" s="384"/>
      <c r="Y4" s="64" t="s">
        <v>124</v>
      </c>
      <c r="Z4" s="77" t="s">
        <v>125</v>
      </c>
      <c r="AA4" s="69" t="s">
        <v>126</v>
      </c>
      <c r="AB4" s="69" t="s">
        <v>127</v>
      </c>
      <c r="AC4" s="73" t="s">
        <v>131</v>
      </c>
    </row>
    <row r="5" spans="1:29" ht="31.2" thickBot="1">
      <c r="A5" s="371"/>
      <c r="B5" s="411" t="s">
        <v>141</v>
      </c>
      <c r="C5" s="270">
        <v>1</v>
      </c>
      <c r="D5" s="273">
        <v>1</v>
      </c>
      <c r="E5" s="275" t="str">
        <f>CONCATENATE("H1Z2Z2-K (XLPE) ",IF(DATOS!C23="Cobre","Cu","Al")," 1,8 kV")</f>
        <v>H1Z2Z2-K (XLPE) Cu 1,8 kV</v>
      </c>
      <c r="F5" s="272">
        <v>15</v>
      </c>
      <c r="G5" s="236">
        <v>15</v>
      </c>
      <c r="H5" s="237">
        <f>F5*DATOS!$C$9</f>
        <v>683.85</v>
      </c>
      <c r="I5" s="237">
        <f>DATOS!$C$11</f>
        <v>13.93</v>
      </c>
      <c r="J5" s="237">
        <f>+I5*1.25</f>
        <v>17.412500000000001</v>
      </c>
      <c r="K5" s="238">
        <v>4</v>
      </c>
      <c r="L5" s="238" t="str">
        <f>+LOOKUP(K5,DATOS!$L$23:$L$25,DATOS!$K$23:$K$25)</f>
        <v>2(1x4)</v>
      </c>
      <c r="M5" s="239">
        <f>H5*I5</f>
        <v>9526.0305000000008</v>
      </c>
      <c r="N5" s="240">
        <f>1/(DATOS!$D$23*(1+DATOS!$E$23*((DATOS!$G$23+(90-DATOS!$G$23)*(I5/Q5)^2)-20)))</f>
        <v>52.699088774330676</v>
      </c>
      <c r="O5" s="236">
        <f>+LOOKUP(K5,DATOS!$L$23:$L$25,DATOS!$M$23:$M$25)</f>
        <v>42</v>
      </c>
      <c r="P5" s="238">
        <f>'FACTOR DE CORRECIÓN'!$J$31</f>
        <v>0.9</v>
      </c>
      <c r="Q5" s="237">
        <f>O5*P5</f>
        <v>37.800000000000004</v>
      </c>
      <c r="R5" s="237" t="str">
        <f>IF(J5&lt;=Q5,"SI","NO")</f>
        <v>SI</v>
      </c>
      <c r="S5" s="241">
        <v>15</v>
      </c>
      <c r="T5" s="242" t="str">
        <f>IF(IF(I5&lt;S5,1,2)=IF(O5&gt;S5,1,2),"SI","NO")</f>
        <v>SI</v>
      </c>
      <c r="U5" s="262">
        <f>((2*M5*G5)/(N5*K5*H5))*100/H5</f>
        <v>0.28990013841594026</v>
      </c>
      <c r="V5" s="404"/>
      <c r="W5" s="218"/>
      <c r="X5" s="388" t="str">
        <f>B5</f>
        <v>INVERSOR 1</v>
      </c>
      <c r="Y5" s="53">
        <f>C5</f>
        <v>1</v>
      </c>
      <c r="Z5" s="390">
        <v>1</v>
      </c>
      <c r="AA5" s="175">
        <f>F5</f>
        <v>15</v>
      </c>
      <c r="AB5" s="176">
        <f>G5</f>
        <v>15</v>
      </c>
      <c r="AC5" s="174">
        <f>K5</f>
        <v>4</v>
      </c>
    </row>
    <row r="6" spans="1:29" ht="15" hidden="1" thickBot="1">
      <c r="A6" s="371"/>
      <c r="B6" s="412"/>
      <c r="C6" s="271"/>
      <c r="D6" s="276"/>
      <c r="E6" s="277"/>
      <c r="F6" s="272">
        <f>DATOS!L15</f>
        <v>17</v>
      </c>
      <c r="G6" s="236"/>
      <c r="H6" s="237"/>
      <c r="I6" s="237"/>
      <c r="J6" s="237"/>
      <c r="K6" s="238"/>
      <c r="L6" s="238"/>
      <c r="M6" s="239"/>
      <c r="N6" s="240"/>
      <c r="O6" s="236"/>
      <c r="P6" s="238"/>
      <c r="Q6" s="237"/>
      <c r="R6" s="237"/>
      <c r="S6" s="241"/>
      <c r="T6" s="242"/>
      <c r="U6" s="243"/>
      <c r="V6" s="404"/>
      <c r="W6" s="218"/>
      <c r="X6" s="389"/>
      <c r="Y6" s="53">
        <f t="shared" ref="Y6" si="0">C6</f>
        <v>0</v>
      </c>
      <c r="Z6" s="391"/>
      <c r="AA6" s="175">
        <f t="shared" ref="AA6" si="1">F6</f>
        <v>17</v>
      </c>
      <c r="AB6" s="176">
        <f t="shared" ref="AB6" si="2">G6</f>
        <v>0</v>
      </c>
      <c r="AC6" s="174">
        <f t="shared" ref="AC6" si="3">K6</f>
        <v>0</v>
      </c>
    </row>
    <row r="7" spans="1:29">
      <c r="A7" s="371"/>
      <c r="B7" s="261"/>
      <c r="C7" s="79"/>
      <c r="D7" s="80"/>
      <c r="E7" s="81"/>
      <c r="F7" s="207"/>
      <c r="G7" s="82"/>
      <c r="H7" s="83"/>
      <c r="I7" s="83"/>
      <c r="J7" s="84"/>
      <c r="K7" s="83"/>
      <c r="L7" s="83"/>
      <c r="M7" s="82"/>
      <c r="N7" s="85"/>
      <c r="O7" s="83"/>
      <c r="P7" s="83"/>
      <c r="Q7" s="83"/>
      <c r="R7" s="83"/>
      <c r="S7" s="86"/>
      <c r="T7" s="87"/>
      <c r="U7" s="83"/>
      <c r="V7" s="405"/>
      <c r="W7" s="218"/>
    </row>
    <row r="8" spans="1:29">
      <c r="A8" s="371"/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405"/>
      <c r="W8" s="218"/>
    </row>
    <row r="9" spans="1:29" ht="15" thickBot="1"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  <c r="U9" s="371"/>
    </row>
    <row r="10" spans="1:29">
      <c r="H10" s="396" t="s">
        <v>142</v>
      </c>
      <c r="I10" s="397"/>
      <c r="J10" s="397"/>
      <c r="K10" s="397"/>
      <c r="L10" s="397"/>
      <c r="M10" s="397"/>
      <c r="N10" s="398"/>
    </row>
    <row r="11" spans="1:29" ht="15" thickBot="1">
      <c r="H11" s="399"/>
      <c r="I11" s="400"/>
      <c r="J11" s="400"/>
      <c r="K11" s="400"/>
      <c r="L11" s="400"/>
      <c r="M11" s="400"/>
      <c r="N11" s="401"/>
    </row>
    <row r="12" spans="1:29" ht="15" thickBot="1">
      <c r="E12" s="112"/>
      <c r="F12" s="111"/>
      <c r="H12" s="76" t="s">
        <v>143</v>
      </c>
      <c r="I12" s="143"/>
      <c r="J12" s="143"/>
      <c r="K12" s="143"/>
      <c r="L12" s="143"/>
      <c r="M12" s="143"/>
      <c r="N12" s="155"/>
    </row>
    <row r="13" spans="1:29" ht="15" thickBot="1">
      <c r="E13" s="113"/>
      <c r="F13" s="113"/>
      <c r="H13" s="199">
        <v>4</v>
      </c>
      <c r="I13" s="91"/>
      <c r="J13" s="91"/>
      <c r="K13" s="392" t="s">
        <v>144</v>
      </c>
      <c r="L13" s="393"/>
      <c r="M13" s="394" t="s">
        <v>88</v>
      </c>
      <c r="N13" s="395"/>
    </row>
    <row r="14" spans="1:29" ht="15" thickBot="1">
      <c r="E14" s="113"/>
      <c r="F14" s="113"/>
      <c r="H14" s="67"/>
      <c r="I14" s="91"/>
      <c r="J14" s="162"/>
      <c r="K14" s="165" t="s">
        <v>145</v>
      </c>
      <c r="L14" s="161" t="s">
        <v>146</v>
      </c>
      <c r="M14" s="164" t="s">
        <v>145</v>
      </c>
      <c r="N14" s="161" t="s">
        <v>146</v>
      </c>
      <c r="O14" s="177" t="s">
        <v>147</v>
      </c>
    </row>
    <row r="15" spans="1:29">
      <c r="E15" s="114"/>
      <c r="F15" s="114"/>
      <c r="H15" s="184" t="s">
        <v>148</v>
      </c>
      <c r="I15" s="91"/>
      <c r="J15" s="163" t="s">
        <v>149</v>
      </c>
      <c r="K15" s="193">
        <v>48</v>
      </c>
      <c r="L15" s="194">
        <f t="shared" ref="L15:L34" si="4">IF(K15=0,0,K15+H$13+H$16)</f>
        <v>52</v>
      </c>
      <c r="M15" s="195">
        <f>K15</f>
        <v>48</v>
      </c>
      <c r="N15" s="196">
        <f>IF(M15=0,0,M15+H$13+H$16)</f>
        <v>52</v>
      </c>
      <c r="O15" s="178">
        <f>K5</f>
        <v>4</v>
      </c>
    </row>
    <row r="16" spans="1:29" ht="15" thickBot="1">
      <c r="E16" s="114"/>
      <c r="F16" s="114"/>
      <c r="H16" s="200"/>
      <c r="I16" s="91"/>
      <c r="J16" s="163" t="s">
        <v>150</v>
      </c>
      <c r="K16" s="193">
        <v>48</v>
      </c>
      <c r="L16" s="194">
        <f t="shared" si="4"/>
        <v>52</v>
      </c>
      <c r="M16" s="195">
        <f>K16</f>
        <v>48</v>
      </c>
      <c r="N16" s="196">
        <f t="shared" ref="N16:N34" si="5">IF(M16=0,0,M16+H$13+H$16)</f>
        <v>52</v>
      </c>
      <c r="O16" s="178">
        <f>O15</f>
        <v>4</v>
      </c>
    </row>
    <row r="17" spans="5:20" ht="15" thickBot="1">
      <c r="H17" s="145"/>
      <c r="I17" s="91"/>
      <c r="J17" s="163" t="s">
        <v>151</v>
      </c>
      <c r="K17" s="193">
        <v>0</v>
      </c>
      <c r="L17" s="194">
        <f t="shared" si="4"/>
        <v>0</v>
      </c>
      <c r="M17" s="195">
        <v>0</v>
      </c>
      <c r="N17" s="196">
        <f t="shared" si="5"/>
        <v>0</v>
      </c>
      <c r="O17" s="178" t="e">
        <f>#REF!</f>
        <v>#REF!</v>
      </c>
    </row>
    <row r="18" spans="5:20" ht="15.75" customHeight="1">
      <c r="E18" s="92"/>
      <c r="F18" s="92"/>
      <c r="H18" s="145"/>
      <c r="I18" s="91"/>
      <c r="J18" s="163" t="s">
        <v>152</v>
      </c>
      <c r="K18" s="193">
        <v>0</v>
      </c>
      <c r="L18" s="194">
        <f t="shared" si="4"/>
        <v>0</v>
      </c>
      <c r="M18" s="195">
        <v>0</v>
      </c>
      <c r="N18" s="196">
        <f t="shared" si="5"/>
        <v>0</v>
      </c>
      <c r="O18" s="178" t="e">
        <f>#REF!</f>
        <v>#REF!</v>
      </c>
      <c r="Q18" s="373" t="s">
        <v>153</v>
      </c>
      <c r="R18" s="374"/>
      <c r="S18" s="375"/>
      <c r="T18" s="180"/>
    </row>
    <row r="19" spans="5:20" ht="15.75" customHeight="1" thickBot="1">
      <c r="E19" s="93"/>
      <c r="F19" s="93"/>
      <c r="H19" s="145"/>
      <c r="I19" s="91"/>
      <c r="J19" s="163" t="s">
        <v>154</v>
      </c>
      <c r="K19" s="193">
        <v>0</v>
      </c>
      <c r="L19" s="194">
        <f t="shared" si="4"/>
        <v>0</v>
      </c>
      <c r="M19" s="195">
        <v>0</v>
      </c>
      <c r="N19" s="196">
        <f t="shared" si="5"/>
        <v>0</v>
      </c>
      <c r="O19" s="178" t="e">
        <f>#REF!</f>
        <v>#REF!</v>
      </c>
      <c r="Q19" s="376"/>
      <c r="R19" s="377"/>
      <c r="S19" s="378"/>
      <c r="T19" s="180"/>
    </row>
    <row r="20" spans="5:20" ht="15" thickBot="1">
      <c r="E20" s="93"/>
      <c r="F20" s="93"/>
      <c r="H20" s="145"/>
      <c r="I20" s="91"/>
      <c r="J20" s="163" t="s">
        <v>155</v>
      </c>
      <c r="K20" s="193">
        <v>0</v>
      </c>
      <c r="L20" s="194">
        <f t="shared" si="4"/>
        <v>0</v>
      </c>
      <c r="M20" s="195">
        <v>0</v>
      </c>
      <c r="N20" s="196">
        <f t="shared" si="5"/>
        <v>0</v>
      </c>
      <c r="O20" s="178" t="e">
        <f>#REF!</f>
        <v>#REF!</v>
      </c>
      <c r="Q20" s="181" t="s">
        <v>156</v>
      </c>
      <c r="R20" s="182" t="s">
        <v>144</v>
      </c>
      <c r="S20" s="183" t="s">
        <v>88</v>
      </c>
    </row>
    <row r="21" spans="5:20">
      <c r="H21" s="145"/>
      <c r="I21" s="91"/>
      <c r="J21" s="163" t="s">
        <v>157</v>
      </c>
      <c r="K21" s="193">
        <v>0</v>
      </c>
      <c r="L21" s="194">
        <f t="shared" si="4"/>
        <v>0</v>
      </c>
      <c r="M21" s="195">
        <v>0</v>
      </c>
      <c r="N21" s="196">
        <f t="shared" si="5"/>
        <v>0</v>
      </c>
      <c r="O21" s="178" t="e">
        <f>#REF!</f>
        <v>#REF!</v>
      </c>
      <c r="Q21" s="67">
        <v>4</v>
      </c>
      <c r="R21" s="201">
        <f>SUMIF($O$15:$O$34,$Q$21,$L$15:$L$34)</f>
        <v>104</v>
      </c>
      <c r="S21" s="202">
        <f>SUMIF($O$15:$O$34,$Q$21,$N$15:$N$34)</f>
        <v>104</v>
      </c>
    </row>
    <row r="22" spans="5:20">
      <c r="H22" s="145"/>
      <c r="I22" s="91"/>
      <c r="J22" s="163" t="s">
        <v>158</v>
      </c>
      <c r="K22" s="193">
        <v>0</v>
      </c>
      <c r="L22" s="194">
        <f t="shared" si="4"/>
        <v>0</v>
      </c>
      <c r="M22" s="195">
        <v>0</v>
      </c>
      <c r="N22" s="196">
        <f t="shared" si="5"/>
        <v>0</v>
      </c>
      <c r="O22" s="178" t="e">
        <f>#REF!</f>
        <v>#REF!</v>
      </c>
      <c r="Q22" s="67">
        <v>6</v>
      </c>
      <c r="R22" s="201">
        <f>SUMIF($O$15:$O$34,$Q$22,$L$15:$L$34)</f>
        <v>0</v>
      </c>
      <c r="S22" s="202">
        <f>SUMIF($O$15:$O$34,$Q$22,$N$15:$N$34)</f>
        <v>0</v>
      </c>
    </row>
    <row r="23" spans="5:20" ht="15" thickBot="1">
      <c r="H23" s="145"/>
      <c r="I23" s="91"/>
      <c r="J23" s="163" t="s">
        <v>159</v>
      </c>
      <c r="K23" s="193">
        <v>0</v>
      </c>
      <c r="L23" s="194">
        <f t="shared" si="4"/>
        <v>0</v>
      </c>
      <c r="M23" s="195">
        <v>0</v>
      </c>
      <c r="N23" s="196">
        <f t="shared" si="5"/>
        <v>0</v>
      </c>
      <c r="O23" s="178" t="e">
        <f>#REF!</f>
        <v>#REF!</v>
      </c>
      <c r="Q23" s="68">
        <v>10</v>
      </c>
      <c r="R23" s="201">
        <f>SUMIF($O$15:$O$34,$Q$23,$L$15:$L$34)</f>
        <v>0</v>
      </c>
      <c r="S23" s="202">
        <f>SUMIF($O$15:$O$34,$Q$23,$N$15:$N$34)</f>
        <v>0</v>
      </c>
    </row>
    <row r="24" spans="5:20">
      <c r="H24" s="145"/>
      <c r="I24" s="91"/>
      <c r="J24" s="163" t="s">
        <v>160</v>
      </c>
      <c r="K24" s="193">
        <v>0</v>
      </c>
      <c r="L24" s="194">
        <f t="shared" si="4"/>
        <v>0</v>
      </c>
      <c r="M24" s="195">
        <v>0</v>
      </c>
      <c r="N24" s="196">
        <f t="shared" si="5"/>
        <v>0</v>
      </c>
      <c r="O24" s="178" t="e">
        <f>#REF!</f>
        <v>#REF!</v>
      </c>
    </row>
    <row r="25" spans="5:20">
      <c r="H25" s="145"/>
      <c r="I25" s="91"/>
      <c r="J25" s="163" t="s">
        <v>161</v>
      </c>
      <c r="K25" s="193">
        <v>0</v>
      </c>
      <c r="L25" s="194">
        <f t="shared" si="4"/>
        <v>0</v>
      </c>
      <c r="M25" s="195">
        <v>0</v>
      </c>
      <c r="N25" s="196">
        <f t="shared" si="5"/>
        <v>0</v>
      </c>
      <c r="O25" s="178" t="e">
        <f>#REF!</f>
        <v>#REF!</v>
      </c>
    </row>
    <row r="26" spans="5:20">
      <c r="H26" s="145"/>
      <c r="I26" s="91"/>
      <c r="J26" s="163" t="s">
        <v>162</v>
      </c>
      <c r="K26" s="193">
        <v>0</v>
      </c>
      <c r="L26" s="194">
        <f t="shared" si="4"/>
        <v>0</v>
      </c>
      <c r="M26" s="195">
        <v>0</v>
      </c>
      <c r="N26" s="196">
        <f t="shared" si="5"/>
        <v>0</v>
      </c>
      <c r="O26" s="178" t="e">
        <f>#REF!</f>
        <v>#REF!</v>
      </c>
    </row>
    <row r="27" spans="5:20">
      <c r="H27" s="145"/>
      <c r="I27" s="91"/>
      <c r="J27" s="163" t="s">
        <v>163</v>
      </c>
      <c r="K27" s="193">
        <v>0</v>
      </c>
      <c r="L27" s="194">
        <f t="shared" si="4"/>
        <v>0</v>
      </c>
      <c r="M27" s="195">
        <v>0</v>
      </c>
      <c r="N27" s="196">
        <f t="shared" si="5"/>
        <v>0</v>
      </c>
      <c r="O27" s="178" t="e">
        <f>#REF!</f>
        <v>#REF!</v>
      </c>
    </row>
    <row r="28" spans="5:20">
      <c r="H28" s="145"/>
      <c r="I28" s="91"/>
      <c r="J28" s="163" t="s">
        <v>164</v>
      </c>
      <c r="K28" s="193">
        <v>0</v>
      </c>
      <c r="L28" s="194">
        <f t="shared" si="4"/>
        <v>0</v>
      </c>
      <c r="M28" s="195">
        <v>0</v>
      </c>
      <c r="N28" s="196">
        <f t="shared" si="5"/>
        <v>0</v>
      </c>
      <c r="O28" s="178" t="e">
        <f>#REF!</f>
        <v>#REF!</v>
      </c>
    </row>
    <row r="29" spans="5:20">
      <c r="H29" s="145"/>
      <c r="I29" s="91"/>
      <c r="J29" s="163" t="s">
        <v>165</v>
      </c>
      <c r="K29" s="193">
        <v>0</v>
      </c>
      <c r="L29" s="194">
        <v>0</v>
      </c>
      <c r="M29" s="195">
        <v>0</v>
      </c>
      <c r="N29" s="196">
        <f t="shared" si="5"/>
        <v>0</v>
      </c>
      <c r="O29" s="178" t="e">
        <f>#REF!</f>
        <v>#REF!</v>
      </c>
    </row>
    <row r="30" spans="5:20">
      <c r="H30" s="145"/>
      <c r="I30" s="91"/>
      <c r="J30" s="163" t="s">
        <v>166</v>
      </c>
      <c r="K30" s="193">
        <v>0</v>
      </c>
      <c r="L30" s="194">
        <f t="shared" si="4"/>
        <v>0</v>
      </c>
      <c r="M30" s="195">
        <v>0</v>
      </c>
      <c r="N30" s="196">
        <f t="shared" si="5"/>
        <v>0</v>
      </c>
      <c r="O30" s="178" t="e">
        <f>#REF!</f>
        <v>#REF!</v>
      </c>
    </row>
    <row r="31" spans="5:20">
      <c r="H31" s="145"/>
      <c r="I31" s="91"/>
      <c r="J31" s="163" t="s">
        <v>167</v>
      </c>
      <c r="K31" s="193">
        <v>0</v>
      </c>
      <c r="L31" s="194">
        <f t="shared" si="4"/>
        <v>0</v>
      </c>
      <c r="M31" s="195">
        <v>0</v>
      </c>
      <c r="N31" s="196">
        <f t="shared" si="5"/>
        <v>0</v>
      </c>
      <c r="O31" s="178" t="e">
        <f>#REF!</f>
        <v>#REF!</v>
      </c>
    </row>
    <row r="32" spans="5:20">
      <c r="H32" s="145"/>
      <c r="I32" s="91"/>
      <c r="J32" s="163" t="s">
        <v>168</v>
      </c>
      <c r="K32" s="193">
        <v>0</v>
      </c>
      <c r="L32" s="194">
        <f t="shared" si="4"/>
        <v>0</v>
      </c>
      <c r="M32" s="195">
        <v>0</v>
      </c>
      <c r="N32" s="196">
        <f t="shared" si="5"/>
        <v>0</v>
      </c>
      <c r="O32" s="178" t="e">
        <f>#REF!</f>
        <v>#REF!</v>
      </c>
    </row>
    <row r="33" spans="8:15">
      <c r="H33" s="145"/>
      <c r="I33" s="91"/>
      <c r="J33" s="163" t="s">
        <v>169</v>
      </c>
      <c r="K33" s="193">
        <v>0</v>
      </c>
      <c r="L33" s="194">
        <f t="shared" si="4"/>
        <v>0</v>
      </c>
      <c r="M33" s="195">
        <v>0</v>
      </c>
      <c r="N33" s="196">
        <f t="shared" si="5"/>
        <v>0</v>
      </c>
      <c r="O33" s="178" t="e">
        <f>#REF!</f>
        <v>#REF!</v>
      </c>
    </row>
    <row r="34" spans="8:15" ht="15" thickBot="1">
      <c r="H34" s="147"/>
      <c r="I34" s="148"/>
      <c r="J34" s="156" t="s">
        <v>170</v>
      </c>
      <c r="K34" s="197">
        <v>0</v>
      </c>
      <c r="L34" s="194">
        <f t="shared" si="4"/>
        <v>0</v>
      </c>
      <c r="M34" s="198">
        <v>0</v>
      </c>
      <c r="N34" s="196">
        <f t="shared" si="5"/>
        <v>0</v>
      </c>
      <c r="O34" s="179" t="e">
        <f>#REF!</f>
        <v>#REF!</v>
      </c>
    </row>
  </sheetData>
  <dataConsolidate/>
  <mergeCells count="16">
    <mergeCell ref="K13:L13"/>
    <mergeCell ref="M13:N13"/>
    <mergeCell ref="H10:N11"/>
    <mergeCell ref="B8:U9"/>
    <mergeCell ref="A1:A8"/>
    <mergeCell ref="B1:V2"/>
    <mergeCell ref="V3:V8"/>
    <mergeCell ref="B3:B4"/>
    <mergeCell ref="C3:U3"/>
    <mergeCell ref="B5:B6"/>
    <mergeCell ref="Q18:S19"/>
    <mergeCell ref="X1:AC2"/>
    <mergeCell ref="X3:X4"/>
    <mergeCell ref="Y3:AC3"/>
    <mergeCell ref="X5:X6"/>
    <mergeCell ref="Z5:Z6"/>
  </mergeCells>
  <conditionalFormatting sqref="E15:F16">
    <cfRule type="cellIs" dxfId="20" priority="34" operator="greaterThan">
      <formula>3.5</formula>
    </cfRule>
    <cfRule type="cellIs" dxfId="19" priority="39" operator="greaterThan">
      <formula>"3.5"</formula>
    </cfRule>
  </conditionalFormatting>
  <conditionalFormatting sqref="P5:P6">
    <cfRule type="cellIs" dxfId="17" priority="29" operator="equal">
      <formula>"NO"</formula>
    </cfRule>
  </conditionalFormatting>
  <conditionalFormatting sqref="R5:R6">
    <cfRule type="cellIs" dxfId="16" priority="30" operator="equal">
      <formula>"NO"</formula>
    </cfRule>
  </conditionalFormatting>
  <conditionalFormatting sqref="T5:T6">
    <cfRule type="expression" dxfId="15" priority="9">
      <formula>"NO"</formula>
    </cfRule>
    <cfRule type="cellIs" dxfId="14" priority="31" operator="equal">
      <formula>"NO"</formula>
    </cfRule>
  </conditionalFormatting>
  <dataValidations count="2">
    <dataValidation type="list" allowBlank="1" showInputMessage="1" showErrorMessage="1" sqref="K5:K6" xr:uid="{00000000-0002-0000-0400-000000000000}">
      <formula1>"4,6,10"</formula1>
    </dataValidation>
    <dataValidation type="list" allowBlank="1" showInputMessage="1" showErrorMessage="1" promptTitle="Seleccionar Protección" sqref="S5:S6" xr:uid="{00000000-0002-0000-0400-000001000000}">
      <formula1>"15,16,20,25,35"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5" operator="greaterThan" id="{44492489-17A4-4E4C-ABFA-2F4BD55334F1}">
            <xm:f>CA!$C$4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E15:F16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2"/>
  <sheetViews>
    <sheetView zoomScale="115" zoomScaleNormal="115" workbookViewId="0">
      <selection activeCell="F5" sqref="F5"/>
    </sheetView>
  </sheetViews>
  <sheetFormatPr baseColWidth="10" defaultColWidth="11.44140625" defaultRowHeight="14.4"/>
  <cols>
    <col min="2" max="2" width="18.6640625" customWidth="1"/>
    <col min="3" max="3" width="8.88671875" bestFit="1" customWidth="1"/>
    <col min="4" max="4" width="9" bestFit="1" customWidth="1"/>
    <col min="5" max="5" width="10.109375" customWidth="1"/>
    <col min="6" max="6" width="9.109375" customWidth="1"/>
    <col min="7" max="7" width="7.5546875" customWidth="1"/>
    <col min="8" max="8" width="7.88671875" customWidth="1"/>
    <col min="9" max="9" width="6.33203125" customWidth="1"/>
    <col min="10" max="10" width="8.88671875" bestFit="1" customWidth="1"/>
    <col min="11" max="11" width="11.6640625" customWidth="1"/>
    <col min="13" max="13" width="9.88671875" customWidth="1"/>
    <col min="14" max="14" width="7.33203125" bestFit="1" customWidth="1"/>
    <col min="15" max="15" width="9" customWidth="1"/>
    <col min="16" max="16" width="6.5546875" customWidth="1"/>
    <col min="17" max="17" width="9" customWidth="1"/>
    <col min="18" max="18" width="7.6640625" customWidth="1"/>
    <col min="19" max="19" width="6.5546875" customWidth="1"/>
    <col min="20" max="20" width="9.109375" customWidth="1"/>
    <col min="21" max="21" width="9.33203125" customWidth="1"/>
    <col min="23" max="23" width="19.6640625" bestFit="1" customWidth="1"/>
    <col min="24" max="24" width="17.109375" customWidth="1"/>
  </cols>
  <sheetData>
    <row r="1" spans="1:3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X1" s="413" t="s">
        <v>123</v>
      </c>
      <c r="Y1" s="379"/>
      <c r="Z1" s="379"/>
      <c r="AA1" s="379"/>
      <c r="AB1" s="379"/>
      <c r="AC1" s="380"/>
    </row>
    <row r="2" spans="1:31" ht="15" thickBot="1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  <c r="T2" s="371"/>
      <c r="U2" s="371"/>
      <c r="V2" s="371"/>
      <c r="X2" s="414"/>
      <c r="Y2" s="381"/>
      <c r="Z2" s="381"/>
      <c r="AA2" s="381"/>
      <c r="AB2" s="381"/>
      <c r="AC2" s="382"/>
    </row>
    <row r="3" spans="1:31" ht="15" thickBot="1">
      <c r="A3" s="371"/>
      <c r="B3" s="415" t="str">
        <f>CONCATENATE(DATOS!G5," ",DATOS!G6)</f>
        <v>HUAWEI SUN2000 6KTL-L1</v>
      </c>
      <c r="C3" s="385" t="str">
        <f>CONCATENATE(DATOS!$D$1," - CABLEADO CC")</f>
        <v>CRUZ ROJA (MOTRIL) - CABLEADO CC</v>
      </c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7"/>
      <c r="V3" s="371"/>
      <c r="X3" s="415" t="str">
        <f>B3</f>
        <v>HUAWEI SUN2000 6KTL-L1</v>
      </c>
      <c r="Y3" s="385" t="str">
        <f>CONCATENATE(DATOS!$D$1," - CABLEADO CC")</f>
        <v>CRUZ ROJA (MOTRIL) - CABLEADO CC</v>
      </c>
      <c r="Z3" s="386"/>
      <c r="AA3" s="386"/>
      <c r="AB3" s="386"/>
      <c r="AC3" s="387"/>
    </row>
    <row r="4" spans="1:31" ht="28.5" customHeight="1" thickBot="1">
      <c r="A4" s="371"/>
      <c r="B4" s="416"/>
      <c r="C4" s="64" t="s">
        <v>124</v>
      </c>
      <c r="D4" s="77" t="s">
        <v>125</v>
      </c>
      <c r="E4" s="63" t="s">
        <v>76</v>
      </c>
      <c r="F4" s="69" t="s">
        <v>126</v>
      </c>
      <c r="G4" s="69" t="s">
        <v>127</v>
      </c>
      <c r="H4" s="70" t="s">
        <v>128</v>
      </c>
      <c r="I4" s="70" t="s">
        <v>129</v>
      </c>
      <c r="J4" s="70" t="s">
        <v>130</v>
      </c>
      <c r="K4" s="70" t="s">
        <v>131</v>
      </c>
      <c r="L4" s="70" t="s">
        <v>132</v>
      </c>
      <c r="M4" s="188" t="s">
        <v>133</v>
      </c>
      <c r="N4" s="71" t="s">
        <v>134</v>
      </c>
      <c r="O4" s="70" t="s">
        <v>78</v>
      </c>
      <c r="P4" s="72" t="s">
        <v>135</v>
      </c>
      <c r="Q4" s="70" t="s">
        <v>136</v>
      </c>
      <c r="R4" s="70" t="s">
        <v>137</v>
      </c>
      <c r="S4" s="70" t="s">
        <v>138</v>
      </c>
      <c r="T4" s="70" t="s">
        <v>139</v>
      </c>
      <c r="U4" s="73" t="s">
        <v>140</v>
      </c>
      <c r="V4" s="371"/>
      <c r="X4" s="416"/>
      <c r="Y4" s="64" t="s">
        <v>124</v>
      </c>
      <c r="Z4" s="77" t="s">
        <v>125</v>
      </c>
      <c r="AA4" s="69" t="s">
        <v>126</v>
      </c>
      <c r="AB4" s="69" t="s">
        <v>127</v>
      </c>
      <c r="AC4" s="73" t="s">
        <v>131</v>
      </c>
    </row>
    <row r="5" spans="1:31" ht="15" thickBot="1">
      <c r="A5" s="371"/>
      <c r="B5" s="417" t="s">
        <v>141</v>
      </c>
      <c r="C5" s="53" t="s">
        <v>172</v>
      </c>
      <c r="D5" s="390">
        <v>1</v>
      </c>
      <c r="E5" s="419" t="str">
        <f>CONCATENATE("H1Z2Z2-K (XLPE) ",IF(DATOS!C23="Cobre","Cu","Al")," 1,8 kV")</f>
        <v>H1Z2Z2-K (XLPE) Cu 1,8 kV</v>
      </c>
      <c r="F5" s="280">
        <f>'INV 1(Tipo 1)'!F5</f>
        <v>15</v>
      </c>
      <c r="G5" s="281">
        <v>15</v>
      </c>
      <c r="H5" s="282">
        <f>F5*DATOS!$C$8</f>
        <v>575.25</v>
      </c>
      <c r="I5" s="282">
        <f>DATOS!$C$11</f>
        <v>13.93</v>
      </c>
      <c r="J5" s="282">
        <f>+I5*1.25</f>
        <v>17.412500000000001</v>
      </c>
      <c r="K5" s="283">
        <v>4</v>
      </c>
      <c r="L5" s="283" t="str">
        <f>+LOOKUP(K5,DATOS!$L$23:$L$25,DATOS!$K$23:$K$25)</f>
        <v>2(1x4)</v>
      </c>
      <c r="M5" s="284">
        <f>H5*I5</f>
        <v>8013.2325000000001</v>
      </c>
      <c r="N5" s="285">
        <f>1/(DATOS!$D$23*(1+DATOS!$E$23*((DATOS!$G$23+(90-DATOS!$G$23)*(I5/Q5)^2)-20)))</f>
        <v>52.699088774330676</v>
      </c>
      <c r="O5" s="281">
        <f>+LOOKUP(K5,DATOS!$L$23:$L$25,DATOS!$M$23:$M$25)</f>
        <v>42</v>
      </c>
      <c r="P5" s="283">
        <f>'FACTOR DE CORRECIÓN'!$J$31</f>
        <v>0.9</v>
      </c>
      <c r="Q5" s="282">
        <f>O5*P5</f>
        <v>37.800000000000004</v>
      </c>
      <c r="R5" s="282" t="str">
        <f>IF(J5&lt;=Q5,"SI","NO")</f>
        <v>SI</v>
      </c>
      <c r="S5" s="286">
        <v>16</v>
      </c>
      <c r="T5" s="287" t="str">
        <f>IF(IF(I5&lt;S5,1,2)=IF(O5&gt;S5,1,2),"SI","NO")</f>
        <v>SI</v>
      </c>
      <c r="U5" s="279">
        <f>((2*M5*G5)/(N5*K5*H5))*100/H5</f>
        <v>0.34462965607256102</v>
      </c>
      <c r="V5" s="371"/>
      <c r="X5" s="417" t="str">
        <f>B5</f>
        <v>INVERSOR 1</v>
      </c>
      <c r="Y5" s="53" t="str">
        <f>C5</f>
        <v>1.1</v>
      </c>
      <c r="Z5" s="390">
        <v>1</v>
      </c>
      <c r="AA5" s="175">
        <f>F5</f>
        <v>15</v>
      </c>
      <c r="AB5" s="176">
        <f>G5</f>
        <v>15</v>
      </c>
      <c r="AC5" s="174">
        <f>K5</f>
        <v>4</v>
      </c>
    </row>
    <row r="6" spans="1:31" ht="15.75" customHeight="1" thickBot="1">
      <c r="A6" s="371"/>
      <c r="B6" s="418"/>
      <c r="C6" s="53" t="s">
        <v>173</v>
      </c>
      <c r="D6" s="391"/>
      <c r="E6" s="420"/>
      <c r="F6" s="208">
        <v>0</v>
      </c>
      <c r="G6" s="157"/>
      <c r="H6" s="159">
        <f>F6*DATOS!$C$8</f>
        <v>0</v>
      </c>
      <c r="I6" s="159">
        <f>DATOS!$C$11</f>
        <v>13.93</v>
      </c>
      <c r="J6" s="159">
        <f>+I6*1.25</f>
        <v>17.412500000000001</v>
      </c>
      <c r="K6" s="158"/>
      <c r="L6" s="158" t="e">
        <f>+LOOKUP(K6,DATOS!$L$23:$L$25,DATOS!$K$23:$K$25)</f>
        <v>#N/A</v>
      </c>
      <c r="M6" s="190">
        <f>H6*I6</f>
        <v>0</v>
      </c>
      <c r="N6" s="192" t="e">
        <f>1/(DATOS!$D$23*(1+DATOS!$E$23*((DATOS!$G$23+(90-DATOS!$G$23)*(I6/Q6)^2)-20)))</f>
        <v>#N/A</v>
      </c>
      <c r="O6" s="157" t="e">
        <f>+LOOKUP(K6,DATOS!$L$23:$L$25,DATOS!$M$23:$M$25)</f>
        <v>#N/A</v>
      </c>
      <c r="P6" s="158">
        <f>'FACTOR DE CORRECIÓN'!$J$31</f>
        <v>0.9</v>
      </c>
      <c r="Q6" s="159" t="e">
        <f t="shared" ref="Q6" si="0">O6*P6</f>
        <v>#N/A</v>
      </c>
      <c r="R6" s="159" t="e">
        <f>IF(J6&lt;=Q6,"SI","NO")</f>
        <v>#N/A</v>
      </c>
      <c r="S6" s="209"/>
      <c r="T6" s="160" t="e">
        <f>IF(IF(I6&lt;S6,1,2)=IF(O6&gt;S6,1,2),"SI","NO")</f>
        <v>#N/A</v>
      </c>
      <c r="U6" s="191" t="e">
        <f t="shared" ref="U6" si="1">((2*M6*G6)/(N6*K6*H6))*100/H6</f>
        <v>#N/A</v>
      </c>
      <c r="V6" s="371"/>
      <c r="X6" s="418"/>
      <c r="Y6" s="53" t="str">
        <f t="shared" ref="Y6" si="2">C6</f>
        <v>1.2</v>
      </c>
      <c r="Z6" s="391"/>
      <c r="AA6" s="175">
        <f t="shared" ref="AA6:AB6" si="3">F6</f>
        <v>0</v>
      </c>
      <c r="AB6" s="176">
        <f t="shared" si="3"/>
        <v>0</v>
      </c>
      <c r="AC6" s="174">
        <f t="shared" ref="AC6" si="4">K6</f>
        <v>0</v>
      </c>
    </row>
    <row r="7" spans="1:31">
      <c r="A7" s="371"/>
      <c r="B7" s="78"/>
      <c r="C7" s="79"/>
      <c r="D7" s="80"/>
      <c r="E7" s="81"/>
      <c r="F7" s="207"/>
      <c r="G7" s="82"/>
      <c r="H7" s="83"/>
      <c r="I7" s="83"/>
      <c r="J7" s="84"/>
      <c r="K7" s="83"/>
      <c r="L7" s="83"/>
      <c r="M7" s="82"/>
      <c r="N7" s="85"/>
      <c r="O7" s="83"/>
      <c r="P7" s="83"/>
      <c r="Q7" s="83"/>
      <c r="R7" s="83"/>
      <c r="S7" s="86"/>
      <c r="T7" s="87"/>
      <c r="U7" s="83"/>
      <c r="V7" s="371"/>
    </row>
    <row r="8" spans="1:31">
      <c r="A8" s="371"/>
      <c r="U8" s="54"/>
      <c r="V8" s="371"/>
    </row>
    <row r="9" spans="1:31" ht="15" thickBot="1"/>
    <row r="10" spans="1:31">
      <c r="X10" s="396" t="s">
        <v>142</v>
      </c>
      <c r="Y10" s="397"/>
      <c r="Z10" s="397"/>
      <c r="AA10" s="397"/>
      <c r="AB10" s="397"/>
      <c r="AC10" s="397"/>
      <c r="AD10" s="398"/>
    </row>
    <row r="11" spans="1:31">
      <c r="X11" s="145"/>
      <c r="Y11" s="91"/>
      <c r="Z11" s="163" t="s">
        <v>169</v>
      </c>
      <c r="AA11" s="193">
        <v>0</v>
      </c>
      <c r="AB11" s="194">
        <f>IF(AA11=0,0,AA11+#REF!+#REF!)</f>
        <v>0</v>
      </c>
      <c r="AC11" s="195">
        <v>0</v>
      </c>
      <c r="AD11" s="196">
        <f>IF(AC11=0,0,AC11+#REF!+#REF!)</f>
        <v>0</v>
      </c>
      <c r="AE11" s="178" t="e">
        <f>#REF!</f>
        <v>#REF!</v>
      </c>
    </row>
    <row r="12" spans="1:31">
      <c r="X12" s="147"/>
      <c r="Y12" s="148"/>
      <c r="Z12" s="156" t="s">
        <v>170</v>
      </c>
      <c r="AA12" s="197">
        <v>0</v>
      </c>
      <c r="AB12" s="194">
        <f>IF(AA12=0,0,AA12+#REF!+#REF!)</f>
        <v>0</v>
      </c>
      <c r="AC12" s="198">
        <v>0</v>
      </c>
      <c r="AD12" s="196">
        <f>IF(AC12=0,0,AC12+#REF!+#REF!)</f>
        <v>0</v>
      </c>
      <c r="AE12" s="179" t="e">
        <f>#REF!</f>
        <v>#REF!</v>
      </c>
    </row>
  </sheetData>
  <dataConsolidate/>
  <mergeCells count="14">
    <mergeCell ref="X10:AD10"/>
    <mergeCell ref="A1:A8"/>
    <mergeCell ref="B1:V2"/>
    <mergeCell ref="X1:AC2"/>
    <mergeCell ref="B3:B4"/>
    <mergeCell ref="C3:U3"/>
    <mergeCell ref="V3:V8"/>
    <mergeCell ref="X3:X4"/>
    <mergeCell ref="Y3:AC3"/>
    <mergeCell ref="B5:B6"/>
    <mergeCell ref="D5:D6"/>
    <mergeCell ref="E5:E6"/>
    <mergeCell ref="X5:X6"/>
    <mergeCell ref="Z5:Z6"/>
  </mergeCells>
  <conditionalFormatting sqref="P5:P6">
    <cfRule type="cellIs" dxfId="13" priority="10" operator="equal">
      <formula>"NO"</formula>
    </cfRule>
  </conditionalFormatting>
  <conditionalFormatting sqref="R5:R6">
    <cfRule type="cellIs" dxfId="12" priority="11" operator="equal">
      <formula>"NO"</formula>
    </cfRule>
  </conditionalFormatting>
  <conditionalFormatting sqref="T5:T6">
    <cfRule type="cellIs" dxfId="11" priority="12" operator="equal">
      <formula>"NO"</formula>
    </cfRule>
  </conditionalFormatting>
  <conditionalFormatting sqref="U5:U6">
    <cfRule type="cellIs" dxfId="10" priority="6" operator="greaterThan">
      <formula>1.5</formula>
    </cfRule>
    <cfRule type="cellIs" dxfId="9" priority="9" operator="greaterThan">
      <formula>"1.5"</formula>
    </cfRule>
  </conditionalFormatting>
  <dataValidations count="2">
    <dataValidation type="list" allowBlank="1" showInputMessage="1" showErrorMessage="1" promptTitle="Seleccionar Protección" sqref="S5:S6" xr:uid="{00000000-0002-0000-0500-000000000000}">
      <formula1>"16,20,25,35"</formula1>
    </dataValidation>
    <dataValidation type="list" allowBlank="1" showInputMessage="1" showErrorMessage="1" sqref="K5:K6" xr:uid="{00000000-0002-0000-0500-000001000000}">
      <formula1>"4,6,10"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6"/>
  <sheetViews>
    <sheetView showGridLines="0" workbookViewId="0">
      <selection activeCell="C4" sqref="C4:R4"/>
    </sheetView>
  </sheetViews>
  <sheetFormatPr baseColWidth="10" defaultColWidth="11.44140625" defaultRowHeight="14.4"/>
  <cols>
    <col min="2" max="2" width="19.6640625" bestFit="1" customWidth="1"/>
    <col min="3" max="3" width="10.33203125" customWidth="1"/>
    <col min="4" max="4" width="9.5546875" bestFit="1" customWidth="1"/>
    <col min="5" max="5" width="9.109375" bestFit="1" customWidth="1"/>
    <col min="6" max="6" width="8.88671875" customWidth="1"/>
    <col min="7" max="7" width="9.109375" customWidth="1"/>
    <col min="8" max="8" width="10.6640625" bestFit="1" customWidth="1"/>
    <col min="9" max="9" width="17" customWidth="1"/>
    <col min="10" max="10" width="10" customWidth="1"/>
    <col min="11" max="11" width="8.44140625" customWidth="1"/>
    <col min="12" max="12" width="7.109375" customWidth="1"/>
    <col min="13" max="13" width="7.5546875" customWidth="1"/>
    <col min="14" max="14" width="9.109375" customWidth="1"/>
    <col min="15" max="15" width="6.88671875" customWidth="1"/>
    <col min="16" max="16" width="6.6640625" customWidth="1"/>
    <col min="17" max="17" width="8.44140625" bestFit="1" customWidth="1"/>
    <col min="18" max="18" width="8.44140625" customWidth="1"/>
  </cols>
  <sheetData>
    <row r="1" spans="1:18" ht="15" thickBot="1">
      <c r="A1" s="371"/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</row>
    <row r="2" spans="1:18" ht="15" thickBot="1">
      <c r="A2" s="371"/>
      <c r="B2" s="408" t="str">
        <f>CONCATENATE(DATOS!$D$1," - CABLEADO AC")</f>
        <v>CRUZ ROJA (MOTRIL) - CABLEADO AC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10"/>
    </row>
    <row r="3" spans="1:18" ht="21" thickBot="1">
      <c r="A3" s="371"/>
      <c r="B3" s="269" t="s">
        <v>174</v>
      </c>
      <c r="C3" s="244" t="s">
        <v>76</v>
      </c>
      <c r="D3" s="245" t="s">
        <v>127</v>
      </c>
      <c r="E3" s="244" t="s">
        <v>128</v>
      </c>
      <c r="F3" s="245" t="s">
        <v>175</v>
      </c>
      <c r="G3" s="244" t="s">
        <v>176</v>
      </c>
      <c r="H3" s="245" t="s">
        <v>131</v>
      </c>
      <c r="I3" s="244" t="s">
        <v>177</v>
      </c>
      <c r="J3" s="245" t="s">
        <v>178</v>
      </c>
      <c r="K3" s="244" t="s">
        <v>134</v>
      </c>
      <c r="L3" s="245" t="s">
        <v>78</v>
      </c>
      <c r="M3" s="244" t="s">
        <v>135</v>
      </c>
      <c r="N3" s="245" t="s">
        <v>179</v>
      </c>
      <c r="O3" s="244" t="s">
        <v>180</v>
      </c>
      <c r="P3" s="245" t="s">
        <v>181</v>
      </c>
      <c r="Q3" s="244" t="s">
        <v>182</v>
      </c>
      <c r="R3" s="246" t="s">
        <v>140</v>
      </c>
    </row>
    <row r="4" spans="1:18" ht="21" thickBot="1">
      <c r="A4" s="371"/>
      <c r="B4" s="269" t="s">
        <v>183</v>
      </c>
      <c r="C4" s="247" t="str">
        <f>CONCATENATE("RV-K (XLPE) ",IF(DATOS!$C$24="Cobre","Cu","Al")," 0,6/1 kV")</f>
        <v>RV-K (XLPE) Cu 0,6/1 kV</v>
      </c>
      <c r="D4" s="248">
        <v>15</v>
      </c>
      <c r="E4" s="248">
        <f>DATOS!$G$8</f>
        <v>230</v>
      </c>
      <c r="F4" s="249">
        <f>DATOS!$G$10*DATOS!G11</f>
        <v>27.3</v>
      </c>
      <c r="G4" s="249">
        <f>F4*1.25</f>
        <v>34.125</v>
      </c>
      <c r="H4" s="250">
        <v>10</v>
      </c>
      <c r="I4" s="250" t="str">
        <f>+LOOKUP($H$4,DATOS!R23:R35,DATOS!Q23:Q35)</f>
        <v>2x10+TTx10</v>
      </c>
      <c r="J4" s="249">
        <f>DATOS!G7+DATOS!G16</f>
        <v>6</v>
      </c>
      <c r="K4" s="251">
        <f>1/(DATOS!$D$24*(1+DATOS!$E$24*((DATOS!$G$24+(90-DATOS!$G$24)*(F4/L4)^2)-20)))</f>
        <v>51.890302749336833</v>
      </c>
      <c r="L4" s="248">
        <f>LOOKUP(H4,DATOS!$R$23:$R$35,DATOS!$S$23:$S$35)</f>
        <v>61</v>
      </c>
      <c r="M4" s="252">
        <f>'FACTOR DE CORRECIÓN'!$T$26</f>
        <v>0.9</v>
      </c>
      <c r="N4" s="250">
        <f>L4*M4</f>
        <v>54.9</v>
      </c>
      <c r="O4" s="250" t="str">
        <f>+IF(N4&gt;G4,"SI","NO")</f>
        <v>SI</v>
      </c>
      <c r="P4" s="248">
        <v>32</v>
      </c>
      <c r="Q4" s="250" t="str">
        <f>IF(IF(F4&lt;P4,1,2)=IF(P4&lt;L4,1,2),"SI","NO")</f>
        <v>SI</v>
      </c>
      <c r="R4" s="253">
        <f>+((F4*230*3*D4)/(K4*H4*E4))*100/E4</f>
        <v>1.0293453814729092</v>
      </c>
    </row>
    <row r="5" spans="1:18">
      <c r="A5" s="371"/>
    </row>
    <row r="8" spans="1:18" ht="15" thickBot="1"/>
    <row r="9" spans="1:18" ht="15" thickBot="1">
      <c r="Q9" s="66" t="e">
        <f>IF(IF(#REF!&lt;#REF!,1,2)=IF(#REF!&lt;#REF!,1,2),"SI","NO")</f>
        <v>#REF!</v>
      </c>
    </row>
    <row r="15" spans="1:18" ht="15" thickBot="1"/>
    <row r="16" spans="1:18" ht="15" thickBot="1">
      <c r="O16" s="66" t="e">
        <f>+IF(#REF!&gt;#REF!,"SI","NO")</f>
        <v>#REF!</v>
      </c>
    </row>
  </sheetData>
  <mergeCells count="3">
    <mergeCell ref="B2:R2"/>
    <mergeCell ref="A1:R1"/>
    <mergeCell ref="A2:A5"/>
  </mergeCells>
  <conditionalFormatting sqref="N4:O4 Q4 Q9 O16">
    <cfRule type="cellIs" dxfId="7" priority="5" operator="equal">
      <formula>"NO"</formula>
    </cfRule>
  </conditionalFormatting>
  <dataValidations count="1">
    <dataValidation type="list" allowBlank="1" showInputMessage="1" showErrorMessage="1" sqref="P4" xr:uid="{00000000-0002-0000-0600-000001000000}">
      <formula1>"16,20,25,32,40,50,63,80,100,125,160,200,250,315,400,425,500,630,800,1000"</formula1>
    </dataValidation>
  </dataValidations>
  <pageMargins left="0.7" right="0.7" top="0.75" bottom="0.75" header="0.3" footer="0.3"/>
  <pageSetup paperSize="9" orientation="landscape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C39518FD-2131-43C7-8AC2-E65A8CEA3A38}">
            <xm:f>+DATOS!#REF!="NO"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B2:R4</xm:sqref>
        </x14:conditionalFormatting>
        <x14:conditionalFormatting xmlns:xm="http://schemas.microsoft.com/office/excel/2006/main">
          <x14:cfRule type="expression" priority="57" id="{F31269FE-366A-4274-9EE1-345B3EB1EF64}">
            <xm:f>DATOS!#REF!="NO"</xm:f>
            <x14:dxf>
              <font>
                <color theme="0"/>
              </font>
              <fill>
                <patternFill patternType="solid">
                  <fgColor theme="0"/>
                  <bgColor theme="0"/>
                </patternFill>
              </fill>
              <border>
                <left/>
                <right/>
                <top/>
                <bottom/>
              </border>
            </x14:dxf>
          </x14:cfRule>
          <xm:sqref>Q9 O16</xm:sqref>
        </x14:conditionalFormatting>
        <x14:conditionalFormatting xmlns:xm="http://schemas.microsoft.com/office/excel/2006/main">
          <x14:cfRule type="cellIs" priority="50" operator="greaterThan" id="{A042557D-9883-4046-8BA0-8A439132523D}">
            <xm:f>'CDT%'!$L$4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DATOS!$R$23:$R$35</xm:f>
          </x14:formula1>
          <xm:sqref>H4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showGridLines="0" workbookViewId="0">
      <selection activeCell="E22" sqref="E22"/>
    </sheetView>
  </sheetViews>
  <sheetFormatPr baseColWidth="10" defaultColWidth="11.44140625" defaultRowHeight="14.4"/>
  <cols>
    <col min="2" max="3" width="13.109375" customWidth="1"/>
    <col min="4" max="4" width="12.33203125" hidden="1" customWidth="1"/>
    <col min="5" max="5" width="14.5546875" customWidth="1"/>
    <col min="7" max="7" width="13.109375" customWidth="1"/>
    <col min="8" max="8" width="11.88671875" customWidth="1"/>
    <col min="9" max="9" width="12.44140625" customWidth="1"/>
    <col min="11" max="11" width="17.6640625" customWidth="1"/>
    <col min="12" max="12" width="17" customWidth="1"/>
  </cols>
  <sheetData>
    <row r="1" spans="1:12" ht="15" thickBot="1">
      <c r="A1" s="91"/>
      <c r="B1" s="91"/>
      <c r="C1" s="91"/>
      <c r="D1" s="91"/>
      <c r="E1" s="91"/>
      <c r="F1" s="91"/>
    </row>
    <row r="2" spans="1:12" ht="15" thickBot="1">
      <c r="A2" s="91"/>
      <c r="B2" s="421" t="str">
        <f>CONCATENATE(DATOS!$D$1," - CDT%")</f>
        <v>CRUZ ROJA (MOTRIL) - CDT%</v>
      </c>
      <c r="C2" s="422"/>
      <c r="D2" s="422"/>
      <c r="E2" s="423"/>
      <c r="F2" s="91"/>
      <c r="G2" s="385" t="str">
        <f>CONCATENATE(DATOS!$D$1," - CDT%")</f>
        <v>CRUZ ROJA (MOTRIL) - CDT%</v>
      </c>
      <c r="H2" s="386"/>
      <c r="I2" s="387"/>
      <c r="K2" s="338" t="s">
        <v>184</v>
      </c>
      <c r="L2" s="340"/>
    </row>
    <row r="3" spans="1:12" ht="15" thickBot="1">
      <c r="A3" s="91"/>
      <c r="B3" s="254" t="s">
        <v>141</v>
      </c>
      <c r="C3" s="254" t="s">
        <v>185</v>
      </c>
      <c r="D3" s="254" t="s">
        <v>186</v>
      </c>
      <c r="E3" s="255" t="s">
        <v>187</v>
      </c>
      <c r="F3" s="91"/>
      <c r="G3" s="187" t="s">
        <v>171</v>
      </c>
      <c r="H3" s="187" t="s">
        <v>188</v>
      </c>
      <c r="I3" s="189" t="s">
        <v>187</v>
      </c>
      <c r="K3" s="124" t="s">
        <v>189</v>
      </c>
      <c r="L3" s="128">
        <v>1.5</v>
      </c>
    </row>
    <row r="4" spans="1:12" ht="15" thickBot="1">
      <c r="A4" s="91"/>
      <c r="B4" s="256" t="s">
        <v>124</v>
      </c>
      <c r="C4" s="257" t="s">
        <v>190</v>
      </c>
      <c r="D4" s="257" t="s">
        <v>190</v>
      </c>
      <c r="E4" s="256" t="s">
        <v>190</v>
      </c>
      <c r="F4" s="91"/>
      <c r="G4" s="52" t="s">
        <v>124</v>
      </c>
      <c r="H4" s="166" t="s">
        <v>190</v>
      </c>
      <c r="I4" s="52" t="s">
        <v>190</v>
      </c>
      <c r="K4" s="130" t="s">
        <v>191</v>
      </c>
      <c r="L4" s="141">
        <v>1.5</v>
      </c>
    </row>
    <row r="5" spans="1:12" ht="15" thickBot="1">
      <c r="A5" s="91"/>
      <c r="B5" s="235">
        <v>1</v>
      </c>
      <c r="C5" s="258">
        <f>'INV 1(Tipo 1)'!U5</f>
        <v>0.28990013841594026</v>
      </c>
      <c r="D5" s="258">
        <f>'INV 1(Tipo 1)'!U6</f>
        <v>0</v>
      </c>
      <c r="E5" s="259">
        <f>CA!R4</f>
        <v>1.0293453814729092</v>
      </c>
      <c r="F5" s="91"/>
      <c r="G5" s="53">
        <v>1</v>
      </c>
      <c r="H5" s="65" t="e">
        <f>#REF!</f>
        <v>#REF!</v>
      </c>
      <c r="I5" s="167" t="e">
        <f>CA!#REF!+CA!#REF!</f>
        <v>#REF!</v>
      </c>
    </row>
    <row r="6" spans="1:12" ht="15" thickBot="1">
      <c r="A6" s="91"/>
      <c r="B6" s="235">
        <v>2</v>
      </c>
      <c r="C6" s="258">
        <f>'INV 1(Tipo 1)'!U6</f>
        <v>0</v>
      </c>
      <c r="D6" s="260">
        <f>'INV 1(Tipo 1)'!U7</f>
        <v>0</v>
      </c>
      <c r="E6" s="259" t="s">
        <v>88</v>
      </c>
      <c r="F6" s="91"/>
    </row>
    <row r="7" spans="1:12">
      <c r="A7" s="91"/>
      <c r="B7" s="91"/>
      <c r="C7" s="91"/>
      <c r="D7" s="91"/>
      <c r="E7" s="91"/>
      <c r="F7" s="91"/>
    </row>
    <row r="8" spans="1:12">
      <c r="A8" s="91"/>
      <c r="B8" s="91"/>
      <c r="C8" s="91"/>
      <c r="D8" s="91"/>
      <c r="E8" s="91"/>
      <c r="F8" s="91"/>
    </row>
  </sheetData>
  <mergeCells count="3">
    <mergeCell ref="B2:E2"/>
    <mergeCell ref="G2:I2"/>
    <mergeCell ref="K2:L2"/>
  </mergeCells>
  <conditionalFormatting sqref="C5:D6">
    <cfRule type="cellIs" dxfId="4" priority="1" operator="greaterThan">
      <formula>$L$3</formula>
    </cfRule>
  </conditionalFormatting>
  <conditionalFormatting sqref="H5">
    <cfRule type="cellIs" dxfId="3" priority="4" operator="greaterThan">
      <formula>1.5</formula>
    </cfRule>
    <cfRule type="cellIs" dxfId="2" priority="7" operator="greaterThan">
      <formula>"1.5"</formula>
    </cfRule>
    <cfRule type="cellIs" dxfId="1" priority="52" operator="greaterThan">
      <formula>$L$3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B2:AE35"/>
  <sheetViews>
    <sheetView topLeftCell="A42" zoomScale="85" zoomScaleNormal="85" workbookViewId="0">
      <selection activeCell="T13" sqref="T13:T25"/>
    </sheetView>
  </sheetViews>
  <sheetFormatPr baseColWidth="10" defaultColWidth="11.44140625" defaultRowHeight="14.4"/>
  <sheetData>
    <row r="2" spans="2:31" ht="15" thickBot="1"/>
    <row r="3" spans="2:31" ht="15" thickBot="1">
      <c r="B3" s="338" t="s">
        <v>192</v>
      </c>
      <c r="C3" s="339"/>
      <c r="D3" s="339"/>
      <c r="E3" s="339"/>
      <c r="F3" s="339"/>
      <c r="G3" s="339"/>
      <c r="H3" s="339"/>
      <c r="I3" s="340"/>
      <c r="J3" s="153" t="s">
        <v>135</v>
      </c>
      <c r="L3" s="338" t="s">
        <v>193</v>
      </c>
      <c r="M3" s="339"/>
      <c r="N3" s="339"/>
      <c r="O3" s="339"/>
      <c r="P3" s="339"/>
      <c r="Q3" s="339"/>
      <c r="R3" s="339"/>
      <c r="S3" s="340"/>
      <c r="T3" s="153" t="s">
        <v>135</v>
      </c>
      <c r="V3" s="338" t="s">
        <v>194</v>
      </c>
      <c r="W3" s="339"/>
      <c r="X3" s="339"/>
      <c r="Y3" s="339"/>
      <c r="Z3" s="339"/>
      <c r="AA3" s="339"/>
      <c r="AB3" s="339"/>
      <c r="AC3" s="340"/>
      <c r="AD3" s="153" t="s">
        <v>135</v>
      </c>
    </row>
    <row r="4" spans="2:31" ht="15" thickBot="1">
      <c r="B4" s="145"/>
      <c r="C4" s="91"/>
      <c r="D4" s="91"/>
      <c r="E4" s="91"/>
      <c r="F4" s="91"/>
      <c r="G4" s="91"/>
      <c r="H4" s="91"/>
      <c r="I4" s="91"/>
      <c r="J4" s="74"/>
      <c r="L4" s="145"/>
      <c r="M4" s="91"/>
      <c r="N4" s="91"/>
      <c r="O4" s="91"/>
      <c r="P4" s="91"/>
      <c r="Q4" s="91"/>
      <c r="R4" s="91"/>
      <c r="S4" s="146"/>
      <c r="T4" s="74"/>
      <c r="V4" s="145"/>
      <c r="W4" s="91"/>
      <c r="X4" s="91"/>
      <c r="Y4" s="91"/>
      <c r="Z4" s="91"/>
      <c r="AA4" s="91"/>
      <c r="AB4" s="91"/>
      <c r="AC4" s="146"/>
      <c r="AD4" s="74"/>
    </row>
    <row r="5" spans="2:31" ht="15" thickBot="1">
      <c r="B5" s="321" t="s">
        <v>195</v>
      </c>
      <c r="C5" s="322"/>
      <c r="D5" s="322"/>
      <c r="E5" s="322"/>
      <c r="F5" s="322"/>
      <c r="G5" s="322"/>
      <c r="H5" s="322"/>
      <c r="I5" s="431"/>
      <c r="J5" s="428">
        <v>0.9</v>
      </c>
      <c r="L5" s="321" t="s">
        <v>195</v>
      </c>
      <c r="M5" s="322"/>
      <c r="N5" s="322"/>
      <c r="O5" s="322"/>
      <c r="P5" s="322"/>
      <c r="Q5" s="322"/>
      <c r="R5" s="322"/>
      <c r="S5" s="431"/>
      <c r="T5" s="428">
        <v>0.9</v>
      </c>
      <c r="V5" s="321" t="s">
        <v>195</v>
      </c>
      <c r="W5" s="322"/>
      <c r="X5" s="322"/>
      <c r="Y5" s="322"/>
      <c r="Z5" s="322"/>
      <c r="AA5" s="322"/>
      <c r="AB5" s="322"/>
      <c r="AC5" s="431"/>
      <c r="AD5" s="428">
        <v>0</v>
      </c>
    </row>
    <row r="6" spans="2:31">
      <c r="B6" s="331"/>
      <c r="C6" s="332"/>
      <c r="D6" s="332"/>
      <c r="E6" s="332"/>
      <c r="F6" s="332"/>
      <c r="G6" s="332"/>
      <c r="H6" s="332"/>
      <c r="I6" s="332"/>
      <c r="J6" s="429"/>
      <c r="L6" s="331"/>
      <c r="M6" s="332"/>
      <c r="N6" s="332"/>
      <c r="O6" s="332"/>
      <c r="P6" s="332"/>
      <c r="Q6" s="332"/>
      <c r="R6" s="332"/>
      <c r="S6" s="427"/>
      <c r="T6" s="429"/>
      <c r="V6" s="331"/>
      <c r="W6" s="332"/>
      <c r="X6" s="332"/>
      <c r="Y6" s="332"/>
      <c r="Z6" s="332"/>
      <c r="AA6" s="332"/>
      <c r="AB6" s="332"/>
      <c r="AC6" s="427"/>
      <c r="AD6" s="429"/>
    </row>
    <row r="7" spans="2:31">
      <c r="B7" s="331"/>
      <c r="C7" s="332"/>
      <c r="D7" s="332"/>
      <c r="E7" s="332"/>
      <c r="F7" s="332"/>
      <c r="G7" s="332"/>
      <c r="H7" s="332"/>
      <c r="I7" s="332"/>
      <c r="J7" s="429"/>
      <c r="L7" s="331"/>
      <c r="M7" s="332"/>
      <c r="N7" s="332"/>
      <c r="O7" s="332"/>
      <c r="P7" s="332"/>
      <c r="Q7" s="332"/>
      <c r="R7" s="332"/>
      <c r="S7" s="427"/>
      <c r="T7" s="429"/>
      <c r="V7" s="331"/>
      <c r="W7" s="332"/>
      <c r="X7" s="332"/>
      <c r="Y7" s="332"/>
      <c r="Z7" s="332"/>
      <c r="AA7" s="332"/>
      <c r="AB7" s="332"/>
      <c r="AC7" s="427"/>
      <c r="AD7" s="429"/>
    </row>
    <row r="8" spans="2:31">
      <c r="B8" s="331"/>
      <c r="C8" s="332"/>
      <c r="D8" s="332"/>
      <c r="E8" s="332"/>
      <c r="F8" s="332"/>
      <c r="G8" s="332"/>
      <c r="H8" s="332"/>
      <c r="I8" s="332"/>
      <c r="J8" s="429"/>
      <c r="L8" s="331"/>
      <c r="M8" s="332"/>
      <c r="N8" s="332"/>
      <c r="O8" s="332"/>
      <c r="P8" s="332"/>
      <c r="Q8" s="332"/>
      <c r="R8" s="332"/>
      <c r="S8" s="427"/>
      <c r="T8" s="429"/>
      <c r="V8" s="331"/>
      <c r="W8" s="332"/>
      <c r="X8" s="332"/>
      <c r="Y8" s="332"/>
      <c r="Z8" s="332"/>
      <c r="AA8" s="332"/>
      <c r="AB8" s="332"/>
      <c r="AC8" s="427"/>
      <c r="AD8" s="429"/>
    </row>
    <row r="9" spans="2:31">
      <c r="B9" s="331"/>
      <c r="C9" s="332"/>
      <c r="D9" s="332"/>
      <c r="E9" s="332"/>
      <c r="F9" s="332"/>
      <c r="G9" s="332"/>
      <c r="H9" s="332"/>
      <c r="I9" s="332"/>
      <c r="J9" s="429"/>
      <c r="L9" s="331"/>
      <c r="M9" s="332"/>
      <c r="N9" s="332"/>
      <c r="O9" s="332"/>
      <c r="P9" s="332"/>
      <c r="Q9" s="332"/>
      <c r="R9" s="332"/>
      <c r="S9" s="427"/>
      <c r="T9" s="429"/>
      <c r="V9" s="331"/>
      <c r="W9" s="332"/>
      <c r="X9" s="332"/>
      <c r="Y9" s="332"/>
      <c r="Z9" s="332"/>
      <c r="AA9" s="332"/>
      <c r="AB9" s="332"/>
      <c r="AC9" s="427"/>
      <c r="AD9" s="429"/>
    </row>
    <row r="10" spans="2:31">
      <c r="B10" s="331"/>
      <c r="C10" s="332"/>
      <c r="D10" s="332"/>
      <c r="E10" s="332"/>
      <c r="F10" s="332"/>
      <c r="G10" s="332"/>
      <c r="H10" s="332"/>
      <c r="I10" s="332"/>
      <c r="J10" s="429"/>
      <c r="L10" s="331"/>
      <c r="M10" s="332"/>
      <c r="N10" s="332"/>
      <c r="O10" s="332"/>
      <c r="P10" s="332"/>
      <c r="Q10" s="332"/>
      <c r="R10" s="332"/>
      <c r="S10" s="427"/>
      <c r="T10" s="429"/>
      <c r="V10" s="331"/>
      <c r="W10" s="332"/>
      <c r="X10" s="332"/>
      <c r="Y10" s="332"/>
      <c r="Z10" s="332"/>
      <c r="AA10" s="332"/>
      <c r="AB10" s="332"/>
      <c r="AC10" s="427"/>
      <c r="AD10" s="429"/>
    </row>
    <row r="11" spans="2:31">
      <c r="B11" s="331"/>
      <c r="C11" s="332"/>
      <c r="D11" s="332"/>
      <c r="E11" s="332"/>
      <c r="F11" s="332"/>
      <c r="G11" s="332"/>
      <c r="H11" s="332"/>
      <c r="I11" s="332"/>
      <c r="J11" s="429"/>
      <c r="L11" s="331"/>
      <c r="M11" s="332"/>
      <c r="N11" s="332"/>
      <c r="O11" s="332"/>
      <c r="P11" s="332"/>
      <c r="Q11" s="332"/>
      <c r="R11" s="332"/>
      <c r="S11" s="427"/>
      <c r="T11" s="429"/>
      <c r="V11" s="331"/>
      <c r="W11" s="332"/>
      <c r="X11" s="332"/>
      <c r="Y11" s="332"/>
      <c r="Z11" s="332"/>
      <c r="AA11" s="332"/>
      <c r="AB11" s="332"/>
      <c r="AC11" s="427"/>
      <c r="AD11" s="429"/>
    </row>
    <row r="12" spans="2:31" ht="15" thickBot="1">
      <c r="B12" s="147"/>
      <c r="C12" s="148"/>
      <c r="D12" s="148"/>
      <c r="E12" s="148"/>
      <c r="F12" s="148"/>
      <c r="G12" s="148"/>
      <c r="H12" s="148"/>
      <c r="I12" s="148"/>
      <c r="J12" s="430"/>
      <c r="L12" s="147"/>
      <c r="M12" s="148"/>
      <c r="N12" s="148"/>
      <c r="O12" s="148"/>
      <c r="P12" s="148"/>
      <c r="Q12" s="148"/>
      <c r="R12" s="148"/>
      <c r="S12" s="149"/>
      <c r="T12" s="430"/>
      <c r="V12" s="147"/>
      <c r="W12" s="148"/>
      <c r="X12" s="148"/>
      <c r="Y12" s="148"/>
      <c r="Z12" s="148"/>
      <c r="AA12" s="148"/>
      <c r="AB12" s="148"/>
      <c r="AC12" s="149"/>
      <c r="AD12" s="430"/>
    </row>
    <row r="13" spans="2:31" ht="15" thickBot="1">
      <c r="B13" s="321" t="s">
        <v>196</v>
      </c>
      <c r="C13" s="322"/>
      <c r="D13" s="322"/>
      <c r="E13" s="322"/>
      <c r="F13" s="322"/>
      <c r="G13" s="322"/>
      <c r="H13" s="322"/>
      <c r="I13" s="431"/>
      <c r="J13" s="428">
        <v>1</v>
      </c>
      <c r="K13" s="424" t="s">
        <v>197</v>
      </c>
      <c r="L13" s="321" t="s">
        <v>196</v>
      </c>
      <c r="M13" s="322"/>
      <c r="N13" s="322"/>
      <c r="O13" s="322"/>
      <c r="P13" s="322"/>
      <c r="Q13" s="322"/>
      <c r="R13" s="322"/>
      <c r="S13" s="431"/>
      <c r="T13" s="428">
        <v>1</v>
      </c>
      <c r="U13" s="424" t="s">
        <v>197</v>
      </c>
      <c r="V13" s="321" t="s">
        <v>196</v>
      </c>
      <c r="W13" s="322"/>
      <c r="X13" s="322"/>
      <c r="Y13" s="322"/>
      <c r="Z13" s="322"/>
      <c r="AA13" s="322"/>
      <c r="AB13" s="322"/>
      <c r="AC13" s="431"/>
      <c r="AD13" s="428">
        <v>0</v>
      </c>
      <c r="AE13" s="424" t="s">
        <v>197</v>
      </c>
    </row>
    <row r="14" spans="2:31">
      <c r="B14" s="331"/>
      <c r="C14" s="332"/>
      <c r="D14" s="332"/>
      <c r="E14" s="332"/>
      <c r="F14" s="332"/>
      <c r="G14" s="332"/>
      <c r="H14" s="332"/>
      <c r="I14" s="332"/>
      <c r="J14" s="429"/>
      <c r="K14" s="425"/>
      <c r="L14" s="331"/>
      <c r="M14" s="332"/>
      <c r="N14" s="332"/>
      <c r="O14" s="332"/>
      <c r="P14" s="332"/>
      <c r="Q14" s="332"/>
      <c r="R14" s="332"/>
      <c r="S14" s="427"/>
      <c r="T14" s="429"/>
      <c r="U14" s="425"/>
      <c r="V14" s="331"/>
      <c r="W14" s="332"/>
      <c r="X14" s="332"/>
      <c r="Y14" s="332"/>
      <c r="Z14" s="332"/>
      <c r="AA14" s="332"/>
      <c r="AB14" s="332"/>
      <c r="AC14" s="427"/>
      <c r="AD14" s="429"/>
      <c r="AE14" s="425"/>
    </row>
    <row r="15" spans="2:31">
      <c r="B15" s="331"/>
      <c r="C15" s="332"/>
      <c r="D15" s="332"/>
      <c r="E15" s="332"/>
      <c r="F15" s="332"/>
      <c r="G15" s="332"/>
      <c r="H15" s="332"/>
      <c r="I15" s="332"/>
      <c r="J15" s="429"/>
      <c r="K15" s="425"/>
      <c r="L15" s="331"/>
      <c r="M15" s="332"/>
      <c r="N15" s="332"/>
      <c r="O15" s="332"/>
      <c r="P15" s="332"/>
      <c r="Q15" s="332"/>
      <c r="R15" s="332"/>
      <c r="S15" s="427"/>
      <c r="T15" s="429"/>
      <c r="U15" s="425"/>
      <c r="V15" s="331"/>
      <c r="W15" s="332"/>
      <c r="X15" s="332"/>
      <c r="Y15" s="332"/>
      <c r="Z15" s="332"/>
      <c r="AA15" s="332"/>
      <c r="AB15" s="332"/>
      <c r="AC15" s="427"/>
      <c r="AD15" s="429"/>
      <c r="AE15" s="425"/>
    </row>
    <row r="16" spans="2:31">
      <c r="B16" s="331"/>
      <c r="C16" s="332"/>
      <c r="D16" s="332"/>
      <c r="E16" s="332"/>
      <c r="F16" s="332"/>
      <c r="G16" s="332"/>
      <c r="H16" s="332"/>
      <c r="I16" s="332"/>
      <c r="J16" s="429"/>
      <c r="K16" s="425"/>
      <c r="L16" s="331"/>
      <c r="M16" s="332"/>
      <c r="N16" s="332"/>
      <c r="O16" s="332"/>
      <c r="P16" s="332"/>
      <c r="Q16" s="332"/>
      <c r="R16" s="332"/>
      <c r="S16" s="427"/>
      <c r="T16" s="429"/>
      <c r="U16" s="425"/>
      <c r="V16" s="331"/>
      <c r="W16" s="332"/>
      <c r="X16" s="332"/>
      <c r="Y16" s="332"/>
      <c r="Z16" s="332"/>
      <c r="AA16" s="332"/>
      <c r="AB16" s="332"/>
      <c r="AC16" s="427"/>
      <c r="AD16" s="429"/>
      <c r="AE16" s="425"/>
    </row>
    <row r="17" spans="2:31">
      <c r="B17" s="331"/>
      <c r="C17" s="332"/>
      <c r="D17" s="332"/>
      <c r="E17" s="332"/>
      <c r="F17" s="332"/>
      <c r="G17" s="332"/>
      <c r="H17" s="332"/>
      <c r="I17" s="332"/>
      <c r="J17" s="429"/>
      <c r="K17" s="425"/>
      <c r="L17" s="331"/>
      <c r="M17" s="332"/>
      <c r="N17" s="332"/>
      <c r="O17" s="332"/>
      <c r="P17" s="332"/>
      <c r="Q17" s="332"/>
      <c r="R17" s="332"/>
      <c r="S17" s="427"/>
      <c r="T17" s="429"/>
      <c r="U17" s="425"/>
      <c r="V17" s="331"/>
      <c r="W17" s="332"/>
      <c r="X17" s="332"/>
      <c r="Y17" s="332"/>
      <c r="Z17" s="332"/>
      <c r="AA17" s="332"/>
      <c r="AB17" s="332"/>
      <c r="AC17" s="427"/>
      <c r="AD17" s="429"/>
      <c r="AE17" s="425"/>
    </row>
    <row r="18" spans="2:31">
      <c r="B18" s="331"/>
      <c r="C18" s="332"/>
      <c r="D18" s="332"/>
      <c r="E18" s="332"/>
      <c r="F18" s="332"/>
      <c r="G18" s="332"/>
      <c r="H18" s="332"/>
      <c r="I18" s="332"/>
      <c r="J18" s="429"/>
      <c r="K18" s="425"/>
      <c r="L18" s="331"/>
      <c r="M18" s="332"/>
      <c r="N18" s="332"/>
      <c r="O18" s="332"/>
      <c r="P18" s="332"/>
      <c r="Q18" s="332"/>
      <c r="R18" s="332"/>
      <c r="S18" s="427"/>
      <c r="T18" s="429"/>
      <c r="U18" s="425"/>
      <c r="V18" s="331"/>
      <c r="W18" s="332"/>
      <c r="X18" s="332"/>
      <c r="Y18" s="332"/>
      <c r="Z18" s="332"/>
      <c r="AA18" s="332"/>
      <c r="AB18" s="332"/>
      <c r="AC18" s="427"/>
      <c r="AD18" s="429"/>
      <c r="AE18" s="425"/>
    </row>
    <row r="19" spans="2:31">
      <c r="B19" s="331"/>
      <c r="C19" s="332"/>
      <c r="D19" s="332"/>
      <c r="E19" s="332"/>
      <c r="F19" s="332"/>
      <c r="G19" s="332"/>
      <c r="H19" s="332"/>
      <c r="I19" s="332"/>
      <c r="J19" s="429"/>
      <c r="K19" s="425"/>
      <c r="L19" s="331"/>
      <c r="M19" s="332"/>
      <c r="N19" s="332"/>
      <c r="O19" s="332"/>
      <c r="P19" s="332"/>
      <c r="Q19" s="332"/>
      <c r="R19" s="332"/>
      <c r="S19" s="427"/>
      <c r="T19" s="429"/>
      <c r="U19" s="425"/>
      <c r="V19" s="331"/>
      <c r="W19" s="332"/>
      <c r="X19" s="332"/>
      <c r="Y19" s="332"/>
      <c r="Z19" s="332"/>
      <c r="AA19" s="332"/>
      <c r="AB19" s="332"/>
      <c r="AC19" s="427"/>
      <c r="AD19" s="429"/>
      <c r="AE19" s="425"/>
    </row>
    <row r="20" spans="2:31">
      <c r="B20" s="331"/>
      <c r="C20" s="332"/>
      <c r="D20" s="332"/>
      <c r="E20" s="332"/>
      <c r="F20" s="332"/>
      <c r="G20" s="332"/>
      <c r="H20" s="332"/>
      <c r="I20" s="332"/>
      <c r="J20" s="429"/>
      <c r="K20" s="425"/>
      <c r="L20" s="331"/>
      <c r="M20" s="332"/>
      <c r="N20" s="332"/>
      <c r="O20" s="332"/>
      <c r="P20" s="332"/>
      <c r="Q20" s="332"/>
      <c r="R20" s="332"/>
      <c r="S20" s="427"/>
      <c r="T20" s="429"/>
      <c r="U20" s="425"/>
      <c r="V20" s="331"/>
      <c r="W20" s="332"/>
      <c r="X20" s="332"/>
      <c r="Y20" s="332"/>
      <c r="Z20" s="332"/>
      <c r="AA20" s="332"/>
      <c r="AB20" s="332"/>
      <c r="AC20" s="427"/>
      <c r="AD20" s="429"/>
      <c r="AE20" s="425"/>
    </row>
    <row r="21" spans="2:31">
      <c r="B21" s="331"/>
      <c r="C21" s="332"/>
      <c r="D21" s="332"/>
      <c r="E21" s="332"/>
      <c r="F21" s="332"/>
      <c r="G21" s="332"/>
      <c r="H21" s="332"/>
      <c r="I21" s="332"/>
      <c r="J21" s="429"/>
      <c r="K21" s="425"/>
      <c r="L21" s="331"/>
      <c r="M21" s="332"/>
      <c r="N21" s="332"/>
      <c r="O21" s="332"/>
      <c r="P21" s="332"/>
      <c r="Q21" s="332"/>
      <c r="R21" s="332"/>
      <c r="S21" s="427"/>
      <c r="T21" s="429"/>
      <c r="U21" s="425"/>
      <c r="V21" s="331"/>
      <c r="W21" s="332"/>
      <c r="X21" s="332"/>
      <c r="Y21" s="332"/>
      <c r="Z21" s="332"/>
      <c r="AA21" s="332"/>
      <c r="AB21" s="332"/>
      <c r="AC21" s="427"/>
      <c r="AD21" s="429"/>
      <c r="AE21" s="425"/>
    </row>
    <row r="22" spans="2:31">
      <c r="B22" s="331"/>
      <c r="C22" s="332"/>
      <c r="D22" s="332"/>
      <c r="E22" s="332"/>
      <c r="F22" s="332"/>
      <c r="G22" s="332"/>
      <c r="H22" s="332"/>
      <c r="I22" s="332"/>
      <c r="J22" s="429"/>
      <c r="K22" s="425"/>
      <c r="L22" s="331"/>
      <c r="M22" s="332"/>
      <c r="N22" s="332"/>
      <c r="O22" s="332"/>
      <c r="P22" s="332"/>
      <c r="Q22" s="332"/>
      <c r="R22" s="332"/>
      <c r="S22" s="427"/>
      <c r="T22" s="429"/>
      <c r="U22" s="425"/>
      <c r="V22" s="331"/>
      <c r="W22" s="332"/>
      <c r="X22" s="332"/>
      <c r="Y22" s="332"/>
      <c r="Z22" s="332"/>
      <c r="AA22" s="332"/>
      <c r="AB22" s="332"/>
      <c r="AC22" s="427"/>
      <c r="AD22" s="429"/>
      <c r="AE22" s="425"/>
    </row>
    <row r="23" spans="2:31">
      <c r="B23" s="331"/>
      <c r="C23" s="332"/>
      <c r="D23" s="332"/>
      <c r="E23" s="332"/>
      <c r="F23" s="332"/>
      <c r="G23" s="332"/>
      <c r="H23" s="332"/>
      <c r="I23" s="332"/>
      <c r="J23" s="429"/>
      <c r="K23" s="425"/>
      <c r="L23" s="331"/>
      <c r="M23" s="332"/>
      <c r="N23" s="332"/>
      <c r="O23" s="332"/>
      <c r="P23" s="332"/>
      <c r="Q23" s="332"/>
      <c r="R23" s="332"/>
      <c r="S23" s="427"/>
      <c r="T23" s="429"/>
      <c r="U23" s="425"/>
      <c r="V23" s="331"/>
      <c r="W23" s="332"/>
      <c r="X23" s="332"/>
      <c r="Y23" s="332"/>
      <c r="Z23" s="332"/>
      <c r="AA23" s="332"/>
      <c r="AB23" s="332"/>
      <c r="AC23" s="427"/>
      <c r="AD23" s="429"/>
      <c r="AE23" s="425"/>
    </row>
    <row r="24" spans="2:31">
      <c r="B24" s="331"/>
      <c r="C24" s="332"/>
      <c r="D24" s="332"/>
      <c r="E24" s="332"/>
      <c r="F24" s="332"/>
      <c r="G24" s="332"/>
      <c r="H24" s="332"/>
      <c r="I24" s="332"/>
      <c r="J24" s="429"/>
      <c r="K24" s="425"/>
      <c r="L24" s="331"/>
      <c r="M24" s="332"/>
      <c r="N24" s="332"/>
      <c r="O24" s="332"/>
      <c r="P24" s="332"/>
      <c r="Q24" s="332"/>
      <c r="R24" s="332"/>
      <c r="S24" s="427"/>
      <c r="T24" s="429"/>
      <c r="U24" s="425"/>
      <c r="V24" s="331"/>
      <c r="W24" s="332"/>
      <c r="X24" s="332"/>
      <c r="Y24" s="332"/>
      <c r="Z24" s="332"/>
      <c r="AA24" s="332"/>
      <c r="AB24" s="332"/>
      <c r="AC24" s="427"/>
      <c r="AD24" s="429"/>
      <c r="AE24" s="425"/>
    </row>
    <row r="25" spans="2:31" ht="15" thickBot="1">
      <c r="B25" s="147"/>
      <c r="C25" s="148"/>
      <c r="D25" s="148"/>
      <c r="E25" s="148"/>
      <c r="F25" s="148"/>
      <c r="G25" s="148"/>
      <c r="H25" s="148"/>
      <c r="I25" s="148"/>
      <c r="J25" s="430"/>
      <c r="K25" s="426"/>
      <c r="L25" s="147"/>
      <c r="M25" s="148"/>
      <c r="N25" s="148"/>
      <c r="O25" s="148"/>
      <c r="P25" s="148"/>
      <c r="Q25" s="148"/>
      <c r="R25" s="148"/>
      <c r="S25" s="149"/>
      <c r="T25" s="430"/>
      <c r="U25" s="426"/>
      <c r="V25" s="147"/>
      <c r="W25" s="148"/>
      <c r="X25" s="148"/>
      <c r="Y25" s="148"/>
      <c r="Z25" s="148"/>
      <c r="AA25" s="148"/>
      <c r="AB25" s="148"/>
      <c r="AC25" s="149"/>
      <c r="AD25" s="430"/>
      <c r="AE25" s="426"/>
    </row>
    <row r="26" spans="2:31" ht="15" thickBot="1">
      <c r="B26" s="321" t="s">
        <v>198</v>
      </c>
      <c r="C26" s="322"/>
      <c r="D26" s="322"/>
      <c r="E26" s="322"/>
      <c r="F26" s="322"/>
      <c r="G26" s="322"/>
      <c r="H26" s="322"/>
      <c r="I26" s="431"/>
      <c r="J26" s="428">
        <v>1</v>
      </c>
      <c r="K26" s="91"/>
      <c r="L26" s="91"/>
      <c r="M26" s="91"/>
      <c r="N26" s="91"/>
      <c r="O26" s="91"/>
      <c r="P26" s="91"/>
      <c r="Q26" s="91"/>
      <c r="R26" s="91"/>
      <c r="S26" s="91"/>
      <c r="T26" s="75">
        <f>+T5*T13</f>
        <v>0.9</v>
      </c>
      <c r="V26" s="91"/>
      <c r="W26" s="91"/>
      <c r="X26" s="91"/>
      <c r="Y26" s="91"/>
      <c r="Z26" s="91"/>
      <c r="AA26" s="91"/>
      <c r="AB26" s="91"/>
      <c r="AC26" s="91"/>
      <c r="AD26" s="75">
        <f>+AD5*AD13</f>
        <v>0</v>
      </c>
    </row>
    <row r="27" spans="2:31">
      <c r="B27" s="370"/>
      <c r="C27" s="371"/>
      <c r="D27" s="371"/>
      <c r="E27" s="371"/>
      <c r="F27" s="371"/>
      <c r="G27" s="371"/>
      <c r="H27" s="371"/>
      <c r="I27" s="371"/>
      <c r="J27" s="429"/>
    </row>
    <row r="28" spans="2:31">
      <c r="B28" s="370"/>
      <c r="C28" s="371"/>
      <c r="D28" s="371"/>
      <c r="E28" s="371"/>
      <c r="F28" s="371"/>
      <c r="G28" s="371"/>
      <c r="H28" s="371"/>
      <c r="I28" s="371"/>
      <c r="J28" s="429"/>
    </row>
    <row r="29" spans="2:31">
      <c r="B29" s="370"/>
      <c r="C29" s="371"/>
      <c r="D29" s="371"/>
      <c r="E29" s="371"/>
      <c r="F29" s="371"/>
      <c r="G29" s="371"/>
      <c r="H29" s="371"/>
      <c r="I29" s="371"/>
      <c r="J29" s="429"/>
    </row>
    <row r="30" spans="2:31" ht="15" thickBot="1">
      <c r="B30" s="329"/>
      <c r="C30" s="330"/>
      <c r="D30" s="330"/>
      <c r="E30" s="330"/>
      <c r="F30" s="330"/>
      <c r="G30" s="330"/>
      <c r="H30" s="330"/>
      <c r="I30" s="330"/>
      <c r="J30" s="430"/>
    </row>
    <row r="31" spans="2:31" ht="15" thickBot="1">
      <c r="B31" s="91"/>
      <c r="C31" s="91"/>
      <c r="D31" s="91"/>
      <c r="E31" s="91"/>
      <c r="F31" s="91"/>
      <c r="G31" s="91"/>
      <c r="H31" s="91"/>
      <c r="I31" s="91"/>
      <c r="J31" s="75">
        <f>+J5*J13*J26</f>
        <v>0.9</v>
      </c>
    </row>
    <row r="32" spans="2:31">
      <c r="B32" s="91"/>
      <c r="C32" s="91"/>
      <c r="D32" s="91"/>
      <c r="E32" s="91"/>
      <c r="F32" s="91"/>
      <c r="G32" s="91"/>
      <c r="H32" s="91"/>
      <c r="I32" s="91"/>
    </row>
    <row r="33" spans="4:23">
      <c r="D33" s="432" t="s">
        <v>199</v>
      </c>
      <c r="E33" s="433"/>
      <c r="F33" s="433"/>
      <c r="G33" s="433"/>
      <c r="H33" s="433"/>
      <c r="I33" s="433"/>
      <c r="J33" s="433"/>
      <c r="K33" s="433"/>
      <c r="L33" s="433"/>
      <c r="M33" s="433"/>
      <c r="N33" s="433"/>
      <c r="O33" s="433"/>
      <c r="P33" s="433"/>
      <c r="Q33" s="433"/>
      <c r="R33" s="433"/>
      <c r="S33" s="433"/>
      <c r="T33" s="433"/>
      <c r="U33" s="433"/>
      <c r="V33" s="433"/>
      <c r="W33" s="433"/>
    </row>
    <row r="34" spans="4:23">
      <c r="D34" s="432"/>
      <c r="E34" s="433"/>
      <c r="F34" s="433"/>
      <c r="G34" s="433"/>
      <c r="H34" s="433"/>
      <c r="I34" s="433"/>
      <c r="J34" s="433"/>
      <c r="K34" s="433"/>
      <c r="L34" s="433"/>
      <c r="M34" s="433"/>
      <c r="N34" s="433"/>
      <c r="O34" s="433"/>
      <c r="P34" s="433"/>
      <c r="Q34" s="433"/>
      <c r="R34" s="433"/>
      <c r="S34" s="433"/>
      <c r="T34" s="433"/>
      <c r="U34" s="433"/>
      <c r="V34" s="433"/>
      <c r="W34" s="433"/>
    </row>
    <row r="35" spans="4:23">
      <c r="D35" s="432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3"/>
      <c r="R35" s="433"/>
      <c r="S35" s="433"/>
      <c r="T35" s="433"/>
      <c r="U35" s="433"/>
      <c r="V35" s="433"/>
      <c r="W35" s="433"/>
    </row>
  </sheetData>
  <mergeCells count="28">
    <mergeCell ref="AE13:AE25"/>
    <mergeCell ref="V14:AC24"/>
    <mergeCell ref="D33:W35"/>
    <mergeCell ref="V3:AC3"/>
    <mergeCell ref="V5:AC5"/>
    <mergeCell ref="AD5:AD12"/>
    <mergeCell ref="V6:AC11"/>
    <mergeCell ref="V13:AC13"/>
    <mergeCell ref="AD13:AD25"/>
    <mergeCell ref="L3:S3"/>
    <mergeCell ref="B5:I5"/>
    <mergeCell ref="B6:I11"/>
    <mergeCell ref="B13:I13"/>
    <mergeCell ref="L5:S5"/>
    <mergeCell ref="L6:S11"/>
    <mergeCell ref="L13:S13"/>
    <mergeCell ref="B27:I30"/>
    <mergeCell ref="J26:J30"/>
    <mergeCell ref="J13:J25"/>
    <mergeCell ref="J5:J12"/>
    <mergeCell ref="B26:I26"/>
    <mergeCell ref="U13:U25"/>
    <mergeCell ref="B3:I3"/>
    <mergeCell ref="L14:S24"/>
    <mergeCell ref="T5:T12"/>
    <mergeCell ref="T13:T25"/>
    <mergeCell ref="B14:I24"/>
    <mergeCell ref="K13:K25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5AB420D4-6C00-4A4F-A527-D755D2409D6C}">
            <xm:f>DATOS!#REF!="NO"</xm:f>
            <x14:dxf>
              <font>
                <color theme="0"/>
              </font>
              <fill>
                <patternFill>
                  <bgColor theme="0"/>
                </patternFill>
              </fill>
              <border>
                <left/>
                <right/>
                <top/>
                <bottom/>
                <vertical/>
                <horizontal/>
              </border>
            </x14:dxf>
          </x14:cfRule>
          <xm:sqref>V3:AE26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07A0A9F17E2C478B25D5510BFCAF12" ma:contentTypeVersion="12" ma:contentTypeDescription="Create a new document." ma:contentTypeScope="" ma:versionID="6601a854f02f122b64f91a50e25eeb77">
  <xsd:schema xmlns:xsd="http://www.w3.org/2001/XMLSchema" xmlns:xs="http://www.w3.org/2001/XMLSchema" xmlns:p="http://schemas.microsoft.com/office/2006/metadata/properties" xmlns:ns2="5fdb232c-cfa8-46d5-9f0e-25b61d36f8e3" xmlns:ns3="d0426228-063c-4d56-8f5d-1f497d9b472f" targetNamespace="http://schemas.microsoft.com/office/2006/metadata/properties" ma:root="true" ma:fieldsID="2fdb40c60efd0242b59559d05299b567" ns2:_="" ns3:_="">
    <xsd:import namespace="5fdb232c-cfa8-46d5-9f0e-25b61d36f8e3"/>
    <xsd:import namespace="d0426228-063c-4d56-8f5d-1f497d9b472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b232c-cfa8-46d5-9f0e-25b61d36f8e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ae4d321-c8de-495d-b6b8-72c9456d3c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26228-063c-4d56-8f5d-1f497d9b472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F U N x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A V Q 3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U N x V C i K R 7 g O A A A A E Q A A A B M A H A B G b 3 J t d W x h c y 9 T Z W N 0 a W 9 u M S 5 t I K I Y A C i g F A A A A A A A A A A A A A A A A A A A A A A A A A A A A C t O T S 7 J z M 9 T C I b Q h t Y A U E s B A i 0 A F A A C A A g A F U N x V G K s O z + j A A A A 9 g A A A B I A A A A A A A A A A A A A A A A A A A A A A E N v b m Z p Z y 9 Q Y W N r Y W d l L n h t b F B L A Q I t A B Q A A g A I A B V D c V Q P y u m r p A A A A O k A A A A T A A A A A A A A A A A A A A A A A O 8 A A A B b Q 2 9 u d G V u d F 9 U e X B l c 1 0 u e G 1 s U E s B A i 0 A F A A C A A g A F U N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C f q d P Q g E t F k l Z h L Q W v Y + g A A A A A A g A A A A A A E G Y A A A A B A A A g A A A A n h k P M 9 h Y L G y c b c t W / 2 u O S w q Q u E A L E Y g X a o w v v K 6 x K / g A A A A A D o A A A A A C A A A g A A A A C 3 i 0 / 0 0 z 6 P A m z O W x e r M 4 w p 8 9 6 S L Y m 1 m C o B 1 l J i S G 3 t p Q A A A A 7 Y C 6 W 4 t V w L L b I W i A s 0 p g 8 A E z H R C j i A t o J h a 9 S V 4 7 Q B q l j j w M / z r f S L V s c v E d M C t w 2 s f V Z I O V x Q + u a G a 6 K d F 0 u R k Q k m l z P x X b C n 7 a t W L L Y 3 5 A A A A A N I T G v w l t B S M g O 8 C n 9 z k U J A Q M b X O N z D t S m B y 2 x B y m v D B P B e + T Z c 4 5 l o 9 B n M R 2 H k V Y 4 4 L / M Q N 4 a g A U F Y V A U 3 h R S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db232c-cfa8-46d5-9f0e-25b61d36f8e3">
      <Terms xmlns="http://schemas.microsoft.com/office/infopath/2007/PartnerControls"/>
    </lcf76f155ced4ddcb4097134ff3c332f>
    <MediaLengthInSeconds xmlns="5fdb232c-cfa8-46d5-9f0e-25b61d36f8e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0463A2-9F8B-4D7C-BD92-F8CE03A9B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db232c-cfa8-46d5-9f0e-25b61d36f8e3"/>
    <ds:schemaRef ds:uri="d0426228-063c-4d56-8f5d-1f497d9b4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5AB2A6-938D-44DC-A27C-F0A286721C3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67512C0-0FB5-4959-9C68-FF2DABAC2003}">
  <ds:schemaRefs>
    <ds:schemaRef ds:uri="http://schemas.microsoft.com/office/2006/metadata/properties"/>
    <ds:schemaRef ds:uri="http://schemas.microsoft.com/office/infopath/2007/PartnerControls"/>
    <ds:schemaRef ds:uri="5fdb232c-cfa8-46d5-9f0e-25b61d36f8e3"/>
  </ds:schemaRefs>
</ds:datastoreItem>
</file>

<file path=customXml/itemProps4.xml><?xml version="1.0" encoding="utf-8"?>
<ds:datastoreItem xmlns:ds="http://schemas.openxmlformats.org/officeDocument/2006/customXml" ds:itemID="{0B518B84-A16C-4D11-8ABA-E8070C771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18</vt:i4>
      </vt:variant>
    </vt:vector>
  </HeadingPairs>
  <TitlesOfParts>
    <vt:vector size="32" baseType="lpstr">
      <vt:lpstr>REFERENCIAS</vt:lpstr>
      <vt:lpstr>Líneas</vt:lpstr>
      <vt:lpstr>DATOS</vt:lpstr>
      <vt:lpstr>infl. temperatura</vt:lpstr>
      <vt:lpstr>INV 1(Tipo 1)</vt:lpstr>
      <vt:lpstr>INV 1(Tipo 2)</vt:lpstr>
      <vt:lpstr>CA</vt:lpstr>
      <vt:lpstr>CDT%</vt:lpstr>
      <vt:lpstr>FACTOR DE CORRECIÓN</vt:lpstr>
      <vt:lpstr>INTENSIDADES</vt:lpstr>
      <vt:lpstr>PROTECCIONES</vt:lpstr>
      <vt:lpstr>BASE DE DATOS</vt:lpstr>
      <vt:lpstr>Hoja2</vt:lpstr>
      <vt:lpstr>Hoja2 (2)</vt:lpstr>
      <vt:lpstr>'INV 1(Tipo 2)'!FABRICANTES_INV</vt:lpstr>
      <vt:lpstr>FABRICANTES_INV</vt:lpstr>
      <vt:lpstr>'INV 1(Tipo 2)'!FABRICANTES_MOD</vt:lpstr>
      <vt:lpstr>FABRICANTES_MOD</vt:lpstr>
      <vt:lpstr>'INV 1(Tipo 2)'!HUAWEI</vt:lpstr>
      <vt:lpstr>HUAWEI</vt:lpstr>
      <vt:lpstr>'INV 1(Tipo 2)'!INGETEAM</vt:lpstr>
      <vt:lpstr>INGETEAM</vt:lpstr>
      <vt:lpstr>'INV 1(Tipo 2)'!INVERSORES</vt:lpstr>
      <vt:lpstr>INVERSORES</vt:lpstr>
      <vt:lpstr>'INV 1(Tipo 2)'!JA_SOLAR</vt:lpstr>
      <vt:lpstr>JA_SOLAR</vt:lpstr>
      <vt:lpstr>'INV 1(Tipo 2)'!MODULOS</vt:lpstr>
      <vt:lpstr>MODULOS</vt:lpstr>
      <vt:lpstr>'INV 1(Tipo 2)'!SMA</vt:lpstr>
      <vt:lpstr>SMA</vt:lpstr>
      <vt:lpstr>'INV 1(Tipo 2)'!SUNGROW</vt:lpstr>
      <vt:lpstr>SUNGROW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</dc:creator>
  <cp:keywords/>
  <dc:description/>
  <cp:lastModifiedBy>J Navarro</cp:lastModifiedBy>
  <cp:revision/>
  <dcterms:created xsi:type="dcterms:W3CDTF">2017-03-21T11:22:07Z</dcterms:created>
  <dcterms:modified xsi:type="dcterms:W3CDTF">2023-09-14T01:34:12Z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0x0101001E07A0A9F17E2C478B25D5510BFCAF12</vt:lpwstr>
  </property>
  <property fmtid="{D5CDD505-2E9C-101B-9397-08002B2CF9AE}" pid="3" name="Order">
    <vt:r8>42850300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