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Data Analysis\Github\Data-analysis-With-Excel\"/>
    </mc:Choice>
  </mc:AlternateContent>
  <xr:revisionPtr revIDLastSave="0" documentId="13_ncr:1_{C0957BE2-07B2-4308-A1E8-B805D5C95AD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Income Statement" sheetId="1" r:id="rId1"/>
    <sheet name="Balance Sheet" sheetId="2" r:id="rId2"/>
    <sheet name="Cash Flow Statement" sheetId="3" r:id="rId3"/>
    <sheet name="Ratio Analysis" sheetId="4" r:id="rId4"/>
    <sheet name="Financial Projection" sheetId="5" r:id="rId5"/>
    <sheet name="Break Even Analysis" sheetId="8" r:id="rId6"/>
  </sheets>
  <definedNames>
    <definedName name="__IntlFixup" hidden="1">TRUE</definedName>
    <definedName name="__IntlFixupTable" hidden="1">#REF!</definedName>
    <definedName name="_COM1">#REF!</definedName>
    <definedName name="_COM2">#REF!</definedName>
    <definedName name="_fix1">#REF!</definedName>
    <definedName name="_SHR1">#REF!</definedName>
    <definedName name="_SHR2">#REF!</definedName>
    <definedName name="_var1">#REF!</definedName>
    <definedName name="Analysis">#REF!</definedName>
    <definedName name="beOrProfit">#REF!</definedName>
    <definedName name="BeOrProfit2">#REF!</definedName>
    <definedName name="beVar">#REF!</definedName>
    <definedName name="chtMonthsLabel">#REF!</definedName>
    <definedName name="chtUnitsLabel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3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8">#REF!</definedName>
    <definedName name="data4">#REF!</definedName>
    <definedName name="Data41">#REF!</definedName>
    <definedName name="Data44">#REF!</definedName>
    <definedName name="Data47">#REF!</definedName>
    <definedName name="data5">#REF!</definedName>
    <definedName name="Data50">#REF!</definedName>
    <definedName name="Data53">#REF!</definedName>
    <definedName name="Data54">#REF!</definedName>
    <definedName name="Data55">#REF!</definedName>
    <definedName name="Data56">#REF!</definedName>
    <definedName name="Data59">#REF!</definedName>
    <definedName name="data6">#REF!</definedName>
    <definedName name="Data62">#REF!</definedName>
    <definedName name="data7">#REF!</definedName>
    <definedName name="data8">#REF!</definedName>
    <definedName name="data9">#REF!</definedName>
    <definedName name="dflt1">#REF!</definedName>
    <definedName name="dflt2">#REF!</definedName>
    <definedName name="dflt3">#REF!</definedName>
    <definedName name="dflt4">#REF!</definedName>
    <definedName name="dflt5">#REF!</definedName>
    <definedName name="dflt6">#REF!</definedName>
    <definedName name="dflt7">#REF!</definedName>
    <definedName name="dflt8">#REF!</definedName>
    <definedName name="display_area_2">#REF!</definedName>
    <definedName name="firstColA">#REF!</definedName>
    <definedName name="fixTot">#REF!</definedName>
    <definedName name="hiddenCol2A">#REF!</definedName>
    <definedName name="hiddenColA">#REF!</definedName>
    <definedName name="NameArea">[0]!NameArea</definedName>
    <definedName name="numCosA">#REF!</definedName>
    <definedName name="numRangeA">#REF!</definedName>
    <definedName name="numUnits">#REF!</definedName>
    <definedName name="productName">#REF!</definedName>
    <definedName name="profit">#REF!</definedName>
    <definedName name="profitAmt">#REF!</definedName>
    <definedName name="salesPerMonth">#REF!</definedName>
    <definedName name="Scenario_Name">#REF!</definedName>
    <definedName name="ScenarioList">#REF!</definedName>
    <definedName name="Table">#REF!</definedName>
    <definedName name="unitMargin">#REF!</definedName>
    <definedName name="unitPrice">#REF!</definedName>
    <definedName name="UnitsLabel">#REF!</definedName>
    <definedName name="UnitsOrDollars">#REF!</definedName>
    <definedName name="varIndex">#REF!</definedName>
    <definedName name="varIndex2">#REF!</definedName>
    <definedName name="vars">#REF!</definedName>
    <definedName name="varTot">#REF!</definedName>
    <definedName name="ZoomFactor">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8" l="1"/>
  <c r="F12" i="8" s="1"/>
  <c r="F10" i="8" l="1"/>
  <c r="H54" i="5"/>
  <c r="F52" i="5"/>
  <c r="E53" i="5"/>
  <c r="D67" i="5"/>
  <c r="E67" i="5"/>
  <c r="F67" i="5"/>
  <c r="G67" i="5"/>
  <c r="C67" i="5"/>
  <c r="E54" i="5"/>
  <c r="G53" i="5"/>
  <c r="F53" i="5"/>
  <c r="D53" i="5"/>
  <c r="C53" i="5"/>
  <c r="G52" i="5"/>
  <c r="E52" i="5"/>
  <c r="D52" i="5"/>
  <c r="C52" i="5"/>
  <c r="G43" i="5"/>
  <c r="F43" i="5"/>
  <c r="E43" i="5"/>
  <c r="D43" i="5"/>
  <c r="C43" i="5"/>
  <c r="G41" i="5"/>
  <c r="F41" i="5"/>
  <c r="E41" i="5"/>
  <c r="D41" i="5"/>
  <c r="C41" i="5"/>
  <c r="F38" i="5"/>
  <c r="G37" i="5"/>
  <c r="F37" i="5"/>
  <c r="E37" i="5"/>
  <c r="D37" i="5"/>
  <c r="C37" i="5"/>
  <c r="H34" i="5"/>
  <c r="E34" i="5" s="1"/>
  <c r="H35" i="5"/>
  <c r="D35" i="5" s="1"/>
  <c r="H36" i="5"/>
  <c r="G36" i="5" s="1"/>
  <c r="H38" i="5"/>
  <c r="E38" i="5" s="1"/>
  <c r="H40" i="5"/>
  <c r="D40" i="5" s="1"/>
  <c r="H42" i="5"/>
  <c r="F42" i="5" s="1"/>
  <c r="H46" i="5"/>
  <c r="D46" i="5" s="1"/>
  <c r="H47" i="5"/>
  <c r="G47" i="5" s="1"/>
  <c r="H48" i="5"/>
  <c r="F48" i="5" s="1"/>
  <c r="D54" i="5"/>
  <c r="G20" i="5"/>
  <c r="F20" i="5"/>
  <c r="E20" i="5"/>
  <c r="D20" i="5"/>
  <c r="C20" i="5"/>
  <c r="G18" i="5"/>
  <c r="F18" i="5"/>
  <c r="E18" i="5"/>
  <c r="D18" i="5"/>
  <c r="C18" i="5"/>
  <c r="G14" i="5"/>
  <c r="G9" i="5"/>
  <c r="E6" i="5"/>
  <c r="H6" i="5"/>
  <c r="D6" i="5" s="1"/>
  <c r="H7" i="5"/>
  <c r="G7" i="5" s="1"/>
  <c r="H9" i="5"/>
  <c r="F9" i="5" s="1"/>
  <c r="H10" i="5"/>
  <c r="E10" i="5" s="1"/>
  <c r="H11" i="5"/>
  <c r="D11" i="5" s="1"/>
  <c r="H12" i="5"/>
  <c r="G12" i="5" s="1"/>
  <c r="H14" i="5"/>
  <c r="F14" i="5" s="1"/>
  <c r="H16" i="5"/>
  <c r="H19" i="5"/>
  <c r="D19" i="5" s="1"/>
  <c r="D14" i="4"/>
  <c r="E14" i="4"/>
  <c r="F14" i="4"/>
  <c r="G14" i="4"/>
  <c r="C14" i="4"/>
  <c r="D5" i="4"/>
  <c r="E5" i="4"/>
  <c r="F5" i="4"/>
  <c r="G5" i="4"/>
  <c r="D6" i="4"/>
  <c r="E6" i="4"/>
  <c r="F6" i="4"/>
  <c r="G6" i="4"/>
  <c r="D7" i="4"/>
  <c r="E7" i="4"/>
  <c r="F7" i="4"/>
  <c r="G7" i="4"/>
  <c r="D9" i="4"/>
  <c r="E9" i="4"/>
  <c r="F9" i="4"/>
  <c r="G9" i="4"/>
  <c r="C9" i="4"/>
  <c r="C7" i="4"/>
  <c r="C6" i="4"/>
  <c r="C5" i="4"/>
  <c r="E35" i="5" l="1"/>
  <c r="E39" i="5" s="1"/>
  <c r="E46" i="5"/>
  <c r="D36" i="5"/>
  <c r="C42" i="5"/>
  <c r="D47" i="5"/>
  <c r="D55" i="5"/>
  <c r="G42" i="5"/>
  <c r="E55" i="5"/>
  <c r="F34" i="5"/>
  <c r="F10" i="5"/>
  <c r="C34" i="5"/>
  <c r="G34" i="5"/>
  <c r="F35" i="5"/>
  <c r="E36" i="5"/>
  <c r="C38" i="5"/>
  <c r="G38" i="5"/>
  <c r="F40" i="5"/>
  <c r="F44" i="5" s="1"/>
  <c r="D42" i="5"/>
  <c r="D44" i="5" s="1"/>
  <c r="F46" i="5"/>
  <c r="E47" i="5"/>
  <c r="D48" i="5"/>
  <c r="F54" i="5"/>
  <c r="F55" i="5" s="1"/>
  <c r="E11" i="5"/>
  <c r="E19" i="5"/>
  <c r="D34" i="5"/>
  <c r="C35" i="5"/>
  <c r="G35" i="5"/>
  <c r="F36" i="5"/>
  <c r="D38" i="5"/>
  <c r="C40" i="5"/>
  <c r="C44" i="5" s="1"/>
  <c r="G40" i="5"/>
  <c r="E42" i="5"/>
  <c r="C46" i="5"/>
  <c r="G46" i="5"/>
  <c r="F47" i="5"/>
  <c r="F49" i="5" s="1"/>
  <c r="E48" i="5"/>
  <c r="C54" i="5"/>
  <c r="C55" i="5" s="1"/>
  <c r="G54" i="5"/>
  <c r="G55" i="5" s="1"/>
  <c r="E40" i="5"/>
  <c r="C48" i="5"/>
  <c r="G48" i="5"/>
  <c r="G49" i="5" s="1"/>
  <c r="C9" i="5"/>
  <c r="C14" i="5"/>
  <c r="C36" i="5"/>
  <c r="C47" i="5"/>
  <c r="D12" i="5"/>
  <c r="F6" i="5"/>
  <c r="E7" i="5"/>
  <c r="E8" i="5" s="1"/>
  <c r="E65" i="5" s="1"/>
  <c r="D9" i="5"/>
  <c r="C10" i="5"/>
  <c r="G10" i="5"/>
  <c r="F11" i="5"/>
  <c r="E12" i="5"/>
  <c r="E13" i="5" s="1"/>
  <c r="E64" i="5" s="1"/>
  <c r="D14" i="5"/>
  <c r="F19" i="5"/>
  <c r="D7" i="5"/>
  <c r="D8" i="5" s="1"/>
  <c r="D65" i="5" s="1"/>
  <c r="C6" i="5"/>
  <c r="G6" i="5"/>
  <c r="F7" i="5"/>
  <c r="E9" i="5"/>
  <c r="D10" i="5"/>
  <c r="C11" i="5"/>
  <c r="G11" i="5"/>
  <c r="F12" i="5"/>
  <c r="F13" i="5" s="1"/>
  <c r="E14" i="5"/>
  <c r="C19" i="5"/>
  <c r="G19" i="5"/>
  <c r="C7" i="5"/>
  <c r="C8" i="5" s="1"/>
  <c r="C65" i="5" s="1"/>
  <c r="C12" i="5"/>
  <c r="F8" i="5"/>
  <c r="F65" i="5" s="1"/>
  <c r="D13" i="5"/>
  <c r="C13" i="5"/>
  <c r="D27" i="2"/>
  <c r="E27" i="2"/>
  <c r="F27" i="2"/>
  <c r="G27" i="2"/>
  <c r="C27" i="2"/>
  <c r="D10" i="2"/>
  <c r="E10" i="2"/>
  <c r="F10" i="2"/>
  <c r="G10" i="2"/>
  <c r="C10" i="2"/>
  <c r="D13" i="1"/>
  <c r="D15" i="1" s="1"/>
  <c r="D17" i="1" s="1"/>
  <c r="D19" i="1" s="1"/>
  <c r="E13" i="1"/>
  <c r="E15" i="1" s="1"/>
  <c r="E17" i="1" s="1"/>
  <c r="E19" i="1" s="1"/>
  <c r="F13" i="1"/>
  <c r="F15" i="1" s="1"/>
  <c r="F17" i="1" s="1"/>
  <c r="F19" i="1" s="1"/>
  <c r="G13" i="1"/>
  <c r="G15" i="1" s="1"/>
  <c r="G17" i="1" s="1"/>
  <c r="G19" i="1" s="1"/>
  <c r="C13" i="1"/>
  <c r="C15" i="1" s="1"/>
  <c r="C17" i="1" s="1"/>
  <c r="C19" i="1" s="1"/>
  <c r="D8" i="1"/>
  <c r="E8" i="1"/>
  <c r="F8" i="1"/>
  <c r="G8" i="1"/>
  <c r="C8" i="1"/>
  <c r="G44" i="5" l="1"/>
  <c r="C49" i="5"/>
  <c r="D49" i="5"/>
  <c r="D50" i="5" s="1"/>
  <c r="D56" i="5" s="1"/>
  <c r="E69" i="5"/>
  <c r="E70" i="5"/>
  <c r="E11" i="4"/>
  <c r="E12" i="4"/>
  <c r="E44" i="5"/>
  <c r="E45" i="5" s="1"/>
  <c r="F50" i="5"/>
  <c r="F56" i="5" s="1"/>
  <c r="G11" i="4"/>
  <c r="G12" i="4"/>
  <c r="F11" i="4"/>
  <c r="F12" i="4"/>
  <c r="C12" i="4"/>
  <c r="C11" i="4"/>
  <c r="D11" i="4"/>
  <c r="D12" i="4"/>
  <c r="D15" i="5"/>
  <c r="D64" i="5"/>
  <c r="C15" i="5"/>
  <c r="C64" i="5"/>
  <c r="F15" i="5"/>
  <c r="F64" i="5"/>
  <c r="G50" i="5"/>
  <c r="G56" i="5" s="1"/>
  <c r="C50" i="5"/>
  <c r="C56" i="5" s="1"/>
  <c r="D39" i="5"/>
  <c r="C39" i="5"/>
  <c r="E15" i="5"/>
  <c r="E49" i="5"/>
  <c r="E50" i="5" s="1"/>
  <c r="E56" i="5" s="1"/>
  <c r="G39" i="5"/>
  <c r="F39" i="5"/>
  <c r="E16" i="5"/>
  <c r="E17" i="5" s="1"/>
  <c r="E21" i="5" s="1"/>
  <c r="E66" i="5" s="1"/>
  <c r="F16" i="5"/>
  <c r="F17" i="5" s="1"/>
  <c r="F21" i="5" s="1"/>
  <c r="F66" i="5" s="1"/>
  <c r="C16" i="5"/>
  <c r="C17" i="5" s="1"/>
  <c r="C21" i="5" s="1"/>
  <c r="C66" i="5" s="1"/>
  <c r="D16" i="5"/>
  <c r="D17" i="5" s="1"/>
  <c r="D21" i="5" s="1"/>
  <c r="D66" i="5" s="1"/>
  <c r="G13" i="5"/>
  <c r="G8" i="5"/>
  <c r="G65" i="5" s="1"/>
  <c r="D72" i="5" l="1"/>
  <c r="D45" i="5"/>
  <c r="D69" i="5"/>
  <c r="D70" i="5"/>
  <c r="E72" i="5"/>
  <c r="F45" i="5"/>
  <c r="F69" i="5"/>
  <c r="F70" i="5"/>
  <c r="C45" i="5"/>
  <c r="C69" i="5"/>
  <c r="C70" i="5"/>
  <c r="F72" i="5"/>
  <c r="G45" i="5"/>
  <c r="G69" i="5"/>
  <c r="G70" i="5"/>
  <c r="G72" i="5"/>
  <c r="C72" i="5"/>
  <c r="G15" i="5"/>
  <c r="G64" i="5"/>
  <c r="C22" i="5"/>
  <c r="C26" i="5"/>
  <c r="C25" i="5"/>
  <c r="D26" i="5"/>
  <c r="D22" i="5"/>
  <c r="D63" i="5" s="1"/>
  <c r="D25" i="5"/>
  <c r="E22" i="5"/>
  <c r="E63" i="5" s="1"/>
  <c r="E26" i="5"/>
  <c r="E25" i="5"/>
  <c r="F25" i="5"/>
  <c r="F22" i="5"/>
  <c r="F63" i="5" s="1"/>
  <c r="F26" i="5"/>
  <c r="G16" i="5"/>
  <c r="G17" i="5" s="1"/>
  <c r="G21" i="5" s="1"/>
  <c r="G66" i="5" s="1"/>
  <c r="C63" i="5" l="1"/>
  <c r="G26" i="5"/>
  <c r="G25" i="5"/>
  <c r="G22" i="5"/>
  <c r="G63" i="5" s="1"/>
</calcChain>
</file>

<file path=xl/sharedStrings.xml><?xml version="1.0" encoding="utf-8"?>
<sst xmlns="http://schemas.openxmlformats.org/spreadsheetml/2006/main" count="212" uniqueCount="119">
  <si>
    <t>2017</t>
  </si>
  <si>
    <t>2018</t>
  </si>
  <si>
    <t>2019</t>
  </si>
  <si>
    <t>2020</t>
  </si>
  <si>
    <t>2021</t>
  </si>
  <si>
    <r>
      <rPr>
        <sz val="9"/>
        <rFont val="Arial"/>
        <family val="2"/>
      </rPr>
      <t>Revenue</t>
    </r>
  </si>
  <si>
    <r>
      <rPr>
        <sz val="9"/>
        <rFont val="Arial"/>
        <family val="2"/>
      </rPr>
      <t>Cost Of Goods Sold</t>
    </r>
  </si>
  <si>
    <r>
      <rPr>
        <sz val="9"/>
        <rFont val="Arial"/>
        <family val="2"/>
      </rPr>
      <t>Research And Development Expenses</t>
    </r>
  </si>
  <si>
    <r>
      <rPr>
        <sz val="9"/>
        <rFont val="Arial"/>
        <family val="2"/>
      </rPr>
      <t>SG&amp;A Expenses</t>
    </r>
  </si>
  <si>
    <r>
      <rPr>
        <sz val="9"/>
        <rFont val="Arial"/>
        <family val="2"/>
      </rPr>
      <t>Other Operating Income Or Expenses</t>
    </r>
  </si>
  <si>
    <r>
      <rPr>
        <sz val="9"/>
        <rFont val="Arial"/>
        <family val="2"/>
      </rPr>
      <t>Operating Expenses</t>
    </r>
  </si>
  <si>
    <r>
      <rPr>
        <sz val="9"/>
        <rFont val="Arial"/>
        <family val="2"/>
      </rPr>
      <t>Total Non-Operating Income/Expense</t>
    </r>
  </si>
  <si>
    <r>
      <rPr>
        <sz val="9"/>
        <rFont val="Arial"/>
        <family val="2"/>
      </rPr>
      <t>Pre-Tax Income</t>
    </r>
  </si>
  <si>
    <r>
      <rPr>
        <sz val="9"/>
        <rFont val="Arial"/>
        <family val="2"/>
      </rPr>
      <t>Income Taxes</t>
    </r>
  </si>
  <si>
    <r>
      <rPr>
        <sz val="9"/>
        <rFont val="Arial"/>
        <family val="2"/>
      </rPr>
      <t>Income After Taxes</t>
    </r>
  </si>
  <si>
    <r>
      <rPr>
        <sz val="9"/>
        <rFont val="Arial"/>
        <family val="2"/>
      </rPr>
      <t>Other Income</t>
    </r>
  </si>
  <si>
    <r>
      <rPr>
        <sz val="9"/>
        <rFont val="Arial"/>
        <family val="2"/>
      </rPr>
      <t>Income From Continuous Operations</t>
    </r>
  </si>
  <si>
    <r>
      <rPr>
        <sz val="9"/>
        <rFont val="Arial"/>
        <family val="2"/>
      </rPr>
      <t>Income From Discontinued Operations</t>
    </r>
  </si>
  <si>
    <r>
      <rPr>
        <sz val="9"/>
        <rFont val="Arial"/>
        <family val="2"/>
      </rPr>
      <t>EBITDA</t>
    </r>
  </si>
  <si>
    <r>
      <rPr>
        <sz val="9"/>
        <rFont val="Arial"/>
        <family val="2"/>
      </rPr>
      <t>EBIT</t>
    </r>
  </si>
  <si>
    <r>
      <rPr>
        <sz val="9"/>
        <rFont val="Arial"/>
        <family val="2"/>
      </rPr>
      <t>Basic Shares Outstanding</t>
    </r>
  </si>
  <si>
    <r>
      <rPr>
        <sz val="9"/>
        <rFont val="Arial"/>
        <family val="2"/>
      </rPr>
      <t>Shares Outstanding</t>
    </r>
  </si>
  <si>
    <r>
      <rPr>
        <sz val="9"/>
        <rFont val="Arial"/>
        <family val="2"/>
      </rPr>
      <t>Basic EPS</t>
    </r>
  </si>
  <si>
    <r>
      <rPr>
        <sz val="9"/>
        <rFont val="Arial"/>
        <family val="2"/>
      </rPr>
      <t>EPS - Earnings Per Share</t>
    </r>
  </si>
  <si>
    <t>Millions of US $ except per share data</t>
  </si>
  <si>
    <r>
      <rPr>
        <sz val="9"/>
        <rFont val="Arial"/>
        <family val="2"/>
      </rPr>
      <t>Cash On Hand</t>
    </r>
  </si>
  <si>
    <r>
      <rPr>
        <sz val="9"/>
        <rFont val="Arial"/>
        <family val="2"/>
      </rPr>
      <t>Receivables</t>
    </r>
  </si>
  <si>
    <r>
      <rPr>
        <sz val="9"/>
        <rFont val="Arial"/>
        <family val="2"/>
      </rPr>
      <t>Inventory</t>
    </r>
  </si>
  <si>
    <r>
      <rPr>
        <sz val="9"/>
        <rFont val="Arial"/>
        <family val="2"/>
      </rPr>
      <t>Pre-Paid Expenses</t>
    </r>
  </si>
  <si>
    <r>
      <rPr>
        <sz val="9"/>
        <rFont val="Arial"/>
        <family val="2"/>
      </rPr>
      <t>Other Current Assets</t>
    </r>
  </si>
  <si>
    <r>
      <rPr>
        <sz val="9"/>
        <rFont val="Arial"/>
        <family val="2"/>
      </rPr>
      <t>Property,Plant,And  Equipment</t>
    </r>
  </si>
  <si>
    <r>
      <rPr>
        <sz val="9"/>
        <rFont val="Arial"/>
        <family val="2"/>
      </rPr>
      <t>Long-Term Investments</t>
    </r>
  </si>
  <si>
    <r>
      <rPr>
        <sz val="9"/>
        <rFont val="Arial"/>
        <family val="2"/>
      </rPr>
      <t>Goodwill And Intangible Assets</t>
    </r>
  </si>
  <si>
    <r>
      <rPr>
        <sz val="9"/>
        <rFont val="Arial"/>
        <family val="2"/>
      </rPr>
      <t>Other Long-Term Assets</t>
    </r>
  </si>
  <si>
    <r>
      <rPr>
        <sz val="9"/>
        <rFont val="Arial"/>
        <family val="2"/>
      </rPr>
      <t>Total Long-Term Assets</t>
    </r>
  </si>
  <si>
    <r>
      <rPr>
        <sz val="9"/>
        <rFont val="Arial"/>
        <family val="2"/>
      </rPr>
      <t>Total Current Liabilities</t>
    </r>
  </si>
  <si>
    <r>
      <rPr>
        <sz val="9"/>
        <rFont val="Arial"/>
        <family val="2"/>
      </rPr>
      <t>Long Term Debt</t>
    </r>
  </si>
  <si>
    <r>
      <rPr>
        <sz val="9"/>
        <rFont val="Arial"/>
        <family val="2"/>
      </rPr>
      <t>Other Non-Current Liabilities</t>
    </r>
  </si>
  <si>
    <r>
      <rPr>
        <sz val="9"/>
        <rFont val="Arial"/>
        <family val="2"/>
      </rPr>
      <t>Total Long Term Liabilities</t>
    </r>
  </si>
  <si>
    <r>
      <rPr>
        <sz val="9"/>
        <rFont val="Arial"/>
        <family val="2"/>
      </rPr>
      <t>Common Stock Net</t>
    </r>
  </si>
  <si>
    <r>
      <rPr>
        <sz val="9"/>
        <rFont val="Arial"/>
        <family val="2"/>
      </rPr>
      <t>Retained Earnings (Accumulated Deficit)</t>
    </r>
  </si>
  <si>
    <r>
      <rPr>
        <sz val="9"/>
        <rFont val="Arial"/>
        <family val="2"/>
      </rPr>
      <t>Comprehensive Income</t>
    </r>
  </si>
  <si>
    <r>
      <rPr>
        <sz val="9"/>
        <rFont val="Arial"/>
        <family val="2"/>
      </rPr>
      <t>Other Share Holders Equity</t>
    </r>
  </si>
  <si>
    <r>
      <rPr>
        <sz val="9"/>
        <rFont val="Times New Roman"/>
        <family val="1"/>
      </rPr>
      <t xml:space="preserve">Millions of US </t>
    </r>
    <r>
      <rPr>
        <sz val="10"/>
        <rFont val="Times New Roman"/>
        <family val="1"/>
      </rPr>
      <t xml:space="preserve">$ </t>
    </r>
    <r>
      <rPr>
        <sz val="9"/>
        <rFont val="Arial"/>
        <family val="2"/>
      </rPr>
      <t>e</t>
    </r>
    <r>
      <rPr>
        <sz val="9"/>
        <rFont val="Times New Roman"/>
        <family val="1"/>
      </rPr>
      <t>xcept per share data</t>
    </r>
  </si>
  <si>
    <r>
      <rPr>
        <sz val="9"/>
        <rFont val="Arial"/>
        <family val="2"/>
      </rPr>
      <t>Total DepreciationAnd Amortization - Cash Flow</t>
    </r>
  </si>
  <si>
    <r>
      <rPr>
        <sz val="9"/>
        <rFont val="Arial"/>
        <family val="2"/>
      </rPr>
      <t>Other Non-Cash Items</t>
    </r>
  </si>
  <si>
    <r>
      <rPr>
        <sz val="9"/>
        <rFont val="Arial"/>
        <family val="2"/>
      </rPr>
      <t>Total Non-Cash Items</t>
    </r>
  </si>
  <si>
    <r>
      <rPr>
        <sz val="9"/>
        <rFont val="Arial"/>
        <family val="2"/>
      </rPr>
      <t>Change InAccounts Receivable</t>
    </r>
  </si>
  <si>
    <r>
      <rPr>
        <sz val="9"/>
        <rFont val="Arial"/>
        <family val="2"/>
      </rPr>
      <t>Change In Inventories</t>
    </r>
  </si>
  <si>
    <r>
      <rPr>
        <sz val="9"/>
        <rFont val="Arial"/>
        <family val="2"/>
      </rPr>
      <t>Change InAccounts Payable</t>
    </r>
  </si>
  <si>
    <r>
      <rPr>
        <sz val="9"/>
        <rFont val="Arial"/>
        <family val="2"/>
      </rPr>
      <t>Change InAssets/liabilities</t>
    </r>
  </si>
  <si>
    <r>
      <rPr>
        <sz val="9"/>
        <rFont val="Arial"/>
        <family val="2"/>
      </rPr>
      <t>Total Change InAssets/liabilities</t>
    </r>
  </si>
  <si>
    <r>
      <rPr>
        <sz val="9"/>
        <rFont val="Arial"/>
        <family val="2"/>
      </rPr>
      <t>Net Change In Property,Plant,And Equipment</t>
    </r>
  </si>
  <si>
    <r>
      <rPr>
        <sz val="9"/>
        <rFont val="Arial"/>
        <family val="2"/>
      </rPr>
      <t>Net Change In Intangible Assets</t>
    </r>
  </si>
  <si>
    <r>
      <rPr>
        <sz val="9"/>
        <rFont val="Arial"/>
        <family val="2"/>
      </rPr>
      <t>Net Acquisitions/Divestitures</t>
    </r>
  </si>
  <si>
    <r>
      <rPr>
        <sz val="9"/>
        <rFont val="Arial"/>
        <family val="2"/>
      </rPr>
      <t>Net Change In Short-term Investments</t>
    </r>
  </si>
  <si>
    <r>
      <rPr>
        <sz val="9"/>
        <rFont val="Arial"/>
        <family val="2"/>
      </rPr>
      <t>Net Change In Long-Term Investments</t>
    </r>
  </si>
  <si>
    <r>
      <rPr>
        <sz val="9"/>
        <rFont val="Arial"/>
        <family val="2"/>
      </rPr>
      <t>Net Change In Investments - Total</t>
    </r>
  </si>
  <si>
    <r>
      <rPr>
        <sz val="9"/>
        <rFont val="Arial"/>
        <family val="2"/>
      </rPr>
      <t>Investing Activities - Other</t>
    </r>
  </si>
  <si>
    <r>
      <rPr>
        <sz val="9"/>
        <rFont val="Arial"/>
        <family val="2"/>
      </rPr>
      <t>Net Long-Term Debt</t>
    </r>
  </si>
  <si>
    <r>
      <rPr>
        <sz val="9"/>
        <rFont val="Arial"/>
        <family val="2"/>
      </rPr>
      <t>Net Current Debt</t>
    </r>
  </si>
  <si>
    <r>
      <rPr>
        <sz val="9"/>
        <rFont val="Arial"/>
        <family val="2"/>
      </rPr>
      <t>Debt Issuance/Retirement Net - Total</t>
    </r>
  </si>
  <si>
    <r>
      <rPr>
        <sz val="9"/>
        <rFont val="Arial"/>
        <family val="2"/>
      </rPr>
      <t>Net Common Equity Issued/Repurchased</t>
    </r>
  </si>
  <si>
    <r>
      <rPr>
        <sz val="9"/>
        <rFont val="Arial"/>
        <family val="2"/>
      </rPr>
      <t>Net Total Equity Issued/Repurchased</t>
    </r>
  </si>
  <si>
    <r>
      <rPr>
        <sz val="9"/>
        <rFont val="Arial"/>
        <family val="2"/>
      </rPr>
      <t>Total Common And Preferred Stock Dividends Paid</t>
    </r>
  </si>
  <si>
    <r>
      <rPr>
        <sz val="9"/>
        <rFont val="Arial"/>
        <family val="2"/>
      </rPr>
      <t>FinancialActivities - Other</t>
    </r>
  </si>
  <si>
    <r>
      <rPr>
        <sz val="9"/>
        <rFont val="Arial"/>
        <family val="2"/>
      </rPr>
      <t>Stock-Based Compensation</t>
    </r>
  </si>
  <si>
    <r>
      <rPr>
        <sz val="9"/>
        <rFont val="Arial"/>
        <family val="2"/>
      </rPr>
      <t>Common Stock Dividends Paid</t>
    </r>
  </si>
  <si>
    <t>Gross Profit</t>
  </si>
  <si>
    <t>Operating Income</t>
  </si>
  <si>
    <t>Net Income</t>
  </si>
  <si>
    <t>Hikma Pharmaceuticals PLC</t>
  </si>
  <si>
    <t>Year Ended at December, 31</t>
  </si>
  <si>
    <t>Income Statement</t>
  </si>
  <si>
    <t>Balance Sheet</t>
  </si>
  <si>
    <t>Total Current Assets</t>
  </si>
  <si>
    <t>Total Assets</t>
  </si>
  <si>
    <t>Total Liabil ties</t>
  </si>
  <si>
    <t>Share Holder Equity</t>
  </si>
  <si>
    <t>Total Liabil ties And Share Holders Equity</t>
  </si>
  <si>
    <t>Cash Flow From Operating Activities</t>
  </si>
  <si>
    <t>Cash Flow From Investing Activities</t>
  </si>
  <si>
    <t>Cash Flow From Financial Activities</t>
  </si>
  <si>
    <t>Net Cash Flow</t>
  </si>
  <si>
    <t>Cash Flow Statement</t>
  </si>
  <si>
    <t>Ratio Analysis</t>
  </si>
  <si>
    <t>Particulars</t>
  </si>
  <si>
    <t>Profitability</t>
  </si>
  <si>
    <t>ROCE</t>
  </si>
  <si>
    <t>OPM</t>
  </si>
  <si>
    <t>GPM</t>
  </si>
  <si>
    <t>NPM</t>
  </si>
  <si>
    <t>Asset TR</t>
  </si>
  <si>
    <t>Liquidity</t>
  </si>
  <si>
    <t>Current Ratio</t>
  </si>
  <si>
    <t>Quick Ratio</t>
  </si>
  <si>
    <t>Capital Structure Ratio</t>
  </si>
  <si>
    <t>Debt/Equity Ratio</t>
  </si>
  <si>
    <t>2022</t>
  </si>
  <si>
    <t>2023</t>
  </si>
  <si>
    <t>2024</t>
  </si>
  <si>
    <t>2025</t>
  </si>
  <si>
    <t>2026</t>
  </si>
  <si>
    <t>CAGR</t>
  </si>
  <si>
    <t>Trendline</t>
  </si>
  <si>
    <t>Shareholders' Equity</t>
  </si>
  <si>
    <t>Total Liabilties</t>
  </si>
  <si>
    <t>Total Liabilties And Share Holders Equity</t>
  </si>
  <si>
    <t>Net Income/ loss</t>
  </si>
  <si>
    <t xml:space="preserve">Units Required for Break-Even:  </t>
  </si>
  <si>
    <t xml:space="preserve">Dollar Sales Required for Break-Even:  </t>
  </si>
  <si>
    <t xml:space="preserve">Variable Costs Per Unit:  </t>
  </si>
  <si>
    <t xml:space="preserve">Total Variable Costs:  </t>
  </si>
  <si>
    <t xml:space="preserve">Total Fixed Costs:  </t>
  </si>
  <si>
    <t>Break Even Analysis</t>
  </si>
  <si>
    <t>Assumption:</t>
  </si>
  <si>
    <t xml:space="preserve">Selling Price Per Unit:  </t>
  </si>
  <si>
    <t>Inputs: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</si>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</sst>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9"/>
      <name val="Arial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9"/>
      <name val="Arial"/>
      <family val="1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26"/>
      </patternFill>
    </fill>
  </fills>
  <borders count="2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3" fillId="3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97">
    <xf numFmtId="0" fontId="0" fillId="0" borderId="0" xfId="0"/>
    <xf numFmtId="44" fontId="0" fillId="0" borderId="0" xfId="0" applyNumberFormat="1"/>
    <xf numFmtId="0" fontId="9" fillId="2" borderId="4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2" borderId="6" xfId="0" applyFill="1" applyBorder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7" xfId="0" applyFill="1" applyBorder="1" applyAlignment="1">
      <alignment horizontal="centerContinuous"/>
    </xf>
    <xf numFmtId="0" fontId="9" fillId="2" borderId="6" xfId="0" applyFont="1" applyFill="1" applyBorder="1" applyAlignment="1">
      <alignment horizontal="centerContinuous"/>
    </xf>
    <xf numFmtId="0" fontId="8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44" fontId="2" fillId="0" borderId="0" xfId="0" applyNumberFormat="1" applyFont="1" applyAlignment="1">
      <alignment horizontal="left" vertical="center"/>
    </xf>
    <xf numFmtId="44" fontId="5" fillId="0" borderId="2" xfId="0" applyNumberFormat="1" applyFont="1" applyBorder="1" applyAlignment="1">
      <alignment horizontal="left" vertical="center"/>
    </xf>
    <xf numFmtId="44" fontId="5" fillId="0" borderId="3" xfId="0" applyNumberFormat="1" applyFont="1" applyBorder="1" applyAlignment="1">
      <alignment horizontal="left" vertical="center"/>
    </xf>
    <xf numFmtId="44" fontId="3" fillId="0" borderId="0" xfId="0" applyNumberFormat="1" applyFont="1" applyAlignment="1">
      <alignment horizontal="left" vertical="center"/>
    </xf>
    <xf numFmtId="44" fontId="4" fillId="0" borderId="2" xfId="0" applyNumberFormat="1" applyFont="1" applyBorder="1" applyAlignment="1">
      <alignment horizontal="center" vertical="top"/>
    </xf>
    <xf numFmtId="0" fontId="5" fillId="0" borderId="2" xfId="0" applyFont="1" applyBorder="1" applyAlignment="1">
      <alignment horizontal="right" vertical="top"/>
    </xf>
    <xf numFmtId="0" fontId="5" fillId="0" borderId="3" xfId="0" applyFont="1" applyBorder="1" applyAlignment="1">
      <alignment horizontal="right" vertical="top"/>
    </xf>
    <xf numFmtId="0" fontId="5" fillId="0" borderId="0" xfId="0" applyFont="1" applyAlignment="1">
      <alignment horizontal="left" vertical="top"/>
    </xf>
    <xf numFmtId="0" fontId="5" fillId="0" borderId="13" xfId="0" applyFont="1" applyBorder="1" applyAlignment="1">
      <alignment horizontal="right" vertical="top"/>
    </xf>
    <xf numFmtId="44" fontId="5" fillId="0" borderId="13" xfId="0" applyNumberFormat="1" applyFont="1" applyBorder="1" applyAlignment="1">
      <alignment horizontal="right" vertical="center"/>
    </xf>
    <xf numFmtId="44" fontId="5" fillId="0" borderId="2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" fillId="0" borderId="6" xfId="0" applyFont="1" applyBorder="1" applyAlignment="1">
      <alignment horizontal="left" vertical="top" indent="1"/>
    </xf>
    <xf numFmtId="44" fontId="2" fillId="0" borderId="0" xfId="0" applyNumberFormat="1" applyFont="1" applyAlignment="1">
      <alignment horizontal="left" vertical="top"/>
    </xf>
    <xf numFmtId="44" fontId="2" fillId="0" borderId="7" xfId="0" applyNumberFormat="1" applyFont="1" applyBorder="1" applyAlignment="1">
      <alignment horizontal="left" vertical="top"/>
    </xf>
    <xf numFmtId="0" fontId="5" fillId="0" borderId="4" xfId="0" applyFont="1" applyBorder="1" applyAlignment="1">
      <alignment horizontal="right" vertical="top" indent="1"/>
    </xf>
    <xf numFmtId="44" fontId="5" fillId="0" borderId="2" xfId="0" applyNumberFormat="1" applyFont="1" applyBorder="1" applyAlignment="1">
      <alignment horizontal="left" vertical="top"/>
    </xf>
    <xf numFmtId="44" fontId="5" fillId="0" borderId="5" xfId="0" applyNumberFormat="1" applyFont="1" applyBorder="1" applyAlignment="1">
      <alignment horizontal="left" vertical="top"/>
    </xf>
    <xf numFmtId="44" fontId="3" fillId="0" borderId="0" xfId="0" applyNumberFormat="1" applyFont="1" applyAlignment="1">
      <alignment horizontal="left" vertical="top"/>
    </xf>
    <xf numFmtId="44" fontId="3" fillId="0" borderId="7" xfId="0" applyNumberFormat="1" applyFont="1" applyBorder="1" applyAlignment="1">
      <alignment horizontal="left" vertical="top"/>
    </xf>
    <xf numFmtId="0" fontId="5" fillId="0" borderId="8" xfId="0" applyFont="1" applyBorder="1" applyAlignment="1">
      <alignment horizontal="right" vertical="center" indent="1"/>
    </xf>
    <xf numFmtId="44" fontId="5" fillId="0" borderId="9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left" vertical="top" indent="1"/>
    </xf>
    <xf numFmtId="44" fontId="2" fillId="0" borderId="11" xfId="0" applyNumberFormat="1" applyFont="1" applyBorder="1" applyAlignment="1">
      <alignment horizontal="left" vertical="top"/>
    </xf>
    <xf numFmtId="44" fontId="2" fillId="0" borderId="12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 indent="1"/>
    </xf>
    <xf numFmtId="0" fontId="5" fillId="0" borderId="2" xfId="0" applyFont="1" applyBorder="1" applyAlignment="1">
      <alignment horizontal="right" vertical="top" indent="1"/>
    </xf>
    <xf numFmtId="0" fontId="8" fillId="0" borderId="0" xfId="0" applyFont="1" applyAlignment="1">
      <alignment horizontal="left" vertical="top"/>
    </xf>
    <xf numFmtId="44" fontId="4" fillId="0" borderId="0" xfId="0" applyNumberFormat="1" applyFont="1" applyAlignment="1">
      <alignment horizontal="left" vertical="top"/>
    </xf>
    <xf numFmtId="44" fontId="5" fillId="0" borderId="3" xfId="0" applyNumberFormat="1" applyFont="1" applyBorder="1" applyAlignment="1">
      <alignment horizontal="right" vertical="center"/>
    </xf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 indent="2"/>
    </xf>
    <xf numFmtId="0" fontId="0" fillId="0" borderId="0" xfId="0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3" fillId="0" borderId="0" xfId="0" applyFont="1"/>
    <xf numFmtId="0" fontId="9" fillId="0" borderId="4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9" fillId="0" borderId="6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12" fillId="0" borderId="7" xfId="0" applyFont="1" applyBorder="1" applyAlignment="1">
      <alignment horizontal="centerContinuous"/>
    </xf>
    <xf numFmtId="44" fontId="3" fillId="0" borderId="12" xfId="0" applyNumberFormat="1" applyFont="1" applyBorder="1" applyAlignment="1">
      <alignment horizontal="left" vertical="top"/>
    </xf>
    <xf numFmtId="0" fontId="0" fillId="2" borderId="10" xfId="0" applyFill="1" applyBorder="1" applyAlignment="1">
      <alignment horizontal="centerContinuous"/>
    </xf>
    <xf numFmtId="0" fontId="0" fillId="2" borderId="11" xfId="0" applyFill="1" applyBorder="1" applyAlignment="1">
      <alignment horizontal="centerContinuous"/>
    </xf>
    <xf numFmtId="0" fontId="0" fillId="2" borderId="12" xfId="0" applyFill="1" applyBorder="1" applyAlignment="1">
      <alignment horizontal="centerContinuous"/>
    </xf>
    <xf numFmtId="2" fontId="3" fillId="0" borderId="14" xfId="0" applyNumberFormat="1" applyFont="1" applyBorder="1" applyAlignment="1">
      <alignment horizontal="center" vertical="top"/>
    </xf>
    <xf numFmtId="2" fontId="3" fillId="0" borderId="15" xfId="0" applyNumberFormat="1" applyFont="1" applyBorder="1" applyAlignment="1">
      <alignment horizontal="center" vertical="top"/>
    </xf>
    <xf numFmtId="2" fontId="3" fillId="0" borderId="16" xfId="0" applyNumberFormat="1" applyFont="1" applyBorder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2" fontId="3" fillId="0" borderId="11" xfId="0" applyNumberFormat="1" applyFont="1" applyBorder="1" applyAlignment="1">
      <alignment horizontal="center" vertical="top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top" indent="1"/>
    </xf>
    <xf numFmtId="0" fontId="13" fillId="4" borderId="0" xfId="0" applyFont="1" applyFill="1"/>
    <xf numFmtId="0" fontId="13" fillId="6" borderId="0" xfId="0" applyFont="1" applyFill="1" applyAlignment="1">
      <alignment horizontal="right"/>
    </xf>
    <xf numFmtId="0" fontId="16" fillId="0" borderId="0" xfId="0" applyFont="1"/>
    <xf numFmtId="0" fontId="13" fillId="6" borderId="6" xfId="0" applyFont="1" applyFill="1" applyBorder="1" applyAlignment="1">
      <alignment horizontal="right"/>
    </xf>
    <xf numFmtId="0" fontId="13" fillId="4" borderId="0" xfId="0" applyFont="1" applyFill="1" applyAlignment="1">
      <alignment horizontal="right"/>
    </xf>
    <xf numFmtId="0" fontId="0" fillId="0" borderId="7" xfId="0" applyBorder="1"/>
    <xf numFmtId="0" fontId="13" fillId="4" borderId="10" xfId="0" applyFont="1" applyFill="1" applyBorder="1"/>
    <xf numFmtId="0" fontId="13" fillId="4" borderId="11" xfId="0" applyFont="1" applyFill="1" applyBorder="1" applyAlignment="1">
      <alignment horizontal="right"/>
    </xf>
    <xf numFmtId="0" fontId="0" fillId="0" borderId="11" xfId="0" applyBorder="1"/>
    <xf numFmtId="0" fontId="13" fillId="6" borderId="11" xfId="0" applyFont="1" applyFill="1" applyBorder="1" applyAlignment="1">
      <alignment horizontal="right"/>
    </xf>
    <xf numFmtId="0" fontId="13" fillId="4" borderId="0" xfId="0" applyFont="1" applyFill="1" applyAlignment="1">
      <alignment horizontal="left"/>
    </xf>
    <xf numFmtId="0" fontId="0" fillId="0" borderId="2" xfId="0" applyBorder="1"/>
    <xf numFmtId="0" fontId="0" fillId="0" borderId="5" xfId="0" applyBorder="1"/>
    <xf numFmtId="14" fontId="13" fillId="4" borderId="6" xfId="0" applyNumberFormat="1" applyFont="1" applyFill="1" applyBorder="1" applyAlignment="1">
      <alignment horizontal="right"/>
    </xf>
    <xf numFmtId="165" fontId="13" fillId="5" borderId="17" xfId="0" applyNumberFormat="1" applyFont="1" applyFill="1" applyBorder="1" applyAlignment="1">
      <alignment horizontal="right"/>
    </xf>
    <xf numFmtId="165" fontId="13" fillId="5" borderId="18" xfId="0" applyNumberFormat="1" applyFont="1" applyFill="1" applyBorder="1" applyAlignment="1">
      <alignment horizontal="right"/>
    </xf>
    <xf numFmtId="7" fontId="13" fillId="5" borderId="19" xfId="2" applyNumberFormat="1" applyFont="1" applyFill="1" applyBorder="1" applyAlignment="1">
      <alignment horizontal="right"/>
    </xf>
    <xf numFmtId="7" fontId="13" fillId="5" borderId="20" xfId="2" applyNumberFormat="1" applyFont="1" applyFill="1" applyBorder="1" applyAlignment="1">
      <alignment horizontal="right"/>
    </xf>
    <xf numFmtId="7" fontId="13" fillId="5" borderId="17" xfId="2" applyNumberFormat="1" applyFont="1" applyFill="1" applyBorder="1" applyAlignment="1">
      <alignment horizontal="right"/>
    </xf>
    <xf numFmtId="7" fontId="13" fillId="5" borderId="18" xfId="2" applyNumberFormat="1" applyFont="1" applyFill="1" applyBorder="1" applyAlignment="1">
      <alignment horizontal="right"/>
    </xf>
    <xf numFmtId="0" fontId="15" fillId="0" borderId="24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7" fontId="13" fillId="5" borderId="21" xfId="2" applyNumberFormat="1" applyFont="1" applyFill="1" applyBorder="1" applyAlignment="1">
      <alignment horizontal="right"/>
    </xf>
    <xf numFmtId="7" fontId="13" fillId="5" borderId="22" xfId="2" applyNumberFormat="1" applyFont="1" applyFill="1" applyBorder="1" applyAlignment="1">
      <alignment horizontal="right"/>
    </xf>
  </cellXfs>
  <cellStyles count="4">
    <cellStyle name="Currency 2" xfId="2" xr:uid="{453D1C6B-9574-4959-92B4-CB51D65A3C73}"/>
    <cellStyle name="Normal" xfId="0" builtinId="0"/>
    <cellStyle name="Normal 2" xfId="1" xr:uid="{7BF977D9-BD8A-40D5-9D09-272C0FB755F5}"/>
    <cellStyle name="Per cent 2" xfId="3" xr:uid="{FBFA0105-24F3-4BBE-9E3D-59449DABBBB2}"/>
  </cellStyles>
  <dxfs count="51">
    <dxf>
      <font>
        <b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 outline="0">
        <top style="thin">
          <color theme="1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 outline="0">
        <top style="thin">
          <color theme="1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Revenues from 2022 to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42847769028873"/>
          <c:y val="0.17171296296296296"/>
          <c:w val="0.74901596675415572"/>
          <c:h val="0.656990740740740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'Financial Projection'!$C$6:$G$6</c:f>
              <c:numCache>
                <c:formatCode>_("$"* #,##0.00_);_("$"* \(#,##0.00\);_("$"* "-"??_);_(@_)</c:formatCode>
                <c:ptCount val="5"/>
                <c:pt idx="0">
                  <c:v>2698.2358434446123</c:v>
                </c:pt>
                <c:pt idx="1">
                  <c:v>2851.7339078923847</c:v>
                </c:pt>
                <c:pt idx="2">
                  <c:v>3013.9642170942457</c:v>
                </c:pt>
                <c:pt idx="3">
                  <c:v>3185.4235336557667</c:v>
                </c:pt>
                <c:pt idx="4">
                  <c:v>3366.6368801652898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6-4B26-B7AE-4426D15058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79928"/>
        <c:axId val="553472712"/>
      </c:barChart>
      <c:catAx>
        <c:axId val="553479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56142957130358706"/>
              <c:y val="0.91203703703703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53472712"/>
        <c:crosses val="autoZero"/>
        <c:auto val="1"/>
        <c:lblAlgn val="ctr"/>
        <c:lblOffset val="100"/>
        <c:noMultiLvlLbl val="0"/>
      </c:catAx>
      <c:valAx>
        <c:axId val="5534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7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 from 2022 to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42847769028873"/>
          <c:y val="0.17171296296296296"/>
          <c:w val="0.74901596675415572"/>
          <c:h val="0.656990740740740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Projection'!$C$8:$G$8</c:f>
              <c:strCache>
                <c:ptCount val="5"/>
                <c:pt idx="0">
                  <c:v> $1,380.40 </c:v>
                </c:pt>
                <c:pt idx="1">
                  <c:v> $1,464.61 </c:v>
                </c:pt>
                <c:pt idx="2">
                  <c:v> $1,553.90 </c:v>
                </c:pt>
                <c:pt idx="3">
                  <c:v> $1,648.58 </c:v>
                </c:pt>
                <c:pt idx="4">
                  <c:v> $1,748.99 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'Financial Projection'!$C$8:$G$8</c:f>
              <c:numCache>
                <c:formatCode>_("$"* #,##0.00_);_("$"* \(#,##0.00\);_("$"* "-"??_);_(@_)</c:formatCode>
                <c:ptCount val="5"/>
                <c:pt idx="0">
                  <c:v>1380.4026593281851</c:v>
                </c:pt>
                <c:pt idx="1">
                  <c:v>1464.6058718233423</c:v>
                </c:pt>
                <c:pt idx="2">
                  <c:v>1553.8976383801626</c:v>
                </c:pt>
                <c:pt idx="3">
                  <c:v>1648.583127546535</c:v>
                </c:pt>
                <c:pt idx="4">
                  <c:v>1748.9856933747849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0-4CC9-A522-3294850105F4}"/>
            </c:ext>
          </c:extLst>
        </c:ser>
        <c:ser>
          <c:idx val="1"/>
          <c:order val="1"/>
          <c:tx>
            <c:strRef>
              <c:f>'Financial Projection'!$C$5:$G$5</c:f>
              <c:strCach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4170-4CC9-A522-3294850105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79928"/>
        <c:axId val="553472712"/>
      </c:barChart>
      <c:catAx>
        <c:axId val="553479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56142957130358706"/>
              <c:y val="0.91203703703703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53472712"/>
        <c:crosses val="autoZero"/>
        <c:auto val="1"/>
        <c:lblAlgn val="ctr"/>
        <c:lblOffset val="100"/>
        <c:noMultiLvlLbl val="0"/>
      </c:catAx>
      <c:valAx>
        <c:axId val="5534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7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Profit from 2022 to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42847769028873"/>
          <c:y val="0.17171296296296296"/>
          <c:w val="0.74901596675415572"/>
          <c:h val="0.656990740740740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'Financial Projection'!$C$13:$G$13</c:f>
              <c:numCache>
                <c:formatCode>_("$"* #,##0.00_);_("$"* \(#,##0.00\);_("$"* "-"??_);_(@_)</c:formatCode>
                <c:ptCount val="5"/>
                <c:pt idx="0">
                  <c:v>845.13175341087526</c:v>
                </c:pt>
                <c:pt idx="1">
                  <c:v>1109.4737513729708</c:v>
                </c:pt>
                <c:pt idx="2">
                  <c:v>1375.917833558505</c:v>
                </c:pt>
                <c:pt idx="3">
                  <c:v>1645.3573474583784</c:v>
                </c:pt>
                <c:pt idx="4">
                  <c:v>1918.6901787116931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D-4153-9F1A-B2490E480E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79928"/>
        <c:axId val="553472712"/>
      </c:barChart>
      <c:catAx>
        <c:axId val="553479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56142957130358706"/>
              <c:y val="0.91203703703703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53472712"/>
        <c:crosses val="autoZero"/>
        <c:auto val="1"/>
        <c:lblAlgn val="ctr"/>
        <c:lblOffset val="100"/>
        <c:noMultiLvlLbl val="0"/>
      </c:catAx>
      <c:valAx>
        <c:axId val="5534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7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from 2022 to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42847769028873"/>
          <c:y val="0.17171296296296296"/>
          <c:w val="0.74901596675415572"/>
          <c:h val="0.656990740740740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'Financial Projection'!$C$21:$G$21</c:f>
              <c:numCache>
                <c:formatCode>_("$"* #,##0.00_);_("$"* \(#,##0.00\);_("$"* "-"??_);_(@_)</c:formatCode>
                <c:ptCount val="5"/>
                <c:pt idx="0">
                  <c:v>492.57790255085735</c:v>
                </c:pt>
                <c:pt idx="1">
                  <c:v>1316.6783999789091</c:v>
                </c:pt>
                <c:pt idx="2">
                  <c:v>1127.3941820085236</c:v>
                </c:pt>
                <c:pt idx="3">
                  <c:v>1702.6489951596677</c:v>
                </c:pt>
                <c:pt idx="4">
                  <c:v>1781.7983911858885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8-41D9-BA83-7277402031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79928"/>
        <c:axId val="553472712"/>
      </c:barChart>
      <c:catAx>
        <c:axId val="553479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56142957130358706"/>
              <c:y val="0.91203703703703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53472712"/>
        <c:crosses val="autoZero"/>
        <c:auto val="1"/>
        <c:lblAlgn val="ctr"/>
        <c:lblOffset val="100"/>
        <c:noMultiLvlLbl val="0"/>
      </c:catAx>
      <c:valAx>
        <c:axId val="5534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7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64770</xdr:rowOff>
    </xdr:from>
    <xdr:to>
      <xdr:col>16</xdr:col>
      <xdr:colOff>563880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45A55-8814-A871-AB52-70F5F090B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14</xdr:row>
      <xdr:rowOff>99060</xdr:rowOff>
    </xdr:from>
    <xdr:to>
      <xdr:col>16</xdr:col>
      <xdr:colOff>556260</xdr:colOff>
      <xdr:row>29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0F4375-56BC-4860-B9AD-0559A4F4F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243840</xdr:colOff>
      <xdr:row>29</xdr:row>
      <xdr:rowOff>160020</xdr:rowOff>
    </xdr:from>
    <xdr:to>
      <xdr:col>16</xdr:col>
      <xdr:colOff>548640</xdr:colOff>
      <xdr:row>43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067A5-02F9-44E7-9C1C-F8AC85A9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251460</xdr:colOff>
      <xdr:row>44</xdr:row>
      <xdr:rowOff>68580</xdr:rowOff>
    </xdr:from>
    <xdr:to>
      <xdr:col>16</xdr:col>
      <xdr:colOff>556260</xdr:colOff>
      <xdr:row>59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C44A85-BFAF-4D30-9A7F-2B75276B1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0.24833</cdr:x>
      <cdr:y>0.82083</cdr:y>
    </cdr:from>
    <cdr:to>
      <cdr:x>1</cdr:x>
      <cdr:y>0.94306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72613B-FA6B-A3BA-E704-D9A46CF18594}"/>
            </a:ext>
          </a:extLst>
        </cdr:cNvPr>
        <cdr:cNvSpPr txBox="1"/>
      </cdr:nvSpPr>
      <cdr:spPr>
        <a:xfrm xmlns:a="http://schemas.openxmlformats.org/drawingml/2006/main">
          <a:off x="1135380" y="2251710"/>
          <a:ext cx="3436620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2022            2023             2024            2025              2026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</cdr:x>
      <cdr:y>0.82083</cdr:y>
    </cdr:from>
    <cdr:to>
      <cdr:x>0.98167</cdr:x>
      <cdr:y>0.94306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72613B-FA6B-A3BA-E704-D9A46CF18594}"/>
            </a:ext>
          </a:extLst>
        </cdr:cNvPr>
        <cdr:cNvSpPr txBox="1"/>
      </cdr:nvSpPr>
      <cdr:spPr>
        <a:xfrm xmlns:a="http://schemas.openxmlformats.org/drawingml/2006/main">
          <a:off x="1051545" y="2251701"/>
          <a:ext cx="3436635" cy="335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2022            2023             2024            2025              2026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0.245</cdr:x>
      <cdr:y>0.82083</cdr:y>
    </cdr:from>
    <cdr:to>
      <cdr:x>0.99667</cdr:x>
      <cdr:y>0.94306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72613B-FA6B-A3BA-E704-D9A46CF18594}"/>
            </a:ext>
          </a:extLst>
        </cdr:cNvPr>
        <cdr:cNvSpPr txBox="1"/>
      </cdr:nvSpPr>
      <cdr:spPr>
        <a:xfrm xmlns:a="http://schemas.openxmlformats.org/drawingml/2006/main">
          <a:off x="1120140" y="2251701"/>
          <a:ext cx="3436635" cy="335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2022            2023             2024            2025              2026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0.24833</cdr:x>
      <cdr:y>0.82083</cdr:y>
    </cdr:from>
    <cdr:to>
      <cdr:x>1</cdr:x>
      <cdr:y>0.94306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72613B-FA6B-A3BA-E704-D9A46CF18594}"/>
            </a:ext>
          </a:extLst>
        </cdr:cNvPr>
        <cdr:cNvSpPr txBox="1"/>
      </cdr:nvSpPr>
      <cdr:spPr>
        <a:xfrm xmlns:a="http://schemas.openxmlformats.org/drawingml/2006/main">
          <a:off x="1142985" y="2251701"/>
          <a:ext cx="3436635" cy="335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2022            2023             2024            2025              2026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0DD57-6D5F-4290-B9F7-41CD7811890B}" name="Table1" displayName="Table1" ref="B5:G27" totalsRowShown="0" headerRowDxfId="50" dataDxfId="49">
  <autoFilter ref="B5:G27" xr:uid="{2880DD57-6D5F-4290-B9F7-41CD7811890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773C8D7-CBAD-435F-9165-60C1F07C7762}" name="Millions of US $ except per share data" dataDxfId="48"/>
    <tableColumn id="2" xr3:uid="{A33FBE24-AE20-4EFA-9B1E-70F1539DD738}" name="2017" dataDxfId="47"/>
    <tableColumn id="3" xr3:uid="{61C47BF2-0911-49CA-BD01-B6375B478610}" name="2018" dataDxfId="46"/>
    <tableColumn id="4" xr3:uid="{A1F64256-0390-4C24-9EFD-0B58C2CEB30B}" name="2019" dataDxfId="45"/>
    <tableColumn id="5" xr3:uid="{E9ECFC09-20C2-40D2-A5D5-43DEB26A5042}" name="2020" dataDxfId="44"/>
    <tableColumn id="6" xr3:uid="{3881ED86-7E26-4502-B2D2-0C09F8930A2D}" name="2021" dataDxfId="43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8D094-E5CB-4D1E-B48A-ACE157E7DD1F}" name="Table2" displayName="Table2" ref="B4:G27" totalsRowShown="0" headerRowDxfId="42" dataDxfId="40" headerRowBorderDxfId="41" tableBorderDxfId="39">
  <autoFilter ref="B4:G27" xr:uid="{EDF8D094-E5CB-4D1E-B48A-ACE157E7DD1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F6D9FD0-034D-4FB6-8963-317CABFF3620}" name="Millions of US $ except per share data" dataDxfId="38"/>
    <tableColumn id="2" xr3:uid="{803CC726-BFBC-489F-94A2-9C74BE62F5D3}" name="2017" dataDxfId="37"/>
    <tableColumn id="3" xr3:uid="{2B53C46B-5DF1-4C60-A1CB-77645A28DD92}" name="2018" dataDxfId="36"/>
    <tableColumn id="4" xr3:uid="{415F7CCB-228C-44C3-A286-22ADC203293C}" name="2019" dataDxfId="35"/>
    <tableColumn id="5" xr3:uid="{19EA0D24-E6F3-4464-9714-03818DA0A340}" name="2020" dataDxfId="34"/>
    <tableColumn id="6" xr3:uid="{F10EB228-8D94-429D-860D-26011AF90BE6}" name="2021" dataDxfId="33"/>
  </tableColumns>
  <tableStyleInfo name="TableStyleDark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B92871-F079-42BD-BFE3-DD1EF176D4A3}" name="Table3" displayName="Table3" ref="B4:G33" totalsRowShown="0" headerRowDxfId="32" dataDxfId="30" headerRowBorderDxfId="31" tableBorderDxfId="29">
  <autoFilter ref="B4:G33" xr:uid="{46B92871-F079-42BD-BFE3-DD1EF176D4A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752C8C6-B372-45B5-9C51-35D3700316E8}" name="Millions of US $ except per share data" dataDxfId="28"/>
    <tableColumn id="2" xr3:uid="{6BF9F1B2-FA54-459A-95EB-DA156D32537A}" name="2017" dataDxfId="27"/>
    <tableColumn id="3" xr3:uid="{CF62BCDB-4A34-49EB-871C-C8894B729FDE}" name="2018" dataDxfId="26"/>
    <tableColumn id="4" xr3:uid="{05B4062B-9BBA-4963-961F-2A65A975F614}" name="2019" dataDxfId="25"/>
    <tableColumn id="5" xr3:uid="{5C904455-79BF-4B43-B49E-2A719E7602E5}" name="2020" dataDxfId="24"/>
    <tableColumn id="6" xr3:uid="{4FD384CD-A2FD-4C88-A2F8-10EB50C4E1F1}" name="2021" dataDxfId="23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BBBC8-4844-4B79-B07D-88E12C873F08}" name="Table4" displayName="Table4" ref="B3:G16" totalsRowShown="0" headerRowDxfId="22">
  <autoFilter ref="B3:G16" xr:uid="{528BBBC8-4844-4B79-B07D-88E12C873F0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9A5F912-7846-4720-95F5-71D5BE1CED99}" name="Particulars"/>
    <tableColumn id="2" xr3:uid="{E22E43DA-D79F-49F4-A975-F2065D2B35E1}" name="2017"/>
    <tableColumn id="3" xr3:uid="{F20282C3-CA02-4847-87A8-585102ECDAE7}" name="2018"/>
    <tableColumn id="4" xr3:uid="{3E2BC6BC-AE13-4E95-9A3C-277014B0D64C}" name="2019"/>
    <tableColumn id="5" xr3:uid="{533F917A-496F-4F24-ADD7-A9F7584B7338}" name="2020"/>
    <tableColumn id="6" xr3:uid="{89ACA02C-35E1-43A1-AA82-E7CB6ACDE782}" name="2021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A5E547-92A8-4A01-953C-59D247BCFB88}" name="Table16" displayName="Table16" ref="B5:I26" totalsRowShown="0" headerRowDxfId="21" dataDxfId="20">
  <autoFilter ref="B5:I26" xr:uid="{25A5E547-92A8-4A01-953C-59D247BCFB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50C8E9E-E622-45B0-B337-DE570E429F75}" name="Millions of US $ except per share data" dataDxfId="19"/>
    <tableColumn id="2" xr3:uid="{FC6404FC-06D4-4412-8B17-0C6D13F50098}" name="2022" dataDxfId="18"/>
    <tableColumn id="3" xr3:uid="{26A28F56-DF97-4BF9-9F82-3E7A0A9C3EB0}" name="2023" dataDxfId="17"/>
    <tableColumn id="4" xr3:uid="{53E4094B-2920-4D42-8044-2BD89D2A9F1C}" name="2024" dataDxfId="16"/>
    <tableColumn id="5" xr3:uid="{9B260AC9-3B00-45E1-BCE6-E085086AF895}" name="2025" dataDxfId="15"/>
    <tableColumn id="6" xr3:uid="{28CD702F-7E9B-48CE-87B5-EC853A6844DF}" name="2026" dataDxfId="14"/>
    <tableColumn id="7" xr3:uid="{FBC50B66-B1B1-44B3-831B-6826D58F2D61}" name="CAGR" dataDxfId="13">
      <calculatedColumnFormula>((Table1[[#This Row],[2021]]/Table1[[#This Row],[2017]])^(1/5))-1</calculatedColumnFormula>
    </tableColumn>
    <tableColumn id="8" xr3:uid="{10D92950-F51A-4C4E-A31F-57889F264650}" name="Trendline" dataDxfId="12"/>
  </tableColumns>
  <tableStyleInfo name="TableStyleDark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16540D-2255-4E46-B40E-0F3974A28097}" name="Table27" displayName="Table27" ref="B33:H56" totalsRowShown="0" headerRowDxfId="11" dataDxfId="9" headerRowBorderDxfId="10" tableBorderDxfId="8">
  <autoFilter ref="B33:H56" xr:uid="{4516540D-2255-4E46-B40E-0F3974A2809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F2CF133-1FAE-44C4-88CB-5FDB129E616C}" name="Millions of US $ except per share data" dataDxfId="7"/>
    <tableColumn id="2" xr3:uid="{C949A20E-F845-434C-9259-20C0439D5753}" name="2022" dataDxfId="6"/>
    <tableColumn id="3" xr3:uid="{D19BE330-4B72-45F1-A0C9-2626B1F25656}" name="2023" dataDxfId="5"/>
    <tableColumn id="4" xr3:uid="{5C70C0B8-E072-4220-B068-4F1749ECD654}" name="2024" dataDxfId="4"/>
    <tableColumn id="5" xr3:uid="{50E4389A-0313-4879-A4C0-DADE43A85828}" name="2025" dataDxfId="3"/>
    <tableColumn id="6" xr3:uid="{21B155FA-B30A-42FF-BF6E-3E2E71FAEC6F}" name="2026" dataDxfId="2"/>
    <tableColumn id="7" xr3:uid="{69BAE228-815F-42A2-9FBF-19927166D289}" name="CAGR" dataDxfId="1">
      <calculatedColumnFormula>('Balance Sheet'!G5-'Balance Sheet'!C5)^(1/5)-1</calculatedColumnFormula>
    </tableColumn>
  </tableColumns>
  <tableStyleInfo name="TableStyleDark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0C89AF1-F2CF-45AF-860F-A3E5E5F2D071}" name="Table48" displayName="Table48" ref="B61:G74" totalsRowShown="0" headerRowDxfId="0">
  <autoFilter ref="B61:G74" xr:uid="{C0C89AF1-F2CF-45AF-860F-A3E5E5F2D0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86A8AD2-6E39-4EE8-B0FC-12E90A957DD9}" name="Particulars"/>
    <tableColumn id="2" xr3:uid="{31E3975C-25F0-44E0-A12F-B61C178811A1}" name="2022"/>
    <tableColumn id="3" xr3:uid="{E890AC22-0ACA-4E4B-B166-0D910468B3D0}" name="2023"/>
    <tableColumn id="4" xr3:uid="{05F5A869-54F3-46C9-97E9-8A2863517FC8}" name="2024"/>
    <tableColumn id="5" xr3:uid="{5969C4FC-028D-4360-9ECC-208FCAC0BE7B}" name="2025"/>
    <tableColumn id="6" xr3:uid="{501445E8-5E4D-439D-A6C0-9073CD00FADF}" name="2026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7"/>
  <sheetViews>
    <sheetView showGridLines="0" tabSelected="1" zoomScaleNormal="100" workbookViewId="0">
      <selection activeCell="H28" sqref="H28"/>
    </sheetView>
  </sheetViews>
  <sheetFormatPr defaultRowHeight="15" x14ac:dyDescent="0.25"/>
  <cols>
    <col min="2" max="2" width="31.140625" bestFit="1" customWidth="1"/>
    <col min="3" max="7" width="12.7109375" customWidth="1"/>
    <col min="9" max="9" width="10.7109375" bestFit="1" customWidth="1"/>
  </cols>
  <sheetData>
    <row r="2" spans="2:9" ht="23.25" x14ac:dyDescent="0.35">
      <c r="B2" s="2" t="s">
        <v>71</v>
      </c>
      <c r="C2" s="3"/>
      <c r="D2" s="3"/>
      <c r="E2" s="3"/>
      <c r="F2" s="3"/>
      <c r="G2" s="4"/>
    </row>
    <row r="3" spans="2:9" ht="23.25" x14ac:dyDescent="0.35">
      <c r="B3" s="8" t="s">
        <v>73</v>
      </c>
      <c r="C3" s="6"/>
      <c r="D3" s="6"/>
      <c r="E3" s="6"/>
      <c r="F3" s="6"/>
      <c r="G3" s="7"/>
    </row>
    <row r="4" spans="2:9" x14ac:dyDescent="0.25">
      <c r="B4" s="5" t="s">
        <v>72</v>
      </c>
      <c r="C4" s="6"/>
      <c r="D4" s="6"/>
      <c r="E4" s="6"/>
      <c r="F4" s="6"/>
      <c r="G4" s="7"/>
    </row>
    <row r="5" spans="2:9" x14ac:dyDescent="0.25">
      <c r="B5" s="23" t="s">
        <v>24</v>
      </c>
      <c r="C5" s="24" t="s">
        <v>0</v>
      </c>
      <c r="D5" s="24" t="s">
        <v>1</v>
      </c>
      <c r="E5" s="24" t="s">
        <v>2</v>
      </c>
      <c r="F5" s="24" t="s">
        <v>3</v>
      </c>
      <c r="G5" s="25" t="s">
        <v>4</v>
      </c>
    </row>
    <row r="6" spans="2:9" x14ac:dyDescent="0.25">
      <c r="B6" s="26" t="s">
        <v>5</v>
      </c>
      <c r="C6" s="27">
        <v>1936</v>
      </c>
      <c r="D6" s="27">
        <v>2070</v>
      </c>
      <c r="E6" s="27">
        <v>2207</v>
      </c>
      <c r="F6" s="27">
        <v>2341</v>
      </c>
      <c r="G6" s="28">
        <v>2553</v>
      </c>
    </row>
    <row r="7" spans="2:9" x14ac:dyDescent="0.25">
      <c r="B7" s="26" t="s">
        <v>6</v>
      </c>
      <c r="C7" s="27">
        <v>969</v>
      </c>
      <c r="D7" s="27">
        <v>1020</v>
      </c>
      <c r="E7" s="27">
        <v>1119</v>
      </c>
      <c r="F7" s="27">
        <v>1140</v>
      </c>
      <c r="G7" s="28">
        <v>1252</v>
      </c>
    </row>
    <row r="8" spans="2:9" x14ac:dyDescent="0.25">
      <c r="B8" s="29" t="s">
        <v>68</v>
      </c>
      <c r="C8" s="30">
        <f>C6-C7</f>
        <v>967</v>
      </c>
      <c r="D8" s="30">
        <f t="shared" ref="D8:G8" si="0">D6-D7</f>
        <v>1050</v>
      </c>
      <c r="E8" s="30">
        <f t="shared" si="0"/>
        <v>1088</v>
      </c>
      <c r="F8" s="30">
        <f t="shared" si="0"/>
        <v>1201</v>
      </c>
      <c r="G8" s="31">
        <f t="shared" si="0"/>
        <v>1301</v>
      </c>
    </row>
    <row r="9" spans="2:9" x14ac:dyDescent="0.25">
      <c r="B9" s="26" t="s">
        <v>7</v>
      </c>
      <c r="C9" s="27">
        <v>121</v>
      </c>
      <c r="D9" s="27">
        <v>147</v>
      </c>
      <c r="E9" s="27">
        <v>150</v>
      </c>
      <c r="F9" s="27">
        <v>137</v>
      </c>
      <c r="G9" s="28">
        <v>143</v>
      </c>
    </row>
    <row r="10" spans="2:9" x14ac:dyDescent="0.25">
      <c r="B10" s="26" t="s">
        <v>8</v>
      </c>
      <c r="C10" s="27">
        <v>475</v>
      </c>
      <c r="D10" s="27">
        <v>470</v>
      </c>
      <c r="E10" s="27">
        <v>494</v>
      </c>
      <c r="F10" s="27">
        <v>509</v>
      </c>
      <c r="G10" s="28">
        <v>561</v>
      </c>
    </row>
    <row r="11" spans="2:9" x14ac:dyDescent="0.25">
      <c r="B11" s="26" t="s">
        <v>9</v>
      </c>
      <c r="C11" s="27">
        <v>-1118</v>
      </c>
      <c r="D11" s="27">
        <v>-62</v>
      </c>
      <c r="E11" s="27">
        <v>49</v>
      </c>
      <c r="F11" s="27">
        <v>24</v>
      </c>
      <c r="G11" s="28">
        <v>-15</v>
      </c>
      <c r="I11" s="1"/>
    </row>
    <row r="12" spans="2:9" x14ac:dyDescent="0.25">
      <c r="B12" s="26" t="s">
        <v>10</v>
      </c>
      <c r="C12" s="27">
        <v>2683</v>
      </c>
      <c r="D12" s="27">
        <v>1699</v>
      </c>
      <c r="E12" s="27">
        <v>1714</v>
      </c>
      <c r="F12" s="27">
        <v>1762</v>
      </c>
      <c r="G12" s="28">
        <v>1971</v>
      </c>
    </row>
    <row r="13" spans="2:9" x14ac:dyDescent="0.25">
      <c r="B13" s="29" t="s">
        <v>69</v>
      </c>
      <c r="C13" s="30">
        <f>C6-C12</f>
        <v>-747</v>
      </c>
      <c r="D13" s="30">
        <f t="shared" ref="D13:G13" si="1">D6-D12</f>
        <v>371</v>
      </c>
      <c r="E13" s="30">
        <f t="shared" si="1"/>
        <v>493</v>
      </c>
      <c r="F13" s="30">
        <f t="shared" si="1"/>
        <v>579</v>
      </c>
      <c r="G13" s="31">
        <f t="shared" si="1"/>
        <v>582</v>
      </c>
      <c r="I13" s="1"/>
    </row>
    <row r="14" spans="2:9" x14ac:dyDescent="0.25">
      <c r="B14" s="26" t="s">
        <v>11</v>
      </c>
      <c r="C14" s="27">
        <v>9</v>
      </c>
      <c r="D14" s="27">
        <v>-78</v>
      </c>
      <c r="E14" s="27">
        <v>-2</v>
      </c>
      <c r="F14" s="27">
        <v>-21</v>
      </c>
      <c r="G14" s="28">
        <v>-38</v>
      </c>
      <c r="I14" s="1"/>
    </row>
    <row r="15" spans="2:9" x14ac:dyDescent="0.25">
      <c r="B15" s="26" t="s">
        <v>12</v>
      </c>
      <c r="C15" s="27">
        <f>SUM(C13,C14)</f>
        <v>-738</v>
      </c>
      <c r="D15" s="27">
        <f t="shared" ref="D15:G15" si="2">SUM(D13,D14)</f>
        <v>293</v>
      </c>
      <c r="E15" s="27">
        <f t="shared" si="2"/>
        <v>491</v>
      </c>
      <c r="F15" s="27">
        <f t="shared" si="2"/>
        <v>558</v>
      </c>
      <c r="G15" s="28">
        <f t="shared" si="2"/>
        <v>544</v>
      </c>
    </row>
    <row r="16" spans="2:9" x14ac:dyDescent="0.25">
      <c r="B16" s="26" t="s">
        <v>13</v>
      </c>
      <c r="C16" s="27">
        <v>101</v>
      </c>
      <c r="D16" s="27">
        <v>8</v>
      </c>
      <c r="E16" s="27">
        <v>4</v>
      </c>
      <c r="F16" s="27">
        <v>128</v>
      </c>
      <c r="G16" s="28">
        <v>124</v>
      </c>
    </row>
    <row r="17" spans="2:7" x14ac:dyDescent="0.25">
      <c r="B17" s="26" t="s">
        <v>14</v>
      </c>
      <c r="C17" s="27">
        <f>C15-C16</f>
        <v>-839</v>
      </c>
      <c r="D17" s="27">
        <f t="shared" ref="D17:G17" si="3">D15-D16</f>
        <v>285</v>
      </c>
      <c r="E17" s="27">
        <f t="shared" si="3"/>
        <v>487</v>
      </c>
      <c r="F17" s="27">
        <f t="shared" si="3"/>
        <v>430</v>
      </c>
      <c r="G17" s="28">
        <f t="shared" si="3"/>
        <v>420</v>
      </c>
    </row>
    <row r="18" spans="2:7" x14ac:dyDescent="0.25">
      <c r="B18" s="26" t="s">
        <v>15</v>
      </c>
      <c r="C18" s="32">
        <v>0</v>
      </c>
      <c r="D18" s="32">
        <v>0</v>
      </c>
      <c r="E18" s="32">
        <v>0</v>
      </c>
      <c r="F18" s="32">
        <v>0</v>
      </c>
      <c r="G18" s="33">
        <v>0</v>
      </c>
    </row>
    <row r="19" spans="2:7" x14ac:dyDescent="0.25">
      <c r="B19" s="26" t="s">
        <v>16</v>
      </c>
      <c r="C19" s="27">
        <f>C17+C18</f>
        <v>-839</v>
      </c>
      <c r="D19" s="27">
        <f t="shared" ref="D19:G19" si="4">D17+D18</f>
        <v>285</v>
      </c>
      <c r="E19" s="27">
        <f t="shared" si="4"/>
        <v>487</v>
      </c>
      <c r="F19" s="27">
        <f t="shared" si="4"/>
        <v>430</v>
      </c>
      <c r="G19" s="28">
        <f t="shared" si="4"/>
        <v>420</v>
      </c>
    </row>
    <row r="20" spans="2:7" x14ac:dyDescent="0.25">
      <c r="B20" s="26" t="s">
        <v>17</v>
      </c>
      <c r="C20" s="32">
        <v>0</v>
      </c>
      <c r="D20" s="32">
        <v>0</v>
      </c>
      <c r="E20" s="32">
        <v>0</v>
      </c>
      <c r="F20" s="32">
        <v>0</v>
      </c>
      <c r="G20" s="33">
        <v>0</v>
      </c>
    </row>
    <row r="21" spans="2:7" ht="15.75" thickBot="1" x14ac:dyDescent="0.3">
      <c r="B21" s="34" t="s">
        <v>70</v>
      </c>
      <c r="C21" s="14">
        <v>-843</v>
      </c>
      <c r="D21" s="14">
        <v>282</v>
      </c>
      <c r="E21" s="14">
        <v>486</v>
      </c>
      <c r="F21" s="14">
        <v>431</v>
      </c>
      <c r="G21" s="35">
        <v>421</v>
      </c>
    </row>
    <row r="22" spans="2:7" ht="15.75" thickTop="1" x14ac:dyDescent="0.25">
      <c r="B22" s="26" t="s">
        <v>18</v>
      </c>
      <c r="C22" s="27">
        <v>494</v>
      </c>
      <c r="D22" s="27">
        <v>492</v>
      </c>
      <c r="E22" s="27">
        <v>583</v>
      </c>
      <c r="F22" s="27">
        <v>658</v>
      </c>
      <c r="G22" s="28">
        <v>715</v>
      </c>
    </row>
    <row r="23" spans="2:7" x14ac:dyDescent="0.25">
      <c r="B23" s="26" t="s">
        <v>19</v>
      </c>
      <c r="C23" s="27">
        <v>-747</v>
      </c>
      <c r="D23" s="27">
        <v>371</v>
      </c>
      <c r="E23" s="27">
        <v>493</v>
      </c>
      <c r="F23" s="27">
        <v>579</v>
      </c>
      <c r="G23" s="28">
        <v>582</v>
      </c>
    </row>
    <row r="24" spans="2:7" x14ac:dyDescent="0.25">
      <c r="B24" s="26" t="s">
        <v>20</v>
      </c>
      <c r="C24" s="27">
        <v>240</v>
      </c>
      <c r="D24" s="27">
        <v>241</v>
      </c>
      <c r="E24" s="27">
        <v>242</v>
      </c>
      <c r="F24" s="27">
        <v>236</v>
      </c>
      <c r="G24" s="28">
        <v>231</v>
      </c>
    </row>
    <row r="25" spans="2:7" x14ac:dyDescent="0.25">
      <c r="B25" s="26" t="s">
        <v>21</v>
      </c>
      <c r="C25" s="27">
        <v>241</v>
      </c>
      <c r="D25" s="27">
        <v>242</v>
      </c>
      <c r="E25" s="27">
        <v>243</v>
      </c>
      <c r="F25" s="27">
        <v>238</v>
      </c>
      <c r="G25" s="28">
        <v>233</v>
      </c>
    </row>
    <row r="26" spans="2:7" x14ac:dyDescent="0.25">
      <c r="B26" s="26" t="s">
        <v>22</v>
      </c>
      <c r="C26" s="27">
        <v>-3.51</v>
      </c>
      <c r="D26" s="27">
        <v>1.17</v>
      </c>
      <c r="E26" s="27">
        <v>2.0099999999999998</v>
      </c>
      <c r="F26" s="27">
        <v>1.83</v>
      </c>
      <c r="G26" s="28">
        <v>1.82</v>
      </c>
    </row>
    <row r="27" spans="2:7" x14ac:dyDescent="0.25">
      <c r="B27" s="36" t="s">
        <v>23</v>
      </c>
      <c r="C27" s="37">
        <v>-3.5</v>
      </c>
      <c r="D27" s="37">
        <v>1.17</v>
      </c>
      <c r="E27" s="37">
        <v>2</v>
      </c>
      <c r="F27" s="37">
        <v>1.81</v>
      </c>
      <c r="G27" s="38">
        <v>1.81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F526F-F861-467F-9F87-1F1CC30F1A00}">
  <dimension ref="B1:G27"/>
  <sheetViews>
    <sheetView showGridLines="0" workbookViewId="0">
      <selection activeCell="I6" sqref="I6"/>
    </sheetView>
  </sheetViews>
  <sheetFormatPr defaultRowHeight="15" x14ac:dyDescent="0.25"/>
  <cols>
    <col min="2" max="2" width="36.28515625" bestFit="1" customWidth="1"/>
    <col min="3" max="7" width="12.7109375" customWidth="1"/>
  </cols>
  <sheetData>
    <row r="1" spans="2:7" ht="23.25" x14ac:dyDescent="0.35">
      <c r="B1" s="2" t="s">
        <v>71</v>
      </c>
      <c r="C1" s="3"/>
      <c r="D1" s="3"/>
      <c r="E1" s="3"/>
      <c r="F1" s="3"/>
      <c r="G1" s="4"/>
    </row>
    <row r="2" spans="2:7" ht="23.25" x14ac:dyDescent="0.35">
      <c r="B2" s="8" t="s">
        <v>74</v>
      </c>
      <c r="C2" s="6"/>
      <c r="D2" s="6"/>
      <c r="E2" s="6"/>
      <c r="F2" s="6"/>
      <c r="G2" s="7"/>
    </row>
    <row r="3" spans="2:7" x14ac:dyDescent="0.25">
      <c r="B3" s="5" t="s">
        <v>72</v>
      </c>
      <c r="C3" s="6"/>
      <c r="D3" s="6"/>
      <c r="E3" s="6"/>
      <c r="F3" s="6"/>
      <c r="G3" s="7"/>
    </row>
    <row r="4" spans="2:7" x14ac:dyDescent="0.25">
      <c r="B4" s="9" t="s">
        <v>43</v>
      </c>
      <c r="C4" s="10" t="s">
        <v>0</v>
      </c>
      <c r="D4" s="10" t="s">
        <v>1</v>
      </c>
      <c r="E4" s="10" t="s">
        <v>2</v>
      </c>
      <c r="F4" s="10" t="s">
        <v>3</v>
      </c>
      <c r="G4" s="10" t="s">
        <v>4</v>
      </c>
    </row>
    <row r="5" spans="2:7" x14ac:dyDescent="0.25">
      <c r="B5" s="11" t="s">
        <v>25</v>
      </c>
      <c r="C5" s="12">
        <v>231</v>
      </c>
      <c r="D5" s="12">
        <v>276</v>
      </c>
      <c r="E5" s="12">
        <v>443</v>
      </c>
      <c r="F5" s="12">
        <v>327</v>
      </c>
      <c r="G5" s="12">
        <v>426</v>
      </c>
    </row>
    <row r="6" spans="2:7" x14ac:dyDescent="0.25">
      <c r="B6" s="11" t="s">
        <v>26</v>
      </c>
      <c r="C6" s="12">
        <v>760</v>
      </c>
      <c r="D6" s="12">
        <v>805</v>
      </c>
      <c r="E6" s="12">
        <v>798</v>
      </c>
      <c r="F6" s="12">
        <v>736</v>
      </c>
      <c r="G6" s="12">
        <v>876</v>
      </c>
    </row>
    <row r="7" spans="2:7" x14ac:dyDescent="0.25">
      <c r="B7" s="11" t="s">
        <v>27</v>
      </c>
      <c r="C7" s="12">
        <v>488</v>
      </c>
      <c r="D7" s="12">
        <v>528</v>
      </c>
      <c r="E7" s="12">
        <v>568</v>
      </c>
      <c r="F7" s="12">
        <v>757</v>
      </c>
      <c r="G7" s="12">
        <v>695</v>
      </c>
    </row>
    <row r="8" spans="2:7" x14ac:dyDescent="0.25">
      <c r="B8" s="11" t="s">
        <v>28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</row>
    <row r="9" spans="2:7" x14ac:dyDescent="0.25">
      <c r="B9" s="11" t="s">
        <v>29</v>
      </c>
      <c r="C9" s="12">
        <v>95</v>
      </c>
      <c r="D9" s="12">
        <v>59</v>
      </c>
      <c r="E9" s="12">
        <v>39</v>
      </c>
      <c r="F9" s="12">
        <v>102</v>
      </c>
      <c r="G9" s="12">
        <v>97</v>
      </c>
    </row>
    <row r="10" spans="2:7" x14ac:dyDescent="0.25">
      <c r="B10" s="17" t="s">
        <v>75</v>
      </c>
      <c r="C10" s="13">
        <f>SUM(C5:C9)</f>
        <v>1574</v>
      </c>
      <c r="D10" s="13">
        <f t="shared" ref="D10:G10" si="0">SUM(D5:D9)</f>
        <v>1668</v>
      </c>
      <c r="E10" s="13">
        <f t="shared" si="0"/>
        <v>1848</v>
      </c>
      <c r="F10" s="13">
        <f t="shared" si="0"/>
        <v>1922</v>
      </c>
      <c r="G10" s="13">
        <f t="shared" si="0"/>
        <v>2094</v>
      </c>
    </row>
    <row r="11" spans="2:7" x14ac:dyDescent="0.25">
      <c r="B11" s="11" t="s">
        <v>30</v>
      </c>
      <c r="C11" s="12">
        <v>828</v>
      </c>
      <c r="D11" s="12">
        <v>870</v>
      </c>
      <c r="E11" s="12">
        <v>912</v>
      </c>
      <c r="F11" s="12">
        <v>1009</v>
      </c>
      <c r="G11" s="12">
        <v>1072</v>
      </c>
    </row>
    <row r="12" spans="2:7" x14ac:dyDescent="0.25">
      <c r="B12" s="11" t="s">
        <v>31</v>
      </c>
      <c r="C12" s="12">
        <v>66</v>
      </c>
      <c r="D12" s="12">
        <v>68</v>
      </c>
      <c r="E12" s="12">
        <v>43</v>
      </c>
      <c r="F12" s="12">
        <v>48</v>
      </c>
      <c r="G12" s="12">
        <v>57</v>
      </c>
    </row>
    <row r="13" spans="2:7" x14ac:dyDescent="0.25">
      <c r="B13" s="11" t="s">
        <v>32</v>
      </c>
      <c r="C13" s="12">
        <v>785</v>
      </c>
      <c r="D13" s="12">
        <v>766</v>
      </c>
      <c r="E13" s="12">
        <v>834</v>
      </c>
      <c r="F13" s="12">
        <v>876</v>
      </c>
      <c r="G13" s="12">
        <v>892</v>
      </c>
    </row>
    <row r="14" spans="2:7" x14ac:dyDescent="0.25">
      <c r="B14" s="11" t="s">
        <v>33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</row>
    <row r="15" spans="2:7" x14ac:dyDescent="0.25">
      <c r="B15" s="11" t="s">
        <v>34</v>
      </c>
      <c r="C15" s="12">
        <v>1814</v>
      </c>
      <c r="D15" s="12">
        <v>1829</v>
      </c>
      <c r="E15" s="12">
        <v>2082</v>
      </c>
      <c r="F15" s="12">
        <v>2213</v>
      </c>
      <c r="G15" s="12">
        <v>2278</v>
      </c>
    </row>
    <row r="16" spans="2:7" ht="15.75" thickBot="1" x14ac:dyDescent="0.3">
      <c r="B16" s="18" t="s">
        <v>76</v>
      </c>
      <c r="C16" s="14">
        <v>3388</v>
      </c>
      <c r="D16" s="14">
        <v>3497</v>
      </c>
      <c r="E16" s="14">
        <v>3930</v>
      </c>
      <c r="F16" s="14">
        <v>4135</v>
      </c>
      <c r="G16" s="14">
        <v>4372</v>
      </c>
    </row>
    <row r="17" spans="2:7" ht="15.75" thickTop="1" x14ac:dyDescent="0.25">
      <c r="B17" s="11" t="s">
        <v>35</v>
      </c>
      <c r="C17" s="15">
        <v>797</v>
      </c>
      <c r="D17" s="15">
        <v>893</v>
      </c>
      <c r="E17" s="15">
        <v>1471</v>
      </c>
      <c r="F17" s="15">
        <v>1028</v>
      </c>
      <c r="G17" s="15">
        <v>1016</v>
      </c>
    </row>
    <row r="18" spans="2:7" x14ac:dyDescent="0.25">
      <c r="B18" s="11" t="s">
        <v>36</v>
      </c>
      <c r="C18" s="12">
        <v>690</v>
      </c>
      <c r="D18" s="12">
        <v>562</v>
      </c>
      <c r="E18" s="12">
        <v>107</v>
      </c>
      <c r="F18" s="12">
        <v>764</v>
      </c>
      <c r="G18" s="12">
        <v>725</v>
      </c>
    </row>
    <row r="19" spans="2:7" x14ac:dyDescent="0.25">
      <c r="B19" s="11" t="s">
        <v>37</v>
      </c>
      <c r="C19" s="15">
        <v>324</v>
      </c>
      <c r="D19" s="15">
        <v>329</v>
      </c>
      <c r="E19" s="15">
        <v>203</v>
      </c>
      <c r="F19" s="15">
        <v>164</v>
      </c>
      <c r="G19" s="15">
        <v>140</v>
      </c>
    </row>
    <row r="20" spans="2:7" x14ac:dyDescent="0.25">
      <c r="B20" s="11" t="s">
        <v>38</v>
      </c>
      <c r="C20" s="12">
        <v>1063</v>
      </c>
      <c r="D20" s="12">
        <v>907</v>
      </c>
      <c r="E20" s="12">
        <v>330</v>
      </c>
      <c r="F20" s="12">
        <v>959</v>
      </c>
      <c r="G20" s="12">
        <v>889</v>
      </c>
    </row>
    <row r="21" spans="2:7" x14ac:dyDescent="0.25">
      <c r="B21" s="17" t="s">
        <v>77</v>
      </c>
      <c r="C21" s="22">
        <v>1860</v>
      </c>
      <c r="D21" s="22">
        <v>1800</v>
      </c>
      <c r="E21" s="22">
        <v>1801</v>
      </c>
      <c r="F21" s="22">
        <v>1987</v>
      </c>
      <c r="G21" s="22">
        <v>1905</v>
      </c>
    </row>
    <row r="22" spans="2:7" x14ac:dyDescent="0.25">
      <c r="B22" s="11" t="s">
        <v>39</v>
      </c>
      <c r="C22" s="12">
        <v>40</v>
      </c>
      <c r="D22" s="12">
        <v>40</v>
      </c>
      <c r="E22" s="12">
        <v>41</v>
      </c>
      <c r="F22" s="12">
        <v>41</v>
      </c>
      <c r="G22" s="12">
        <v>42</v>
      </c>
    </row>
    <row r="23" spans="2:7" x14ac:dyDescent="0.25">
      <c r="B23" s="11" t="s">
        <v>40</v>
      </c>
      <c r="C23" s="12">
        <v>1382</v>
      </c>
      <c r="D23" s="12">
        <v>1580</v>
      </c>
      <c r="E23" s="12">
        <v>1973</v>
      </c>
      <c r="F23" s="12">
        <v>1892</v>
      </c>
      <c r="G23" s="12">
        <v>2189</v>
      </c>
    </row>
    <row r="24" spans="2:7" x14ac:dyDescent="0.25">
      <c r="B24" s="11" t="s">
        <v>41</v>
      </c>
      <c r="C24" s="12"/>
      <c r="D24" s="12"/>
      <c r="E24" s="12"/>
      <c r="F24" s="12"/>
      <c r="G24" s="12"/>
    </row>
    <row r="25" spans="2:7" x14ac:dyDescent="0.25">
      <c r="B25" s="11" t="s">
        <v>42</v>
      </c>
      <c r="C25" s="12">
        <v>-190</v>
      </c>
      <c r="D25" s="12">
        <v>-217</v>
      </c>
      <c r="E25" s="12">
        <v>-179</v>
      </c>
      <c r="F25" s="12">
        <v>-80</v>
      </c>
      <c r="G25" s="12">
        <v>-60</v>
      </c>
    </row>
    <row r="26" spans="2:7" x14ac:dyDescent="0.25">
      <c r="B26" s="20" t="s">
        <v>78</v>
      </c>
      <c r="C26" s="21">
        <v>1528</v>
      </c>
      <c r="D26" s="21">
        <v>1697</v>
      </c>
      <c r="E26" s="21">
        <v>2129</v>
      </c>
      <c r="F26" s="21">
        <v>2148</v>
      </c>
      <c r="G26" s="21">
        <v>2467</v>
      </c>
    </row>
    <row r="27" spans="2:7" x14ac:dyDescent="0.25">
      <c r="B27" s="17" t="s">
        <v>79</v>
      </c>
      <c r="C27" s="16">
        <f>C21+C26</f>
        <v>3388</v>
      </c>
      <c r="D27" s="16">
        <f t="shared" ref="D27:G27" si="1">D21+D26</f>
        <v>3497</v>
      </c>
      <c r="E27" s="16">
        <f t="shared" si="1"/>
        <v>3930</v>
      </c>
      <c r="F27" s="16">
        <f t="shared" si="1"/>
        <v>4135</v>
      </c>
      <c r="G27" s="16">
        <f t="shared" si="1"/>
        <v>4372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DBB86-2D31-482F-A087-9B4FB9ABE4CA}">
  <dimension ref="B1:G33"/>
  <sheetViews>
    <sheetView workbookViewId="0">
      <selection activeCell="B5" sqref="B5"/>
    </sheetView>
  </sheetViews>
  <sheetFormatPr defaultRowHeight="15" x14ac:dyDescent="0.25"/>
  <cols>
    <col min="2" max="2" width="38.5703125" bestFit="1" customWidth="1"/>
    <col min="3" max="7" width="12.7109375" customWidth="1"/>
  </cols>
  <sheetData>
    <row r="1" spans="2:7" ht="23.25" x14ac:dyDescent="0.35">
      <c r="B1" s="2" t="s">
        <v>71</v>
      </c>
      <c r="C1" s="3"/>
      <c r="D1" s="3"/>
      <c r="E1" s="3"/>
      <c r="F1" s="3"/>
      <c r="G1" s="4"/>
    </row>
    <row r="2" spans="2:7" ht="23.25" x14ac:dyDescent="0.35">
      <c r="B2" s="8" t="s">
        <v>84</v>
      </c>
      <c r="C2" s="6"/>
      <c r="D2" s="6"/>
      <c r="E2" s="6"/>
      <c r="F2" s="6"/>
      <c r="G2" s="7"/>
    </row>
    <row r="3" spans="2:7" x14ac:dyDescent="0.25">
      <c r="B3" s="5" t="s">
        <v>72</v>
      </c>
      <c r="C3" s="6"/>
      <c r="D3" s="6"/>
      <c r="E3" s="6"/>
      <c r="F3" s="6"/>
      <c r="G3" s="7"/>
    </row>
    <row r="4" spans="2:7" x14ac:dyDescent="0.25">
      <c r="B4" s="39" t="s">
        <v>24</v>
      </c>
      <c r="C4" s="10" t="s">
        <v>0</v>
      </c>
      <c r="D4" s="10" t="s">
        <v>1</v>
      </c>
      <c r="E4" s="10" t="s">
        <v>2</v>
      </c>
      <c r="F4" s="10" t="s">
        <v>3</v>
      </c>
      <c r="G4" s="10" t="s">
        <v>4</v>
      </c>
    </row>
    <row r="5" spans="2:7" x14ac:dyDescent="0.25">
      <c r="B5" s="72" t="s">
        <v>108</v>
      </c>
      <c r="C5" s="12">
        <v>-738</v>
      </c>
      <c r="D5" s="12">
        <v>293</v>
      </c>
      <c r="E5" s="12">
        <v>491</v>
      </c>
      <c r="F5" s="12">
        <v>558</v>
      </c>
      <c r="G5" s="12">
        <v>544</v>
      </c>
    </row>
    <row r="6" spans="2:7" x14ac:dyDescent="0.25">
      <c r="B6" s="40" t="s">
        <v>44</v>
      </c>
      <c r="C6" s="12">
        <v>1241</v>
      </c>
      <c r="D6" s="12">
        <v>121</v>
      </c>
      <c r="E6" s="12">
        <v>90</v>
      </c>
      <c r="F6" s="12">
        <v>79</v>
      </c>
      <c r="G6" s="12">
        <v>133</v>
      </c>
    </row>
    <row r="7" spans="2:7" x14ac:dyDescent="0.25">
      <c r="B7" s="40" t="s">
        <v>45</v>
      </c>
      <c r="C7" s="12">
        <v>11</v>
      </c>
      <c r="D7" s="12">
        <v>104</v>
      </c>
      <c r="E7" s="12">
        <v>43</v>
      </c>
      <c r="F7" s="12">
        <v>96</v>
      </c>
      <c r="G7" s="12">
        <v>120</v>
      </c>
    </row>
    <row r="8" spans="2:7" x14ac:dyDescent="0.25">
      <c r="B8" s="40" t="s">
        <v>46</v>
      </c>
      <c r="C8" s="12">
        <v>1252</v>
      </c>
      <c r="D8" s="12">
        <v>225</v>
      </c>
      <c r="E8" s="12">
        <v>133</v>
      </c>
      <c r="F8" s="12">
        <v>175</v>
      </c>
      <c r="G8" s="12">
        <v>253</v>
      </c>
    </row>
    <row r="9" spans="2:7" x14ac:dyDescent="0.25">
      <c r="B9" s="40" t="s">
        <v>47</v>
      </c>
      <c r="C9" s="12">
        <v>52</v>
      </c>
      <c r="D9" s="12">
        <v>-41</v>
      </c>
      <c r="E9" s="12">
        <v>21</v>
      </c>
      <c r="F9" s="12">
        <v>-47</v>
      </c>
      <c r="G9" s="12">
        <v>-166</v>
      </c>
    </row>
    <row r="10" spans="2:7" x14ac:dyDescent="0.25">
      <c r="B10" s="40" t="s">
        <v>48</v>
      </c>
      <c r="C10" s="12">
        <v>-31</v>
      </c>
      <c r="D10" s="12">
        <v>-51</v>
      </c>
      <c r="E10" s="12">
        <v>-25</v>
      </c>
      <c r="F10" s="12">
        <v>-180</v>
      </c>
      <c r="G10" s="12">
        <v>38</v>
      </c>
    </row>
    <row r="11" spans="2:7" x14ac:dyDescent="0.25">
      <c r="B11" s="40" t="s">
        <v>49</v>
      </c>
      <c r="C11" s="12">
        <v>15</v>
      </c>
      <c r="D11" s="12">
        <v>88</v>
      </c>
      <c r="E11" s="12">
        <v>-6</v>
      </c>
      <c r="F11" s="12">
        <v>6</v>
      </c>
      <c r="G11" s="12">
        <v>14</v>
      </c>
    </row>
    <row r="12" spans="2:7" x14ac:dyDescent="0.25">
      <c r="B12" s="40" t="s">
        <v>50</v>
      </c>
      <c r="C12" s="12">
        <v>-4</v>
      </c>
      <c r="D12" s="12">
        <v>-21</v>
      </c>
      <c r="E12" s="12">
        <v>-34</v>
      </c>
      <c r="F12" s="12">
        <v>13</v>
      </c>
      <c r="G12" s="12">
        <v>84</v>
      </c>
    </row>
    <row r="13" spans="2:7" x14ac:dyDescent="0.25">
      <c r="B13" s="40" t="s">
        <v>51</v>
      </c>
      <c r="C13" s="12">
        <v>32</v>
      </c>
      <c r="D13" s="12">
        <v>-25</v>
      </c>
      <c r="E13" s="12">
        <v>-44</v>
      </c>
      <c r="F13" s="12">
        <v>-208</v>
      </c>
      <c r="G13" s="12">
        <v>-30</v>
      </c>
    </row>
    <row r="14" spans="2:7" x14ac:dyDescent="0.25">
      <c r="B14" s="41" t="s">
        <v>80</v>
      </c>
      <c r="C14" s="22">
        <v>443</v>
      </c>
      <c r="D14" s="22">
        <v>430</v>
      </c>
      <c r="E14" s="22">
        <v>472</v>
      </c>
      <c r="F14" s="22">
        <v>464</v>
      </c>
      <c r="G14" s="22">
        <v>638</v>
      </c>
    </row>
    <row r="15" spans="2:7" x14ac:dyDescent="0.25">
      <c r="B15" s="40" t="s">
        <v>52</v>
      </c>
      <c r="C15" s="12">
        <v>-103</v>
      </c>
      <c r="D15" s="12">
        <v>-94</v>
      </c>
      <c r="E15" s="12">
        <v>-117</v>
      </c>
      <c r="F15" s="12">
        <v>-172</v>
      </c>
      <c r="G15" s="12">
        <v>-145</v>
      </c>
    </row>
    <row r="16" spans="2:7" x14ac:dyDescent="0.25">
      <c r="B16" s="40" t="s">
        <v>53</v>
      </c>
      <c r="C16" s="12">
        <v>-44</v>
      </c>
      <c r="D16" s="12">
        <v>-32</v>
      </c>
      <c r="E16" s="12">
        <v>-67</v>
      </c>
      <c r="F16" s="12">
        <v>-52</v>
      </c>
      <c r="G16" s="12">
        <v>-84</v>
      </c>
    </row>
    <row r="17" spans="2:7" x14ac:dyDescent="0.25">
      <c r="B17" s="40" t="s">
        <v>54</v>
      </c>
      <c r="C17" s="15">
        <v>3</v>
      </c>
      <c r="D17" s="15">
        <v>-14</v>
      </c>
      <c r="E17" s="15">
        <v>-8</v>
      </c>
      <c r="F17" s="15"/>
      <c r="G17" s="15"/>
    </row>
    <row r="18" spans="2:7" x14ac:dyDescent="0.25">
      <c r="B18" s="40" t="s">
        <v>55</v>
      </c>
      <c r="C18" s="12">
        <v>-10</v>
      </c>
      <c r="D18" s="12"/>
      <c r="E18" s="12">
        <v>-4</v>
      </c>
      <c r="F18" s="12">
        <v>-6</v>
      </c>
      <c r="G18" s="12">
        <v>1</v>
      </c>
    </row>
    <row r="19" spans="2:7" x14ac:dyDescent="0.25">
      <c r="B19" s="40" t="s">
        <v>56</v>
      </c>
      <c r="C19" s="15"/>
      <c r="D19" s="15"/>
      <c r="E19" s="15">
        <v>12</v>
      </c>
      <c r="F19" s="15"/>
      <c r="G19" s="15">
        <v>5</v>
      </c>
    </row>
    <row r="20" spans="2:7" x14ac:dyDescent="0.25">
      <c r="B20" s="40" t="s">
        <v>57</v>
      </c>
      <c r="C20" s="12">
        <v>-10</v>
      </c>
      <c r="D20" s="12"/>
      <c r="E20" s="12">
        <v>8</v>
      </c>
      <c r="F20" s="12">
        <v>-6</v>
      </c>
      <c r="G20" s="12">
        <v>6</v>
      </c>
    </row>
    <row r="21" spans="2:7" x14ac:dyDescent="0.25">
      <c r="B21" s="40" t="s">
        <v>58</v>
      </c>
      <c r="C21" s="12">
        <v>3</v>
      </c>
      <c r="D21" s="12">
        <v>44</v>
      </c>
      <c r="E21" s="12">
        <v>33</v>
      </c>
      <c r="F21" s="12">
        <v>-53</v>
      </c>
      <c r="G21" s="12">
        <v>-15</v>
      </c>
    </row>
    <row r="22" spans="2:7" x14ac:dyDescent="0.25">
      <c r="B22" s="41" t="s">
        <v>81</v>
      </c>
      <c r="C22" s="13">
        <v>-151</v>
      </c>
      <c r="D22" s="13">
        <v>-96</v>
      </c>
      <c r="E22" s="13">
        <v>-151</v>
      </c>
      <c r="F22" s="13">
        <v>-283</v>
      </c>
      <c r="G22" s="13">
        <v>-238</v>
      </c>
    </row>
    <row r="23" spans="2:7" x14ac:dyDescent="0.25">
      <c r="B23" s="40" t="s">
        <v>59</v>
      </c>
      <c r="C23" s="12">
        <v>-52</v>
      </c>
      <c r="D23" s="12">
        <v>-131</v>
      </c>
      <c r="E23" s="12">
        <v>8</v>
      </c>
      <c r="F23" s="12">
        <v>171</v>
      </c>
      <c r="G23" s="12">
        <v>-35</v>
      </c>
    </row>
    <row r="24" spans="2:7" x14ac:dyDescent="0.25">
      <c r="B24" s="40" t="s">
        <v>60</v>
      </c>
      <c r="C24" s="12">
        <v>-26</v>
      </c>
      <c r="D24" s="12">
        <v>-10</v>
      </c>
      <c r="E24" s="12">
        <v>-18</v>
      </c>
      <c r="F24" s="12">
        <v>49</v>
      </c>
      <c r="G24" s="12">
        <v>-79</v>
      </c>
    </row>
    <row r="25" spans="2:7" x14ac:dyDescent="0.25">
      <c r="B25" s="40" t="s">
        <v>61</v>
      </c>
      <c r="C25" s="12">
        <v>-78</v>
      </c>
      <c r="D25" s="12">
        <v>-141</v>
      </c>
      <c r="E25" s="12">
        <v>-10</v>
      </c>
      <c r="F25" s="12">
        <v>220</v>
      </c>
      <c r="G25" s="12">
        <v>-114</v>
      </c>
    </row>
    <row r="26" spans="2:7" x14ac:dyDescent="0.25">
      <c r="B26" s="40" t="s">
        <v>62</v>
      </c>
      <c r="C26" s="12"/>
      <c r="D26" s="12"/>
      <c r="E26" s="12"/>
      <c r="F26" s="12">
        <v>-375</v>
      </c>
      <c r="G26" s="12"/>
    </row>
    <row r="27" spans="2:7" x14ac:dyDescent="0.25">
      <c r="B27" s="19" t="s">
        <v>63</v>
      </c>
      <c r="C27" s="43"/>
      <c r="D27" s="43"/>
      <c r="E27" s="43"/>
      <c r="F27" s="43">
        <v>-375</v>
      </c>
      <c r="G27" s="43"/>
    </row>
    <row r="28" spans="2:7" x14ac:dyDescent="0.25">
      <c r="B28" s="42" t="s">
        <v>64</v>
      </c>
      <c r="C28" s="43">
        <v>-79</v>
      </c>
      <c r="D28" s="43">
        <v>-84</v>
      </c>
      <c r="E28" s="43">
        <v>-97</v>
      </c>
      <c r="F28" s="43">
        <v>-109</v>
      </c>
      <c r="G28" s="43">
        <v>-120</v>
      </c>
    </row>
    <row r="29" spans="2:7" x14ac:dyDescent="0.25">
      <c r="B29" s="11" t="s">
        <v>65</v>
      </c>
      <c r="C29" s="12">
        <v>-63</v>
      </c>
      <c r="D29" s="12">
        <v>-53</v>
      </c>
      <c r="E29" s="12">
        <v>-48</v>
      </c>
      <c r="F29" s="12">
        <v>-34</v>
      </c>
      <c r="G29" s="12">
        <v>-53</v>
      </c>
    </row>
    <row r="30" spans="2:7" x14ac:dyDescent="0.25">
      <c r="B30" s="17" t="s">
        <v>82</v>
      </c>
      <c r="C30" s="13">
        <v>-220</v>
      </c>
      <c r="D30" s="13">
        <v>-278</v>
      </c>
      <c r="E30" s="13">
        <v>-155</v>
      </c>
      <c r="F30" s="13">
        <v>-298</v>
      </c>
      <c r="G30" s="13">
        <v>-287</v>
      </c>
    </row>
    <row r="31" spans="2:7" ht="15.75" thickBot="1" x14ac:dyDescent="0.3">
      <c r="B31" s="18" t="s">
        <v>83</v>
      </c>
      <c r="C31" s="44">
        <v>72</v>
      </c>
      <c r="D31" s="44">
        <v>49</v>
      </c>
      <c r="E31" s="44">
        <v>166</v>
      </c>
      <c r="F31" s="44">
        <v>-119</v>
      </c>
      <c r="G31" s="44">
        <v>103</v>
      </c>
    </row>
    <row r="32" spans="2:7" ht="15.75" thickTop="1" x14ac:dyDescent="0.25">
      <c r="B32" s="11" t="s">
        <v>66</v>
      </c>
      <c r="C32" s="12">
        <v>22</v>
      </c>
      <c r="D32" s="12">
        <v>21</v>
      </c>
      <c r="E32" s="12">
        <v>24</v>
      </c>
      <c r="F32" s="12">
        <v>27</v>
      </c>
      <c r="G32" s="12">
        <v>29</v>
      </c>
    </row>
    <row r="33" spans="2:7" x14ac:dyDescent="0.25">
      <c r="B33" s="11" t="s">
        <v>67</v>
      </c>
      <c r="C33" s="12">
        <v>-79</v>
      </c>
      <c r="D33" s="12">
        <v>-84</v>
      </c>
      <c r="E33" s="12">
        <v>-97</v>
      </c>
      <c r="F33" s="12">
        <v>-109</v>
      </c>
      <c r="G33" s="12">
        <v>-120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F917-5187-4D1A-AEDB-6905B6483F00}">
  <dimension ref="B2:G14"/>
  <sheetViews>
    <sheetView showGridLines="0" workbookViewId="0">
      <selection activeCell="F23" sqref="F23"/>
    </sheetView>
  </sheetViews>
  <sheetFormatPr defaultRowHeight="15" x14ac:dyDescent="0.25"/>
  <cols>
    <col min="2" max="2" width="19.42578125" customWidth="1"/>
    <col min="8" max="8" width="10.42578125" customWidth="1"/>
  </cols>
  <sheetData>
    <row r="2" spans="2:7" ht="26.25" x14ac:dyDescent="0.4">
      <c r="B2" s="51" t="s">
        <v>85</v>
      </c>
    </row>
    <row r="3" spans="2:7" x14ac:dyDescent="0.25">
      <c r="B3" s="50" t="s">
        <v>86</v>
      </c>
      <c r="C3" s="50" t="s">
        <v>0</v>
      </c>
      <c r="D3" s="50" t="s">
        <v>1</v>
      </c>
      <c r="E3" s="50" t="s">
        <v>2</v>
      </c>
      <c r="F3" s="50" t="s">
        <v>3</v>
      </c>
      <c r="G3" s="50" t="s">
        <v>4</v>
      </c>
    </row>
    <row r="4" spans="2:7" x14ac:dyDescent="0.25">
      <c r="B4" s="49" t="s">
        <v>87</v>
      </c>
    </row>
    <row r="5" spans="2:7" x14ac:dyDescent="0.25">
      <c r="B5" s="47" t="s">
        <v>88</v>
      </c>
      <c r="C5" s="45">
        <f>'Income Statement'!C23/('Balance Sheet'!C16-'Balance Sheet'!C17)</f>
        <v>-0.28830567348514086</v>
      </c>
      <c r="D5" s="45">
        <f>'Income Statement'!D23/('Balance Sheet'!D16-'Balance Sheet'!D17)</f>
        <v>0.1424731182795699</v>
      </c>
      <c r="E5" s="45">
        <f>'Income Statement'!E23/('Balance Sheet'!E16-'Balance Sheet'!E17)</f>
        <v>0.20048800325335503</v>
      </c>
      <c r="F5" s="45">
        <f>'Income Statement'!F23/('Balance Sheet'!F16-'Balance Sheet'!F17)</f>
        <v>0.18635339555841648</v>
      </c>
      <c r="G5" s="45">
        <f>'Income Statement'!G23/('Balance Sheet'!G16-'Balance Sheet'!G17)</f>
        <v>0.17342073897497021</v>
      </c>
    </row>
    <row r="6" spans="2:7" x14ac:dyDescent="0.25">
      <c r="B6" s="47" t="s">
        <v>89</v>
      </c>
      <c r="C6" s="45">
        <f>'Income Statement'!C13/Table1[[#This Row],[2017]]</f>
        <v>-0.38584710743801653</v>
      </c>
      <c r="D6" s="45">
        <f>'Income Statement'!D13/Table1[[#This Row],[2018]]</f>
        <v>0.17922705314009663</v>
      </c>
      <c r="E6" s="45">
        <f>'Income Statement'!E13/Table1[[#This Row],[2019]]</f>
        <v>0.22338015405527867</v>
      </c>
      <c r="F6" s="45">
        <f>'Income Statement'!F13/Table1[[#This Row],[2020]]</f>
        <v>0.24733020076890219</v>
      </c>
      <c r="G6" s="45">
        <f>'Income Statement'!G13/Table1[[#This Row],[2021]]</f>
        <v>0.22796709753231492</v>
      </c>
    </row>
    <row r="7" spans="2:7" x14ac:dyDescent="0.25">
      <c r="B7" s="47" t="s">
        <v>90</v>
      </c>
      <c r="C7" s="45">
        <f>'Income Statement'!C8/'Income Statement'!C6</f>
        <v>0.49948347107438018</v>
      </c>
      <c r="D7" s="45">
        <f>'Income Statement'!D8/'Income Statement'!D6</f>
        <v>0.50724637681159424</v>
      </c>
      <c r="E7" s="45">
        <f>'Income Statement'!E8/'Income Statement'!E6</f>
        <v>0.49297689170820119</v>
      </c>
      <c r="F7" s="45">
        <f>'Income Statement'!F8/'Income Statement'!F6</f>
        <v>0.51302862024775742</v>
      </c>
      <c r="G7" s="45">
        <f>'Income Statement'!G8/'Income Statement'!G6</f>
        <v>0.509596553074814</v>
      </c>
    </row>
    <row r="8" spans="2:7" x14ac:dyDescent="0.25">
      <c r="B8" s="47" t="s">
        <v>91</v>
      </c>
      <c r="C8" s="45">
        <v>-0.10244786944696282</v>
      </c>
      <c r="D8" s="45">
        <v>0.292485549132948</v>
      </c>
      <c r="E8" s="45">
        <v>0.24040920716112532</v>
      </c>
      <c r="F8" s="45">
        <v>0.63717112660220376</v>
      </c>
      <c r="G8" s="45">
        <v>1.3059500959692898</v>
      </c>
    </row>
    <row r="9" spans="2:7" x14ac:dyDescent="0.25">
      <c r="B9" s="47" t="s">
        <v>92</v>
      </c>
      <c r="C9" s="45">
        <f>'Income Statement'!C6/AVERAGE('Balance Sheet'!$C$16:$G$16)</f>
        <v>0.50098333505848258</v>
      </c>
      <c r="D9" s="45">
        <f>'Income Statement'!D6/AVERAGE('Balance Sheet'!$C$16:$G$16)</f>
        <v>0.53565883448918328</v>
      </c>
      <c r="E9" s="45">
        <f>'Income Statement'!E6/AVERAGE('Balance Sheet'!$C$16:$G$16)</f>
        <v>0.57111065107131764</v>
      </c>
      <c r="F9" s="45">
        <f>'Income Statement'!F6/AVERAGE('Balance Sheet'!$C$16:$G$16)</f>
        <v>0.60578615050201845</v>
      </c>
      <c r="G9" s="45">
        <f>'Income Statement'!G6/AVERAGE('Balance Sheet'!$C$16:$G$16)</f>
        <v>0.66064589586999278</v>
      </c>
    </row>
    <row r="10" spans="2:7" x14ac:dyDescent="0.25">
      <c r="B10" s="49" t="s">
        <v>93</v>
      </c>
    </row>
    <row r="11" spans="2:7" x14ac:dyDescent="0.25">
      <c r="B11" s="48" t="s">
        <v>94</v>
      </c>
      <c r="C11" s="46">
        <f>'Balance Sheet'!C10/'Balance Sheet'!C17</f>
        <v>1.9749058971141782</v>
      </c>
      <c r="D11" s="46">
        <f>'Balance Sheet'!D10/'Balance Sheet'!D17</f>
        <v>1.8678611422172453</v>
      </c>
      <c r="E11" s="46">
        <f>'Balance Sheet'!E10/'Balance Sheet'!E17</f>
        <v>1.2562882392929979</v>
      </c>
      <c r="F11" s="46">
        <f>'Balance Sheet'!F10/'Balance Sheet'!F17</f>
        <v>1.8696498054474708</v>
      </c>
      <c r="G11" s="46">
        <f>'Balance Sheet'!G10/'Balance Sheet'!G17</f>
        <v>2.061023622047244</v>
      </c>
    </row>
    <row r="12" spans="2:7" x14ac:dyDescent="0.25">
      <c r="B12" s="48" t="s">
        <v>95</v>
      </c>
      <c r="C12" s="46">
        <f>('Balance Sheet'!C10-'Balance Sheet'!C7)/'Balance Sheet'!C17</f>
        <v>1.3626097867001254</v>
      </c>
      <c r="D12" s="46">
        <f>('Balance Sheet'!D10-'Balance Sheet'!D7)/'Balance Sheet'!D17</f>
        <v>1.2765957446808511</v>
      </c>
      <c r="E12" s="46">
        <f>('Balance Sheet'!E10-'Balance Sheet'!E7)/'Balance Sheet'!E17</f>
        <v>0.87015635622025833</v>
      </c>
      <c r="F12" s="46">
        <f>('Balance Sheet'!F10-'Balance Sheet'!F7)/'Balance Sheet'!F17</f>
        <v>1.1332684824902723</v>
      </c>
      <c r="G12" s="46">
        <f>('Balance Sheet'!G10-'Balance Sheet'!G7)/'Balance Sheet'!G17</f>
        <v>1.3769685039370079</v>
      </c>
    </row>
    <row r="13" spans="2:7" x14ac:dyDescent="0.25">
      <c r="B13" s="49" t="s">
        <v>96</v>
      </c>
    </row>
    <row r="14" spans="2:7" x14ac:dyDescent="0.25">
      <c r="B14" s="48" t="s">
        <v>97</v>
      </c>
      <c r="C14" s="46">
        <f>'Balance Sheet'!C21/'Balance Sheet'!C26</f>
        <v>1.2172774869109948</v>
      </c>
      <c r="D14" s="46">
        <f>'Balance Sheet'!D21/'Balance Sheet'!D26</f>
        <v>1.060695344725987</v>
      </c>
      <c r="E14" s="46">
        <f>'Balance Sheet'!E21/'Balance Sheet'!E26</f>
        <v>0.84593705965241894</v>
      </c>
      <c r="F14" s="46">
        <f>'Balance Sheet'!F21/'Balance Sheet'!F26</f>
        <v>0.92504655493482313</v>
      </c>
      <c r="G14" s="46">
        <f>'Balance Sheet'!G21/'Balance Sheet'!G26</f>
        <v>0.7721929468990677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7DDC-4D5B-4D3D-AED9-9AD30955799E}">
  <dimension ref="B2:N72"/>
  <sheetViews>
    <sheetView showGridLines="0" workbookViewId="0">
      <selection activeCell="B4" sqref="B4"/>
    </sheetView>
  </sheetViews>
  <sheetFormatPr defaultRowHeight="15" x14ac:dyDescent="0.25"/>
  <cols>
    <col min="2" max="2" width="32.7109375" bestFit="1" customWidth="1"/>
    <col min="3" max="6" width="12.7109375" customWidth="1"/>
    <col min="7" max="7" width="14.140625" bestFit="1" customWidth="1"/>
  </cols>
  <sheetData>
    <row r="2" spans="2:14" ht="23.25" x14ac:dyDescent="0.35">
      <c r="B2" s="54" t="s">
        <v>71</v>
      </c>
      <c r="C2" s="55"/>
      <c r="D2" s="55"/>
      <c r="E2" s="55"/>
      <c r="F2" s="55"/>
      <c r="G2" s="56"/>
      <c r="H2" s="55"/>
      <c r="I2" s="56"/>
    </row>
    <row r="3" spans="2:14" ht="23.25" x14ac:dyDescent="0.35">
      <c r="B3" s="57" t="s">
        <v>73</v>
      </c>
      <c r="C3" s="58"/>
      <c r="D3" s="58"/>
      <c r="E3" s="58"/>
      <c r="F3" s="58"/>
      <c r="G3" s="59"/>
      <c r="H3" s="58"/>
      <c r="I3" s="59"/>
    </row>
    <row r="4" spans="2:14" x14ac:dyDescent="0.25">
      <c r="B4" s="60" t="s">
        <v>72</v>
      </c>
      <c r="C4" s="58"/>
      <c r="D4" s="58"/>
      <c r="E4" s="58"/>
      <c r="F4" s="58"/>
      <c r="G4" s="59"/>
      <c r="H4" s="58"/>
      <c r="I4" s="61">
        <v>1</v>
      </c>
      <c r="J4" s="52">
        <v>2</v>
      </c>
      <c r="K4" s="52">
        <v>3</v>
      </c>
      <c r="L4" s="52">
        <v>4</v>
      </c>
      <c r="M4" s="52">
        <v>5</v>
      </c>
      <c r="N4" s="53"/>
    </row>
    <row r="5" spans="2:14" x14ac:dyDescent="0.25">
      <c r="B5" s="23" t="s">
        <v>24</v>
      </c>
      <c r="C5" s="24" t="s">
        <v>98</v>
      </c>
      <c r="D5" s="24" t="s">
        <v>99</v>
      </c>
      <c r="E5" s="24" t="s">
        <v>100</v>
      </c>
      <c r="F5" s="24" t="s">
        <v>101</v>
      </c>
      <c r="G5" s="25" t="s">
        <v>102</v>
      </c>
      <c r="H5" s="24" t="s">
        <v>103</v>
      </c>
      <c r="I5" s="25" t="s">
        <v>104</v>
      </c>
      <c r="J5" s="53"/>
      <c r="K5" s="53"/>
      <c r="L5" s="53"/>
      <c r="M5" s="53"/>
      <c r="N5" s="53"/>
    </row>
    <row r="6" spans="2:14" x14ac:dyDescent="0.25">
      <c r="B6" s="26" t="s">
        <v>5</v>
      </c>
      <c r="C6" s="27">
        <f>Table1[[#This Row],[2021]]*(1+Table16[[#This Row],[CAGR]])^'Financial Projection'!I$4</f>
        <v>2698.2358434446123</v>
      </c>
      <c r="D6" s="27">
        <f>Table1[[#This Row],[2021]]*(1+Table16[[#This Row],[CAGR]])^'Financial Projection'!J$4</f>
        <v>2851.7339078923847</v>
      </c>
      <c r="E6" s="27">
        <f>Table1[[#This Row],[2021]]*(1+Table16[[#This Row],[CAGR]])^'Financial Projection'!K$4</f>
        <v>3013.9642170942457</v>
      </c>
      <c r="F6" s="27">
        <f>Table1[[#This Row],[2021]]*(1+Table16[[#This Row],[CAGR]])^'Financial Projection'!L$4</f>
        <v>3185.4235336557667</v>
      </c>
      <c r="G6" s="27">
        <f>Table1[[#This Row],[2021]]*(1+Table16[[#This Row],[CAGR]])^'Financial Projection'!M$4</f>
        <v>3366.6368801652898</v>
      </c>
      <c r="H6" s="66">
        <f>((Table1[[#This Row],[2021]]/Table1[[#This Row],[2017]])^(1/5))-1</f>
        <v>5.6888305305371034E-2</v>
      </c>
      <c r="I6" s="33"/>
    </row>
    <row r="7" spans="2:14" x14ac:dyDescent="0.25">
      <c r="B7" s="26" t="s">
        <v>6</v>
      </c>
      <c r="C7" s="27">
        <f>Table1[[#This Row],[2021]]*(1+Table16[[#This Row],[CAGR]])^'Financial Projection'!I$4</f>
        <v>1317.8331841164272</v>
      </c>
      <c r="D7" s="27">
        <f>Table1[[#This Row],[2021]]*(1+Table16[[#This Row],[CAGR]])^'Financial Projection'!J$4</f>
        <v>1387.1280360690423</v>
      </c>
      <c r="E7" s="27">
        <f>Table1[[#This Row],[2021]]*(1+Table16[[#This Row],[CAGR]])^'Financial Projection'!K$4</f>
        <v>1460.0665787140831</v>
      </c>
      <c r="F7" s="27">
        <f>Table1[[#This Row],[2021]]*(1+Table16[[#This Row],[CAGR]])^'Financial Projection'!L$4</f>
        <v>1536.8404061092317</v>
      </c>
      <c r="G7" s="27">
        <f>Table1[[#This Row],[2021]]*(1+Table16[[#This Row],[CAGR]])^'Financial Projection'!M$4</f>
        <v>1617.6511867905049</v>
      </c>
      <c r="H7" s="67">
        <f>((Table1[[#This Row],[2021]]/Table1[[#This Row],[2017]])^(1/5))-1</f>
        <v>5.2582415428456208E-2</v>
      </c>
      <c r="I7" s="33"/>
    </row>
    <row r="8" spans="2:14" x14ac:dyDescent="0.25">
      <c r="B8" s="29" t="s">
        <v>68</v>
      </c>
      <c r="C8" s="30">
        <f>C6-C7</f>
        <v>1380.4026593281851</v>
      </c>
      <c r="D8" s="30">
        <f t="shared" ref="D8:G8" si="0">D6-D7</f>
        <v>1464.6058718233423</v>
      </c>
      <c r="E8" s="30">
        <f t="shared" si="0"/>
        <v>1553.8976383801626</v>
      </c>
      <c r="F8" s="30">
        <f t="shared" si="0"/>
        <v>1648.583127546535</v>
      </c>
      <c r="G8" s="30">
        <f t="shared" si="0"/>
        <v>1748.9856933747849</v>
      </c>
      <c r="H8" s="67"/>
      <c r="I8" s="33"/>
    </row>
    <row r="9" spans="2:14" x14ac:dyDescent="0.25">
      <c r="B9" s="26" t="s">
        <v>7</v>
      </c>
      <c r="C9" s="27">
        <f>Table1[[#This Row],[2021]]*(1+Table16[[#This Row],[CAGR]])^'Financial Projection'!I$4</f>
        <v>147.85845739406886</v>
      </c>
      <c r="D9" s="27">
        <f>Table1[[#This Row],[2021]]*(1+Table16[[#This Row],[CAGR]])^'Financial Projection'!J$4</f>
        <v>152.88198197869707</v>
      </c>
      <c r="E9" s="27">
        <f>Table1[[#This Row],[2021]]*(1+Table16[[#This Row],[CAGR]])^'Financial Projection'!K$4</f>
        <v>158.07618194907681</v>
      </c>
      <c r="F9" s="27">
        <f>Table1[[#This Row],[2021]]*(1+Table16[[#This Row],[CAGR]])^'Financial Projection'!L$4</f>
        <v>163.44685604010246</v>
      </c>
      <c r="G9" s="27">
        <f>Table1[[#This Row],[2021]]*(1+Table16[[#This Row],[CAGR]])^'Financial Projection'!M$4</f>
        <v>168.99999999999997</v>
      </c>
      <c r="H9" s="67">
        <f>((Table1[[#This Row],[2021]]/Table1[[#This Row],[2017]])^(1/5))-1</f>
        <v>3.3975226531950176E-2</v>
      </c>
      <c r="I9" s="33"/>
    </row>
    <row r="10" spans="2:14" x14ac:dyDescent="0.25">
      <c r="B10" s="26" t="s">
        <v>8</v>
      </c>
      <c r="C10" s="27">
        <f>Table1[[#This Row],[2021]]*(1+Table16[[#This Row],[CAGR]])^'Financial Projection'!I$4</f>
        <v>579.98493311801099</v>
      </c>
      <c r="D10" s="27">
        <f>Table1[[#This Row],[2021]]*(1+Table16[[#This Row],[CAGR]])^'Financial Projection'!J$4</f>
        <v>599.61233982870533</v>
      </c>
      <c r="E10" s="27">
        <f>Table1[[#This Row],[2021]]*(1+Table16[[#This Row],[CAGR]])^'Financial Projection'!K$4</f>
        <v>619.90396223223843</v>
      </c>
      <c r="F10" s="27">
        <f>Table1[[#This Row],[2021]]*(1+Table16[[#This Row],[CAGR]])^'Financial Projection'!L$4</f>
        <v>640.88227820829741</v>
      </c>
      <c r="G10" s="27">
        <f>Table1[[#This Row],[2021]]*(1+Table16[[#This Row],[CAGR]])^'Financial Projection'!M$4</f>
        <v>662.57052631578949</v>
      </c>
      <c r="H10" s="67">
        <f>((Table1[[#This Row],[2021]]/Table1[[#This Row],[2017]])^(1/5))-1</f>
        <v>3.3841235504475931E-2</v>
      </c>
      <c r="I10" s="33"/>
    </row>
    <row r="11" spans="2:14" x14ac:dyDescent="0.25">
      <c r="B11" s="26" t="s">
        <v>9</v>
      </c>
      <c r="C11" s="27">
        <f>Table1[[#This Row],[2021]]*(1+Table16[[#This Row],[CAGR]])^'Financial Projection'!I$4</f>
        <v>-6.3331700626195424</v>
      </c>
      <c r="D11" s="27">
        <f>Table1[[#This Row],[2021]]*(1+Table16[[#This Row],[CAGR]])^'Financial Projection'!J$4</f>
        <v>-2.6739362028040277</v>
      </c>
      <c r="E11" s="27">
        <f>Table1[[#This Row],[2021]]*(1+Table16[[#This Row],[CAGR]])^'Financial Projection'!K$4</f>
        <v>-1.1289661805968694</v>
      </c>
      <c r="F11" s="27">
        <f>Table1[[#This Row],[2021]]*(1+Table16[[#This Row],[CAGR]])^'Financial Projection'!L$4</f>
        <v>-0.4766623211110681</v>
      </c>
      <c r="G11" s="27">
        <f>Table1[[#This Row],[2021]]*(1+Table16[[#This Row],[CAGR]])^'Financial Projection'!M$4</f>
        <v>-0.2012522361359573</v>
      </c>
      <c r="H11" s="67">
        <f>((Table1[[#This Row],[2021]]/Table1[[#This Row],[2017]])^(1/5))-1</f>
        <v>-0.57778866249203054</v>
      </c>
      <c r="I11" s="33"/>
    </row>
    <row r="12" spans="2:14" x14ac:dyDescent="0.25">
      <c r="B12" s="26" t="s">
        <v>10</v>
      </c>
      <c r="C12" s="27">
        <f>Table1[[#This Row],[2021]]*(1+Table16[[#This Row],[CAGR]])^'Financial Projection'!I$4</f>
        <v>1853.1040900337371</v>
      </c>
      <c r="D12" s="27">
        <f>Table1[[#This Row],[2021]]*(1+Table16[[#This Row],[CAGR]])^'Financial Projection'!J$4</f>
        <v>1742.2601565194138</v>
      </c>
      <c r="E12" s="27">
        <f>Table1[[#This Row],[2021]]*(1+Table16[[#This Row],[CAGR]])^'Financial Projection'!K$4</f>
        <v>1638.0463835357407</v>
      </c>
      <c r="F12" s="27">
        <f>Table1[[#This Row],[2021]]*(1+Table16[[#This Row],[CAGR]])^'Financial Projection'!L$4</f>
        <v>1540.0661861973883</v>
      </c>
      <c r="G12" s="27">
        <f>Table1[[#This Row],[2021]]*(1+Table16[[#This Row],[CAGR]])^'Financial Projection'!M$4</f>
        <v>1447.9467014535967</v>
      </c>
      <c r="H12" s="67">
        <f>((Table1[[#This Row],[2021]]/Table1[[#This Row],[2017]])^(1/5))-1</f>
        <v>-5.9815276492269365E-2</v>
      </c>
      <c r="I12" s="33"/>
    </row>
    <row r="13" spans="2:14" x14ac:dyDescent="0.25">
      <c r="B13" s="29" t="s">
        <v>69</v>
      </c>
      <c r="C13" s="30">
        <f>C6-C12</f>
        <v>845.13175341087526</v>
      </c>
      <c r="D13" s="30">
        <f t="shared" ref="D13:G13" si="1">D6-D12</f>
        <v>1109.4737513729708</v>
      </c>
      <c r="E13" s="30">
        <f t="shared" si="1"/>
        <v>1375.917833558505</v>
      </c>
      <c r="F13" s="30">
        <f t="shared" si="1"/>
        <v>1645.3573474583784</v>
      </c>
      <c r="G13" s="30">
        <f t="shared" si="1"/>
        <v>1918.6901787116931</v>
      </c>
      <c r="H13" s="67"/>
      <c r="I13" s="33"/>
    </row>
    <row r="14" spans="2:14" x14ac:dyDescent="0.25">
      <c r="B14" s="26" t="s">
        <v>11</v>
      </c>
      <c r="C14" s="27">
        <f>Table1[[#This Row],[2021]]*(1+Table16[[#This Row],[CAGR]])^'Financial Projection'!I$4</f>
        <v>50.686442889188825</v>
      </c>
      <c r="D14" s="27">
        <f>Table1[[#This Row],[2021]]*(1+Table16[[#This Row],[CAGR]])^'Financial Projection'!J$4</f>
        <v>-67.608302441026325</v>
      </c>
      <c r="E14" s="27">
        <f>Table1[[#This Row],[2021]]*(1+Table16[[#This Row],[CAGR]])^'Financial Projection'!K$4</f>
        <v>90.179588434528583</v>
      </c>
      <c r="F14" s="27">
        <f>Table1[[#This Row],[2021]]*(1+Table16[[#This Row],[CAGR]])^'Financial Projection'!L$4</f>
        <v>-120.28638313045491</v>
      </c>
      <c r="G14" s="27">
        <f>Table1[[#This Row],[2021]]*(1+Table16[[#This Row],[CAGR]])^'Financial Projection'!M$4</f>
        <v>160.44444444444446</v>
      </c>
      <c r="H14" s="67">
        <f>((Table1[[#This Row],[2021]]/Table1[[#This Row],[2017]])^(1/5))-1</f>
        <v>-2.3338537602418112</v>
      </c>
      <c r="I14" s="33"/>
    </row>
    <row r="15" spans="2:14" x14ac:dyDescent="0.25">
      <c r="B15" s="26" t="s">
        <v>12</v>
      </c>
      <c r="C15" s="27">
        <f>C13+C14</f>
        <v>895.81819630006407</v>
      </c>
      <c r="D15" s="27">
        <f t="shared" ref="D15:G15" si="2">D13+D14</f>
        <v>1041.8654489319445</v>
      </c>
      <c r="E15" s="27">
        <f t="shared" si="2"/>
        <v>1466.0974219930335</v>
      </c>
      <c r="F15" s="27">
        <f t="shared" si="2"/>
        <v>1525.0709643279235</v>
      </c>
      <c r="G15" s="27">
        <f t="shared" si="2"/>
        <v>2079.1346231561374</v>
      </c>
      <c r="H15" s="67"/>
      <c r="I15" s="33"/>
    </row>
    <row r="16" spans="2:14" x14ac:dyDescent="0.25">
      <c r="B16" s="26" t="s">
        <v>13</v>
      </c>
      <c r="C16" s="27">
        <f>C15*Table16[[#This Row],[CAGR]]</f>
        <v>37.521939871984145</v>
      </c>
      <c r="D16" s="27">
        <f>D15*Table16[[#This Row],[CAGR]]</f>
        <v>43.639226007000673</v>
      </c>
      <c r="E16" s="27">
        <f>E15*Table16[[#This Row],[CAGR]]</f>
        <v>61.408463839762305</v>
      </c>
      <c r="F16" s="27">
        <f>F15*Table16[[#This Row],[CAGR]]</f>
        <v>63.878609812089095</v>
      </c>
      <c r="G16" s="27">
        <f>G15*Table16[[#This Row],[CAGR]]</f>
        <v>87.085933996470914</v>
      </c>
      <c r="H16" s="67">
        <f>((Table1[[#This Row],[2021]]/Table1[[#This Row],[2017]])^(1/5))-1</f>
        <v>4.1885663884656976E-2</v>
      </c>
      <c r="I16" s="33"/>
    </row>
    <row r="17" spans="2:9" x14ac:dyDescent="0.25">
      <c r="B17" s="26" t="s">
        <v>14</v>
      </c>
      <c r="C17" s="27">
        <f>C15-C16</f>
        <v>858.29625642807991</v>
      </c>
      <c r="D17" s="27">
        <f t="shared" ref="D17:G17" si="3">D15-D16</f>
        <v>998.22622292494384</v>
      </c>
      <c r="E17" s="27">
        <f t="shared" si="3"/>
        <v>1404.6889581532712</v>
      </c>
      <c r="F17" s="27">
        <f t="shared" si="3"/>
        <v>1461.1923545158345</v>
      </c>
      <c r="G17" s="27">
        <f t="shared" si="3"/>
        <v>1992.0486891596665</v>
      </c>
      <c r="H17" s="67"/>
      <c r="I17" s="33"/>
    </row>
    <row r="18" spans="2:9" x14ac:dyDescent="0.25">
      <c r="B18" s="26" t="s">
        <v>15</v>
      </c>
      <c r="C18" s="27">
        <f>Table1[[#This Row],[2021]]*(1+Table16[[#This Row],[CAGR]])^'Financial Projection'!I$4</f>
        <v>0</v>
      </c>
      <c r="D18" s="27">
        <f>Table1[[#This Row],[2021]]*(1+Table16[[#This Row],[CAGR]])^'Financial Projection'!J$4</f>
        <v>0</v>
      </c>
      <c r="E18" s="27">
        <f>Table1[[#This Row],[2021]]*(1+Table16[[#This Row],[CAGR]])^'Financial Projection'!K$4</f>
        <v>0</v>
      </c>
      <c r="F18" s="27">
        <f>Table1[[#This Row],[2021]]*(1+Table16[[#This Row],[CAGR]])^'Financial Projection'!L$4</f>
        <v>0</v>
      </c>
      <c r="G18" s="27">
        <f>Table1[[#This Row],[2021]]*(1+Table16[[#This Row],[CAGR]])^'Financial Projection'!M$4</f>
        <v>0</v>
      </c>
      <c r="H18" s="67"/>
      <c r="I18" s="33"/>
    </row>
    <row r="19" spans="2:9" x14ac:dyDescent="0.25">
      <c r="B19" s="26" t="s">
        <v>16</v>
      </c>
      <c r="C19" s="27">
        <f>Table1[[#This Row],[2021]]*(1+Table16[[#This Row],[CAGR]])^'Financial Projection'!I$4</f>
        <v>-365.71835387722257</v>
      </c>
      <c r="D19" s="27">
        <f>Table1[[#This Row],[2021]]*(1+Table16[[#This Row],[CAGR]])^'Financial Projection'!J$4</f>
        <v>318.45217705396522</v>
      </c>
      <c r="E19" s="27">
        <f>Table1[[#This Row],[2021]]*(1+Table16[[#This Row],[CAGR]])^'Financial Projection'!K$4</f>
        <v>-277.29477614474757</v>
      </c>
      <c r="F19" s="27">
        <f>Table1[[#This Row],[2021]]*(1+Table16[[#This Row],[CAGR]])^'Financial Projection'!L$4</f>
        <v>241.45664064383331</v>
      </c>
      <c r="G19" s="27">
        <f>Table1[[#This Row],[2021]]*(1+Table16[[#This Row],[CAGR]])^'Financial Projection'!M$4</f>
        <v>-210.25029797377806</v>
      </c>
      <c r="H19" s="67">
        <f>((Table1[[#This Row],[2021]]/Table1[[#This Row],[2017]])^(1/5))-1</f>
        <v>-1.8707579854219585</v>
      </c>
      <c r="I19" s="33"/>
    </row>
    <row r="20" spans="2:9" x14ac:dyDescent="0.25">
      <c r="B20" s="26" t="s">
        <v>17</v>
      </c>
      <c r="C20" s="27">
        <f>Table1[[#This Row],[2021]]*(1+Table16[[#This Row],[CAGR]])^'Financial Projection'!I$4</f>
        <v>0</v>
      </c>
      <c r="D20" s="27">
        <f>Table1[[#This Row],[2021]]*(1+Table16[[#This Row],[CAGR]])^'Financial Projection'!J$4</f>
        <v>0</v>
      </c>
      <c r="E20" s="27">
        <f>Table1[[#This Row],[2021]]*(1+Table16[[#This Row],[CAGR]])^'Financial Projection'!K$4</f>
        <v>0</v>
      </c>
      <c r="F20" s="27">
        <f>Table1[[#This Row],[2021]]*(1+Table16[[#This Row],[CAGR]])^'Financial Projection'!L$4</f>
        <v>0</v>
      </c>
      <c r="G20" s="27">
        <f>Table1[[#This Row],[2021]]*(1+Table16[[#This Row],[CAGR]])^'Financial Projection'!M$4</f>
        <v>0</v>
      </c>
      <c r="H20" s="67"/>
      <c r="I20" s="33"/>
    </row>
    <row r="21" spans="2:9" ht="15.75" thickBot="1" x14ac:dyDescent="0.3">
      <c r="B21" s="34" t="s">
        <v>70</v>
      </c>
      <c r="C21" s="14">
        <f>SUM(C17:C20)</f>
        <v>492.57790255085735</v>
      </c>
      <c r="D21" s="14">
        <f t="shared" ref="D21:G21" si="4">SUM(D17:D20)</f>
        <v>1316.6783999789091</v>
      </c>
      <c r="E21" s="14">
        <f t="shared" si="4"/>
        <v>1127.3941820085236</v>
      </c>
      <c r="F21" s="14">
        <f t="shared" si="4"/>
        <v>1702.6489951596677</v>
      </c>
      <c r="G21" s="14">
        <f t="shared" si="4"/>
        <v>1781.7983911858885</v>
      </c>
      <c r="H21" s="68"/>
      <c r="I21" s="33"/>
    </row>
    <row r="22" spans="2:9" ht="15.75" thickTop="1" x14ac:dyDescent="0.25">
      <c r="B22" s="26" t="s">
        <v>19</v>
      </c>
      <c r="C22" s="27">
        <f>C21+C16</f>
        <v>530.09984242284145</v>
      </c>
      <c r="D22" s="27">
        <f t="shared" ref="D22:G22" si="5">D21+D16</f>
        <v>1360.3176259859097</v>
      </c>
      <c r="E22" s="27">
        <f t="shared" si="5"/>
        <v>1188.8026458482859</v>
      </c>
      <c r="F22" s="27">
        <f t="shared" si="5"/>
        <v>1766.5276049717568</v>
      </c>
      <c r="G22" s="27">
        <f t="shared" si="5"/>
        <v>1868.8843251823594</v>
      </c>
      <c r="H22" s="69"/>
      <c r="I22" s="33"/>
    </row>
    <row r="23" spans="2:9" x14ac:dyDescent="0.25">
      <c r="B23" s="26" t="s">
        <v>20</v>
      </c>
      <c r="C23" s="27">
        <v>240</v>
      </c>
      <c r="D23" s="27">
        <v>241</v>
      </c>
      <c r="E23" s="27">
        <v>242</v>
      </c>
      <c r="F23" s="27">
        <v>236</v>
      </c>
      <c r="G23" s="28">
        <v>231</v>
      </c>
      <c r="H23" s="69"/>
      <c r="I23" s="33"/>
    </row>
    <row r="24" spans="2:9" x14ac:dyDescent="0.25">
      <c r="B24" s="26" t="s">
        <v>21</v>
      </c>
      <c r="C24" s="27">
        <v>241</v>
      </c>
      <c r="D24" s="27">
        <v>242</v>
      </c>
      <c r="E24" s="27">
        <v>243</v>
      </c>
      <c r="F24" s="27">
        <v>238</v>
      </c>
      <c r="G24" s="28">
        <v>233</v>
      </c>
      <c r="H24" s="69"/>
      <c r="I24" s="33"/>
    </row>
    <row r="25" spans="2:9" x14ac:dyDescent="0.25">
      <c r="B25" s="26" t="s">
        <v>22</v>
      </c>
      <c r="C25" s="27">
        <f>C21/C23</f>
        <v>2.0524079272952389</v>
      </c>
      <c r="D25" s="27">
        <f t="shared" ref="D25:G25" si="6">D21/D23</f>
        <v>5.4633958505348925</v>
      </c>
      <c r="E25" s="27">
        <f t="shared" si="6"/>
        <v>4.6586536446633202</v>
      </c>
      <c r="F25" s="27">
        <f t="shared" si="6"/>
        <v>7.2146143862697789</v>
      </c>
      <c r="G25" s="27">
        <f t="shared" si="6"/>
        <v>7.7134129488566598</v>
      </c>
      <c r="H25" s="69"/>
      <c r="I25" s="33"/>
    </row>
    <row r="26" spans="2:9" x14ac:dyDescent="0.25">
      <c r="B26" s="36" t="s">
        <v>23</v>
      </c>
      <c r="C26" s="37">
        <f>C21/C24</f>
        <v>2.0438917118292834</v>
      </c>
      <c r="D26" s="37">
        <f t="shared" ref="D26:G26" si="7">D21/D24</f>
        <v>5.440819834623591</v>
      </c>
      <c r="E26" s="37">
        <f t="shared" si="7"/>
        <v>4.6394822304877517</v>
      </c>
      <c r="F26" s="37">
        <f t="shared" si="7"/>
        <v>7.1539873746204528</v>
      </c>
      <c r="G26" s="37">
        <f t="shared" si="7"/>
        <v>7.6472033956475904</v>
      </c>
      <c r="H26" s="70"/>
      <c r="I26" s="62"/>
    </row>
    <row r="30" spans="2:9" ht="23.25" x14ac:dyDescent="0.35">
      <c r="B30" s="2" t="s">
        <v>71</v>
      </c>
      <c r="C30" s="3"/>
      <c r="D30" s="3"/>
      <c r="E30" s="3"/>
      <c r="F30" s="3"/>
      <c r="G30" s="4"/>
      <c r="H30" s="4"/>
    </row>
    <row r="31" spans="2:9" ht="23.25" x14ac:dyDescent="0.35">
      <c r="B31" s="8" t="s">
        <v>74</v>
      </c>
      <c r="C31" s="6"/>
      <c r="D31" s="6"/>
      <c r="E31" s="6"/>
      <c r="F31" s="6"/>
      <c r="G31" s="7"/>
      <c r="H31" s="7"/>
    </row>
    <row r="32" spans="2:9" x14ac:dyDescent="0.25">
      <c r="B32" s="63" t="s">
        <v>72</v>
      </c>
      <c r="C32" s="64"/>
      <c r="D32" s="64"/>
      <c r="E32" s="64"/>
      <c r="F32" s="64"/>
      <c r="G32" s="65"/>
      <c r="H32" s="65"/>
    </row>
    <row r="33" spans="2:8" x14ac:dyDescent="0.25">
      <c r="B33" s="9" t="s">
        <v>43</v>
      </c>
      <c r="C33" s="10" t="s">
        <v>98</v>
      </c>
      <c r="D33" s="10" t="s">
        <v>99</v>
      </c>
      <c r="E33" s="10" t="s">
        <v>100</v>
      </c>
      <c r="F33" s="10" t="s">
        <v>101</v>
      </c>
      <c r="G33" s="10" t="s">
        <v>102</v>
      </c>
      <c r="H33" s="10" t="s">
        <v>103</v>
      </c>
    </row>
    <row r="34" spans="2:8" x14ac:dyDescent="0.25">
      <c r="B34" s="11" t="s">
        <v>25</v>
      </c>
      <c r="C34" s="12">
        <f>'Balance Sheet'!$G5*(1+Table27[[#This Row],[CAGR]])^'Financial Projection'!I$4</f>
        <v>1222.9720208867709</v>
      </c>
      <c r="D34" s="12">
        <f>'Balance Sheet'!$G5*(1+Table27[[#This Row],[CAGR]])^'Financial Projection'!J$4</f>
        <v>3510.9402907790432</v>
      </c>
      <c r="E34" s="12">
        <f>'Balance Sheet'!$G5*(1+Table27[[#This Row],[CAGR]])^'Financial Projection'!K$4</f>
        <v>10079.299865321205</v>
      </c>
      <c r="F34" s="12">
        <f>'Balance Sheet'!$G5*(1+Table27[[#This Row],[CAGR]])^'Financial Projection'!L$4</f>
        <v>28935.919543229182</v>
      </c>
      <c r="G34" s="12">
        <f>'Balance Sheet'!$G5*(1+Table27[[#This Row],[CAGR]])^'Financial Projection'!M$4</f>
        <v>83070</v>
      </c>
      <c r="H34" s="71">
        <f>('Balance Sheet'!G5-'Balance Sheet'!C5)^(1/5)-1</f>
        <v>1.8708263401097907</v>
      </c>
    </row>
    <row r="35" spans="2:8" x14ac:dyDescent="0.25">
      <c r="B35" s="11" t="s">
        <v>26</v>
      </c>
      <c r="C35" s="12">
        <f>'Balance Sheet'!$G6*(1+Table27[[#This Row],[CAGR]])^'Financial Projection'!I$4</f>
        <v>2266.7086608219101</v>
      </c>
      <c r="D35" s="12">
        <f>'Balance Sheet'!$G6*(1+Table27[[#This Row],[CAGR]])^'Financial Projection'!J$4</f>
        <v>5865.2604486815726</v>
      </c>
      <c r="E35" s="12">
        <f>'Balance Sheet'!$G6*(1+Table27[[#This Row],[CAGR]])^'Financial Projection'!K$4</f>
        <v>15176.754174660644</v>
      </c>
      <c r="F35" s="12">
        <f>'Balance Sheet'!$G6*(1+Table27[[#This Row],[CAGR]])^'Financial Projection'!L$4</f>
        <v>39270.867729301783</v>
      </c>
      <c r="G35" s="12">
        <f>'Balance Sheet'!$G6*(1+Table27[[#This Row],[CAGR]])^'Financial Projection'!M$4</f>
        <v>101616.00000000001</v>
      </c>
      <c r="H35" s="71">
        <f>('Balance Sheet'!G6-'Balance Sheet'!C6)^(1/5)-1</f>
        <v>1.5875669644085733</v>
      </c>
    </row>
    <row r="36" spans="2:8" x14ac:dyDescent="0.25">
      <c r="B36" s="11" t="s">
        <v>27</v>
      </c>
      <c r="C36" s="12">
        <f>'Balance Sheet'!$G7*(1+Table27[[#This Row],[CAGR]])^'Financial Projection'!I$4</f>
        <v>2019.1978432350184</v>
      </c>
      <c r="D36" s="12">
        <f>'Balance Sheet'!$G7*(1+Table27[[#This Row],[CAGR]])^'Financial Projection'!J$4</f>
        <v>5866.4171656474082</v>
      </c>
      <c r="E36" s="12">
        <f>'Balance Sheet'!$G7*(1+Table27[[#This Row],[CAGR]])^'Financial Projection'!K$4</f>
        <v>17043.822860995879</v>
      </c>
      <c r="F36" s="12">
        <f>'Balance Sheet'!$G7*(1+Table27[[#This Row],[CAGR]])^'Financial Projection'!L$4</f>
        <v>49517.770304176374</v>
      </c>
      <c r="G36" s="12">
        <f>'Balance Sheet'!$G7*(1+Table27[[#This Row],[CAGR]])^'Financial Projection'!M$4</f>
        <v>143864.99999999994</v>
      </c>
      <c r="H36" s="71">
        <f>('Balance Sheet'!G7-'Balance Sheet'!C7)^(1/5)-1</f>
        <v>1.9053206377482277</v>
      </c>
    </row>
    <row r="37" spans="2:8" x14ac:dyDescent="0.25">
      <c r="B37" s="11" t="s">
        <v>28</v>
      </c>
      <c r="C37" s="12">
        <f>'Balance Sheet'!$G8*(1+Table27[[#This Row],[CAGR]])^'Financial Projection'!I$4</f>
        <v>0</v>
      </c>
      <c r="D37" s="12">
        <f>'Balance Sheet'!$G8*(1+Table27[[#This Row],[CAGR]])^'Financial Projection'!J$4</f>
        <v>0</v>
      </c>
      <c r="E37" s="12">
        <f>'Balance Sheet'!$G8*(1+Table27[[#This Row],[CAGR]])^'Financial Projection'!K$4</f>
        <v>0</v>
      </c>
      <c r="F37" s="12">
        <f>'Balance Sheet'!$G8*(1+Table27[[#This Row],[CAGR]])^'Financial Projection'!L$4</f>
        <v>0</v>
      </c>
      <c r="G37" s="12">
        <f>'Balance Sheet'!$G8*(1+Table27[[#This Row],[CAGR]])^'Financial Projection'!M$4</f>
        <v>0</v>
      </c>
      <c r="H37" s="71"/>
    </row>
    <row r="38" spans="2:8" x14ac:dyDescent="0.25">
      <c r="B38" s="11" t="s">
        <v>29</v>
      </c>
      <c r="C38" s="12">
        <f>'Balance Sheet'!$G9*(1+Table27[[#This Row],[CAGR]])^'Financial Projection'!I$4</f>
        <v>111.4237404347124</v>
      </c>
      <c r="D38" s="12">
        <f>'Balance Sheet'!$G9*(1+Table27[[#This Row],[CAGR]])^'Financial Projection'!J$4</f>
        <v>127.99226734497076</v>
      </c>
      <c r="E38" s="12">
        <f>'Balance Sheet'!$G9*(1+Table27[[#This Row],[CAGR]])^'Financial Projection'!K$4</f>
        <v>147.02450695150864</v>
      </c>
      <c r="F38" s="12">
        <f>'Balance Sheet'!$G9*(1+Table27[[#This Row],[CAGR]])^'Financial Projection'!L$4</f>
        <v>168.88680927944813</v>
      </c>
      <c r="G38" s="12">
        <f>'Balance Sheet'!$G9*(1+Table27[[#This Row],[CAGR]])^'Financial Projection'!M$4</f>
        <v>194.00000000000006</v>
      </c>
      <c r="H38" s="71">
        <f>('Balance Sheet'!G9-'Balance Sheet'!C9)^(1/5)-1</f>
        <v>0.1486983549970351</v>
      </c>
    </row>
    <row r="39" spans="2:8" x14ac:dyDescent="0.25">
      <c r="B39" s="17" t="s">
        <v>75</v>
      </c>
      <c r="C39" s="13">
        <f>SUM(C34:C38)</f>
        <v>5620.302265378411</v>
      </c>
      <c r="D39" s="13">
        <f t="shared" ref="D39:G39" si="8">SUM(D34:D38)</f>
        <v>15370.610172452994</v>
      </c>
      <c r="E39" s="13">
        <f t="shared" si="8"/>
        <v>42446.901407929239</v>
      </c>
      <c r="F39" s="13">
        <f t="shared" si="8"/>
        <v>117893.44438598678</v>
      </c>
      <c r="G39" s="13">
        <f t="shared" si="8"/>
        <v>328744.99999999994</v>
      </c>
      <c r="H39" s="71"/>
    </row>
    <row r="40" spans="2:8" x14ac:dyDescent="0.25">
      <c r="B40" s="11" t="s">
        <v>30</v>
      </c>
      <c r="C40" s="12">
        <f>'Balance Sheet'!$G11*(1+Table27[[#This Row],[CAGR]])^'Financial Projection'!I$4</f>
        <v>3218.6425672481328</v>
      </c>
      <c r="D40" s="12">
        <f>'Balance Sheet'!$G11*(1+Table27[[#This Row],[CAGR]])^'Financial Projection'!J$4</f>
        <v>9663.8619176321372</v>
      </c>
      <c r="E40" s="12">
        <f>'Balance Sheet'!$G11*(1+Table27[[#This Row],[CAGR]])^'Financial Projection'!K$4</f>
        <v>29015.407959047545</v>
      </c>
      <c r="F40" s="12">
        <f>'Balance Sheet'!$G11*(1+Table27[[#This Row],[CAGR]])^'Financial Projection'!L$4</f>
        <v>87117.749219273028</v>
      </c>
      <c r="G40" s="12">
        <f>'Balance Sheet'!$G11*(1+Table27[[#This Row],[CAGR]])^'Financial Projection'!M$4</f>
        <v>261568</v>
      </c>
      <c r="H40" s="71">
        <f>('Balance Sheet'!G11-'Balance Sheet'!C11)^(1/5)-1</f>
        <v>2.0024650813881837</v>
      </c>
    </row>
    <row r="41" spans="2:8" x14ac:dyDescent="0.25">
      <c r="B41" s="11" t="s">
        <v>31</v>
      </c>
      <c r="C41" s="12">
        <f>'Balance Sheet'!$G12*(1+Table27[[#This Row],[CAGR]])^'Financial Projection'!I$4</f>
        <v>342</v>
      </c>
      <c r="D41" s="12">
        <f>'Balance Sheet'!$G12*(1+Table27[[#This Row],[CAGR]])^'Financial Projection'!J$4</f>
        <v>2052</v>
      </c>
      <c r="E41" s="12">
        <f>'Balance Sheet'!$G12*(1+Table27[[#This Row],[CAGR]])^'Financial Projection'!K$4</f>
        <v>12312</v>
      </c>
      <c r="F41" s="12">
        <f>'Balance Sheet'!$G12*(1+Table27[[#This Row],[CAGR]])^'Financial Projection'!L$4</f>
        <v>73872</v>
      </c>
      <c r="G41" s="12">
        <f>'Balance Sheet'!$G12*(1+Table27[[#This Row],[CAGR]])^'Financial Projection'!M$4</f>
        <v>443232</v>
      </c>
      <c r="H41" s="71">
        <v>5</v>
      </c>
    </row>
    <row r="42" spans="2:8" x14ac:dyDescent="0.25">
      <c r="B42" s="11" t="s">
        <v>32</v>
      </c>
      <c r="C42" s="12">
        <f>'Balance Sheet'!$G13*(1+Table27[[#This Row],[CAGR]])^'Financial Projection'!I$4</f>
        <v>2271.127991186665</v>
      </c>
      <c r="D42" s="12">
        <f>'Balance Sheet'!$G13*(1+Table27[[#This Row],[CAGR]])^'Financial Projection'!J$4</f>
        <v>5782.536269452441</v>
      </c>
      <c r="E42" s="12">
        <f>'Balance Sheet'!$G13*(1+Table27[[#This Row],[CAGR]])^'Financial Projection'!K$4</f>
        <v>14722.95962063403</v>
      </c>
      <c r="F42" s="12">
        <f>'Balance Sheet'!$G13*(1+Table27[[#This Row],[CAGR]])^'Financial Projection'!L$4</f>
        <v>37486.239582436043</v>
      </c>
      <c r="G42" s="12">
        <f>'Balance Sheet'!$G13*(1+Table27[[#This Row],[CAGR]])^'Financial Projection'!M$4</f>
        <v>95444.000000000044</v>
      </c>
      <c r="H42" s="71">
        <f>('Balance Sheet'!G13-'Balance Sheet'!C13)^(1/5)-1</f>
        <v>1.5461076134379654</v>
      </c>
    </row>
    <row r="43" spans="2:8" x14ac:dyDescent="0.25">
      <c r="B43" s="11" t="s">
        <v>33</v>
      </c>
      <c r="C43" s="12">
        <f>'Balance Sheet'!$G14*(1+Table27[[#This Row],[CAGR]])^'Financial Projection'!I$4</f>
        <v>0</v>
      </c>
      <c r="D43" s="12">
        <f>'Balance Sheet'!$G14*(1+Table27[[#This Row],[CAGR]])^'Financial Projection'!J$4</f>
        <v>0</v>
      </c>
      <c r="E43" s="12">
        <f>'Balance Sheet'!$G14*(1+Table27[[#This Row],[CAGR]])^'Financial Projection'!K$4</f>
        <v>0</v>
      </c>
      <c r="F43" s="12">
        <f>'Balance Sheet'!$G14*(1+Table27[[#This Row],[CAGR]])^'Financial Projection'!L$4</f>
        <v>0</v>
      </c>
      <c r="G43" s="12">
        <f>'Balance Sheet'!$G14*(1+Table27[[#This Row],[CAGR]])^'Financial Projection'!M$4</f>
        <v>0</v>
      </c>
      <c r="H43" s="71"/>
    </row>
    <row r="44" spans="2:8" x14ac:dyDescent="0.25">
      <c r="B44" s="11" t="s">
        <v>34</v>
      </c>
      <c r="C44" s="12">
        <f>SUM(C40:C43)</f>
        <v>5831.7705584347977</v>
      </c>
      <c r="D44" s="12">
        <f t="shared" ref="D44:G44" si="9">SUM(D40:D43)</f>
        <v>17498.398187084578</v>
      </c>
      <c r="E44" s="12">
        <f t="shared" si="9"/>
        <v>56050.367579681573</v>
      </c>
      <c r="F44" s="12">
        <f t="shared" si="9"/>
        <v>198475.98880170909</v>
      </c>
      <c r="G44" s="12">
        <f t="shared" si="9"/>
        <v>800244</v>
      </c>
      <c r="H44" s="71"/>
    </row>
    <row r="45" spans="2:8" ht="15.75" thickBot="1" x14ac:dyDescent="0.3">
      <c r="B45" s="18" t="s">
        <v>76</v>
      </c>
      <c r="C45" s="14">
        <f>SUM(C39,C44)</f>
        <v>11452.072823813209</v>
      </c>
      <c r="D45" s="14">
        <f t="shared" ref="D45:G45" si="10">SUM(D39,D44)</f>
        <v>32869.008359537576</v>
      </c>
      <c r="E45" s="14">
        <f t="shared" si="10"/>
        <v>98497.26898761082</v>
      </c>
      <c r="F45" s="14">
        <f t="shared" si="10"/>
        <v>316369.43318769586</v>
      </c>
      <c r="G45" s="14">
        <f t="shared" si="10"/>
        <v>1128989</v>
      </c>
      <c r="H45" s="71"/>
    </row>
    <row r="46" spans="2:8" ht="15.75" thickTop="1" x14ac:dyDescent="0.25">
      <c r="B46" s="11" t="s">
        <v>35</v>
      </c>
      <c r="C46" s="12">
        <f>'Balance Sheet'!$G17*(1+Table27[[#This Row],[CAGR]])^'Financial Projection'!I$4</f>
        <v>2985.2625371456252</v>
      </c>
      <c r="D46" s="12">
        <f>'Balance Sheet'!$G17*(1+Table27[[#This Row],[CAGR]])^'Financial Projection'!J$4</f>
        <v>8771.4492280365503</v>
      </c>
      <c r="E46" s="12">
        <f>'Balance Sheet'!$G17*(1+Table27[[#This Row],[CAGR]])^'Financial Projection'!K$4</f>
        <v>25772.715331626408</v>
      </c>
      <c r="F46" s="12">
        <f>'Balance Sheet'!$G17*(1+Table27[[#This Row],[CAGR]])^'Financial Projection'!L$4</f>
        <v>75726.694448841532</v>
      </c>
      <c r="G46" s="12">
        <f>'Balance Sheet'!$G17*(1+Table27[[#This Row],[CAGR]])^'Financial Projection'!M$4</f>
        <v>222504.0000000002</v>
      </c>
      <c r="H46" s="71">
        <f>('Balance Sheet'!G17-'Balance Sheet'!C17)^(1/5)-1</f>
        <v>1.9382505286866389</v>
      </c>
    </row>
    <row r="47" spans="2:8" x14ac:dyDescent="0.25">
      <c r="B47" s="11" t="s">
        <v>36</v>
      </c>
      <c r="C47" s="12">
        <f>'Balance Sheet'!$G18*(1+Table27[[#This Row],[CAGR]])^'Financial Projection'!I$4</f>
        <v>1476.2218033642887</v>
      </c>
      <c r="D47" s="12">
        <f>'Balance Sheet'!$G18*(1+Table27[[#This Row],[CAGR]])^'Financial Projection'!J$4</f>
        <v>3005.8356037629146</v>
      </c>
      <c r="E47" s="12">
        <f>'Balance Sheet'!$G18*(1+Table27[[#This Row],[CAGR]])^'Financial Projection'!K$4</f>
        <v>6120.3862835910004</v>
      </c>
      <c r="F47" s="12">
        <f>'Balance Sheet'!$G18*(1+Table27[[#This Row],[CAGR]])^'Financial Projection'!L$4</f>
        <v>12462.134726687949</v>
      </c>
      <c r="G47" s="12">
        <f>'Balance Sheet'!$G18*(1+Table27[[#This Row],[CAGR]])^'Financial Projection'!M$4</f>
        <v>25375.000000000015</v>
      </c>
      <c r="H47" s="71">
        <f>('Balance Sheet'!G18-'Balance Sheet'!C18)^(1/5)-1</f>
        <v>1.0361680046403983</v>
      </c>
    </row>
    <row r="48" spans="2:8" x14ac:dyDescent="0.25">
      <c r="B48" s="11" t="s">
        <v>37</v>
      </c>
      <c r="C48" s="12">
        <f>'Balance Sheet'!$G19*(1+Table27[[#This Row],[CAGR]])^'Financial Projection'!I$4</f>
        <v>-397.2753329294618</v>
      </c>
      <c r="D48" s="12">
        <f>'Balance Sheet'!$G19*(1+Table27[[#This Row],[CAGR]])^'Financial Projection'!J$4</f>
        <v>1127.3406439586765</v>
      </c>
      <c r="E48" s="12">
        <f>'Balance Sheet'!$G19*(1+Table27[[#This Row],[CAGR]])^'Financial Projection'!K$4</f>
        <v>-3199.0330689542643</v>
      </c>
      <c r="F48" s="12">
        <f>'Balance Sheet'!$G19*(1+Table27[[#This Row],[CAGR]])^'Financial Projection'!L$4</f>
        <v>9077.8351965797392</v>
      </c>
      <c r="G48" s="12">
        <f>'Balance Sheet'!$G19*(1+Table27[[#This Row],[CAGR]])^'Financial Projection'!M$4</f>
        <v>-25760.000000000015</v>
      </c>
      <c r="H48" s="71">
        <f>('Balance Sheet'!G19-'Balance Sheet'!C19)^(1/5)-1</f>
        <v>-3.8376809494961557</v>
      </c>
    </row>
    <row r="49" spans="2:8" x14ac:dyDescent="0.25">
      <c r="B49" s="11" t="s">
        <v>38</v>
      </c>
      <c r="C49" s="12">
        <f>SUM(C47:C48)</f>
        <v>1078.946470434827</v>
      </c>
      <c r="D49" s="12">
        <f t="shared" ref="D49:G49" si="11">SUM(D47:D48)</f>
        <v>4133.1762477215907</v>
      </c>
      <c r="E49" s="12">
        <f t="shared" si="11"/>
        <v>2921.3532146367361</v>
      </c>
      <c r="F49" s="12">
        <f t="shared" si="11"/>
        <v>21539.969923267687</v>
      </c>
      <c r="G49" s="12">
        <f t="shared" si="11"/>
        <v>-385</v>
      </c>
      <c r="H49" s="71"/>
    </row>
    <row r="50" spans="2:8" x14ac:dyDescent="0.25">
      <c r="B50" s="17" t="s">
        <v>106</v>
      </c>
      <c r="C50" s="22">
        <f>SUM(C46,C49)</f>
        <v>4064.2090075804522</v>
      </c>
      <c r="D50" s="22">
        <f t="shared" ref="D50:G50" si="12">SUM(D46,D49)</f>
        <v>12904.625475758141</v>
      </c>
      <c r="E50" s="22">
        <f t="shared" si="12"/>
        <v>28694.068546263145</v>
      </c>
      <c r="F50" s="22">
        <f t="shared" si="12"/>
        <v>97266.664372109226</v>
      </c>
      <c r="G50" s="22">
        <f t="shared" si="12"/>
        <v>222119.0000000002</v>
      </c>
      <c r="H50" s="71"/>
    </row>
    <row r="51" spans="2:8" x14ac:dyDescent="0.25">
      <c r="B51" s="11" t="s">
        <v>39</v>
      </c>
      <c r="C51" s="12">
        <v>979.6965170750791</v>
      </c>
      <c r="D51" s="12">
        <v>683.84666472721437</v>
      </c>
      <c r="E51" s="12">
        <v>11813.257073586166</v>
      </c>
      <c r="F51" s="12">
        <v>44740.265333734977</v>
      </c>
      <c r="G51" s="12">
        <v>382742.99999999977</v>
      </c>
      <c r="H51" s="71"/>
    </row>
    <row r="52" spans="2:8" x14ac:dyDescent="0.25">
      <c r="B52" s="11" t="s">
        <v>40</v>
      </c>
      <c r="C52" s="12">
        <f>'Balance Sheet'!$G23*(1+Table27[[#This Row],[CAGR]])^'Financial Projection'!I$4</f>
        <v>6567</v>
      </c>
      <c r="D52" s="12">
        <f>'Balance Sheet'!$G23*(1+Table27[[#This Row],[CAGR]])^'Financial Projection'!J$4</f>
        <v>19701</v>
      </c>
      <c r="E52" s="12">
        <f>'Balance Sheet'!$G23*(1+Table27[[#This Row],[CAGR]])^'Financial Projection'!K$4</f>
        <v>59103</v>
      </c>
      <c r="F52" s="12">
        <f>'Balance Sheet'!$G23*(1+Table27[[#This Row],[CAGR]])^'Financial Projection'!L$4</f>
        <v>177309</v>
      </c>
      <c r="G52" s="12">
        <f>'Balance Sheet'!$G23*(1+Table27[[#This Row],[CAGR]])^'Financial Projection'!M$4</f>
        <v>531927</v>
      </c>
      <c r="H52" s="71">
        <v>2</v>
      </c>
    </row>
    <row r="53" spans="2:8" x14ac:dyDescent="0.25">
      <c r="B53" s="11" t="s">
        <v>41</v>
      </c>
      <c r="C53" s="12">
        <f>'Balance Sheet'!$G24*(1+Table27[[#This Row],[CAGR]])^'Financial Projection'!I$4</f>
        <v>0</v>
      </c>
      <c r="D53" s="12">
        <f>'Balance Sheet'!$G24*(1+Table27[[#This Row],[CAGR]])^'Financial Projection'!J$4</f>
        <v>0</v>
      </c>
      <c r="E53" s="12">
        <f>'Balance Sheet'!$G24*(1+Table27[[#This Row],[CAGR]])^'Financial Projection'!K$4</f>
        <v>0</v>
      </c>
      <c r="F53" s="12">
        <f>'Balance Sheet'!$G24*(1+Table27[[#This Row],[CAGR]])^'Financial Projection'!L$4</f>
        <v>0</v>
      </c>
      <c r="G53" s="12">
        <f>'Balance Sheet'!$G24*(1+Table27[[#This Row],[CAGR]])^'Financial Projection'!M$4</f>
        <v>0</v>
      </c>
      <c r="H53" s="71"/>
    </row>
    <row r="54" spans="2:8" x14ac:dyDescent="0.25">
      <c r="B54" s="11" t="s">
        <v>42</v>
      </c>
      <c r="C54" s="12">
        <f>'Balance Sheet'!$G25*(1+Table27[[#This Row],[CAGR]])^'Financial Projection'!I$4</f>
        <v>-158.83270084232231</v>
      </c>
      <c r="D54" s="12">
        <f>'Balance Sheet'!$G25*(1+Table27[[#This Row],[CAGR]])^'Financial Projection'!J$4</f>
        <v>-420.46378094777754</v>
      </c>
      <c r="E54" s="12">
        <f>'Balance Sheet'!$G25*(1+Table27[[#This Row],[CAGR]])^'Financial Projection'!K$4</f>
        <v>-1113.0566322385014</v>
      </c>
      <c r="F54" s="12">
        <f>'Balance Sheet'!$G25*(1+Table27[[#This Row],[CAGR]])^'Financial Projection'!L$4</f>
        <v>-2946.496518148344</v>
      </c>
      <c r="G54" s="12">
        <f>'Balance Sheet'!$G25*(1+Table27[[#This Row],[CAGR]])^'Financial Projection'!M$4</f>
        <v>-7800.0000000000036</v>
      </c>
      <c r="H54" s="71">
        <f>('Balance Sheet'!G25-'Balance Sheet'!C25)^(1/5)-1</f>
        <v>1.6472116807053716</v>
      </c>
    </row>
    <row r="55" spans="2:8" x14ac:dyDescent="0.25">
      <c r="B55" s="20" t="s">
        <v>105</v>
      </c>
      <c r="C55" s="21">
        <f>SUM(C51,C52,C54)</f>
        <v>7387.863816232757</v>
      </c>
      <c r="D55" s="21">
        <f t="shared" ref="D55:G55" si="13">SUM(D51,D52,D54)</f>
        <v>19964.382883779435</v>
      </c>
      <c r="E55" s="21">
        <f t="shared" si="13"/>
        <v>69803.200441347668</v>
      </c>
      <c r="F55" s="21">
        <f t="shared" si="13"/>
        <v>219102.76881558663</v>
      </c>
      <c r="G55" s="21">
        <f t="shared" si="13"/>
        <v>906869.99999999977</v>
      </c>
      <c r="H55" s="71"/>
    </row>
    <row r="56" spans="2:8" x14ac:dyDescent="0.25">
      <c r="B56" s="17" t="s">
        <v>107</v>
      </c>
      <c r="C56" s="16">
        <f>C50+C55</f>
        <v>11452.072823813209</v>
      </c>
      <c r="D56" s="16">
        <f t="shared" ref="D56:G56" si="14">D50+D55</f>
        <v>32869.008359537576</v>
      </c>
      <c r="E56" s="16">
        <f t="shared" si="14"/>
        <v>98497.26898761082</v>
      </c>
      <c r="F56" s="16">
        <f t="shared" si="14"/>
        <v>316369.43318769586</v>
      </c>
      <c r="G56" s="16">
        <f t="shared" si="14"/>
        <v>1128989</v>
      </c>
      <c r="H56" s="71"/>
    </row>
    <row r="60" spans="2:8" ht="26.25" x14ac:dyDescent="0.4">
      <c r="B60" s="51" t="s">
        <v>85</v>
      </c>
    </row>
    <row r="61" spans="2:8" x14ac:dyDescent="0.25">
      <c r="B61" s="50" t="s">
        <v>86</v>
      </c>
      <c r="C61" s="50" t="s">
        <v>98</v>
      </c>
      <c r="D61" s="50" t="s">
        <v>99</v>
      </c>
      <c r="E61" s="50" t="s">
        <v>100</v>
      </c>
      <c r="F61" s="50" t="s">
        <v>101</v>
      </c>
      <c r="G61" s="50" t="s">
        <v>102</v>
      </c>
    </row>
    <row r="62" spans="2:8" x14ac:dyDescent="0.25">
      <c r="B62" s="49" t="s">
        <v>87</v>
      </c>
    </row>
    <row r="63" spans="2:8" x14ac:dyDescent="0.25">
      <c r="B63" s="47" t="s">
        <v>88</v>
      </c>
      <c r="C63" s="45">
        <f>C22/(C45-C46)</f>
        <v>6.2609155570377287E-2</v>
      </c>
      <c r="D63" s="45">
        <f t="shared" ref="D63:G63" si="15">D22/(D45-D46)</f>
        <v>5.6450432118980182E-2</v>
      </c>
      <c r="E63" s="45">
        <f t="shared" si="15"/>
        <v>1.6346647536288606E-2</v>
      </c>
      <c r="F63" s="45">
        <f t="shared" si="15"/>
        <v>7.3408722583098336E-3</v>
      </c>
      <c r="G63" s="45">
        <f t="shared" si="15"/>
        <v>2.0616825707897649E-3</v>
      </c>
    </row>
    <row r="64" spans="2:8" x14ac:dyDescent="0.25">
      <c r="B64" s="47" t="s">
        <v>89</v>
      </c>
      <c r="C64" s="45">
        <f>C13/C6</f>
        <v>0.31321641340734918</v>
      </c>
      <c r="D64" s="45">
        <f t="shared" ref="D64:G64" si="16">D13/D6</f>
        <v>0.38905234050849558</v>
      </c>
      <c r="E64" s="45">
        <f t="shared" si="16"/>
        <v>0.45651432281602317</v>
      </c>
      <c r="F64" s="45">
        <f t="shared" si="16"/>
        <v>0.51652702696337405</v>
      </c>
      <c r="G64" s="45">
        <f t="shared" si="16"/>
        <v>0.56991301616629719</v>
      </c>
    </row>
    <row r="65" spans="2:7" x14ac:dyDescent="0.25">
      <c r="B65" s="47" t="s">
        <v>90</v>
      </c>
      <c r="C65" s="45">
        <f>C8/C6</f>
        <v>0.51159451560985136</v>
      </c>
      <c r="D65" s="45">
        <f t="shared" ref="D65:G65" si="17">D8/D6</f>
        <v>0.5135843382055868</v>
      </c>
      <c r="E65" s="45">
        <f t="shared" si="17"/>
        <v>0.5155660540251108</v>
      </c>
      <c r="F65" s="45">
        <f t="shared" si="17"/>
        <v>0.51753969609640282</v>
      </c>
      <c r="G65" s="45">
        <f t="shared" si="17"/>
        <v>0.51950529731288275</v>
      </c>
    </row>
    <row r="66" spans="2:7" x14ac:dyDescent="0.25">
      <c r="B66" s="47" t="s">
        <v>91</v>
      </c>
      <c r="C66" s="45">
        <f>C21/C6</f>
        <v>0.18255554040896005</v>
      </c>
      <c r="D66" s="45">
        <f t="shared" ref="D66:G66" si="18">D21/D6</f>
        <v>0.46171152095744422</v>
      </c>
      <c r="E66" s="45">
        <f t="shared" si="18"/>
        <v>0.37405692330861218</v>
      </c>
      <c r="F66" s="45">
        <f t="shared" si="18"/>
        <v>0.53451259374781301</v>
      </c>
      <c r="G66" s="45">
        <f t="shared" si="18"/>
        <v>0.52925172942868981</v>
      </c>
    </row>
    <row r="67" spans="2:7" x14ac:dyDescent="0.25">
      <c r="B67" s="47" t="s">
        <v>92</v>
      </c>
      <c r="C67" s="45">
        <f>'Income Statement'!C64/AVERAGE('Balance Sheet'!$C$16:$G$16)</f>
        <v>0</v>
      </c>
      <c r="D67" s="45">
        <f>'Income Statement'!D64/AVERAGE('Balance Sheet'!$C$16:$G$16)</f>
        <v>0</v>
      </c>
      <c r="E67" s="45">
        <f>'Income Statement'!E64/AVERAGE('Balance Sheet'!$C$16:$G$16)</f>
        <v>0</v>
      </c>
      <c r="F67" s="45">
        <f>'Income Statement'!F64/AVERAGE('Balance Sheet'!$C$16:$G$16)</f>
        <v>0</v>
      </c>
      <c r="G67" s="45">
        <f>'Income Statement'!G64/AVERAGE('Balance Sheet'!$C$16:$G$16)</f>
        <v>0</v>
      </c>
    </row>
    <row r="68" spans="2:7" x14ac:dyDescent="0.25">
      <c r="B68" s="49" t="s">
        <v>93</v>
      </c>
    </row>
    <row r="69" spans="2:7" x14ac:dyDescent="0.25">
      <c r="B69" s="48" t="s">
        <v>94</v>
      </c>
      <c r="C69" s="46">
        <f>C39/C46</f>
        <v>1.8826827441288609</v>
      </c>
      <c r="D69" s="46">
        <f t="shared" ref="D69:G69" si="19">D39/D46</f>
        <v>1.752345567175293</v>
      </c>
      <c r="E69" s="46">
        <f t="shared" si="19"/>
        <v>1.6469704826111775</v>
      </c>
      <c r="F69" s="46">
        <f t="shared" si="19"/>
        <v>1.5568280808246782</v>
      </c>
      <c r="G69" s="46">
        <f t="shared" si="19"/>
        <v>1.477479056556285</v>
      </c>
    </row>
    <row r="70" spans="2:7" x14ac:dyDescent="0.25">
      <c r="B70" s="48" t="s">
        <v>95</v>
      </c>
      <c r="C70" s="46">
        <f>(C39-C36)/C46</f>
        <v>1.2062940452756989</v>
      </c>
      <c r="D70" s="46">
        <f t="shared" ref="D70:G70" si="20">(D39-D36)/D46</f>
        <v>1.0835373676252877</v>
      </c>
      <c r="E70" s="46">
        <f t="shared" si="20"/>
        <v>0.98565782534215729</v>
      </c>
      <c r="F70" s="46">
        <f t="shared" si="20"/>
        <v>0.90292696095434033</v>
      </c>
      <c r="G70" s="46">
        <f t="shared" si="20"/>
        <v>0.83090641067126803</v>
      </c>
    </row>
    <row r="71" spans="2:7" x14ac:dyDescent="0.25">
      <c r="B71" s="49" t="s">
        <v>96</v>
      </c>
    </row>
    <row r="72" spans="2:7" x14ac:dyDescent="0.25">
      <c r="B72" s="48" t="s">
        <v>97</v>
      </c>
      <c r="C72" s="46">
        <f>C50/C55</f>
        <v>0.55011964333323171</v>
      </c>
      <c r="D72" s="46">
        <f t="shared" ref="D72:G72" si="21">D50/D55</f>
        <v>0.64638238761904476</v>
      </c>
      <c r="E72" s="46">
        <f t="shared" si="21"/>
        <v>0.41107095899382745</v>
      </c>
      <c r="F72" s="46">
        <f t="shared" si="21"/>
        <v>0.44393169880010125</v>
      </c>
      <c r="G72" s="46">
        <f t="shared" si="21"/>
        <v>0.24492926218752442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first="1" last="1" negative="1" xr2:uid="{97985D32-BC64-43F3-9F07-5F79C574E4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Projection'!C6:G6</xm:f>
              <xm:sqref>I6</xm:sqref>
            </x14:sparkline>
            <x14:sparkline>
              <xm:f>'Financial Projection'!C7:G7</xm:f>
              <xm:sqref>I7</xm:sqref>
            </x14:sparkline>
            <x14:sparkline>
              <xm:f>'Financial Projection'!C8:G8</xm:f>
              <xm:sqref>I8</xm:sqref>
            </x14:sparkline>
            <x14:sparkline>
              <xm:f>'Financial Projection'!C9:G9</xm:f>
              <xm:sqref>I9</xm:sqref>
            </x14:sparkline>
            <x14:sparkline>
              <xm:f>'Financial Projection'!C10:G10</xm:f>
              <xm:sqref>I10</xm:sqref>
            </x14:sparkline>
            <x14:sparkline>
              <xm:f>'Financial Projection'!C11:G11</xm:f>
              <xm:sqref>I11</xm:sqref>
            </x14:sparkline>
            <x14:sparkline>
              <xm:f>'Financial Projection'!C12:G12</xm:f>
              <xm:sqref>I12</xm:sqref>
            </x14:sparkline>
            <x14:sparkline>
              <xm:f>'Financial Projection'!C13:G13</xm:f>
              <xm:sqref>I13</xm:sqref>
            </x14:sparkline>
            <x14:sparkline>
              <xm:f>'Financial Projection'!C14:G14</xm:f>
              <xm:sqref>I14</xm:sqref>
            </x14:sparkline>
            <x14:sparkline>
              <xm:f>'Financial Projection'!C15:G15</xm:f>
              <xm:sqref>I15</xm:sqref>
            </x14:sparkline>
            <x14:sparkline>
              <xm:f>'Financial Projection'!C16:G16</xm:f>
              <xm:sqref>I16</xm:sqref>
            </x14:sparkline>
            <x14:sparkline>
              <xm:f>'Financial Projection'!C17:G17</xm:f>
              <xm:sqref>I17</xm:sqref>
            </x14:sparkline>
            <x14:sparkline>
              <xm:f>'Financial Projection'!C18:G18</xm:f>
              <xm:sqref>I18</xm:sqref>
            </x14:sparkline>
            <x14:sparkline>
              <xm:f>'Financial Projection'!C19:G19</xm:f>
              <xm:sqref>I19</xm:sqref>
            </x14:sparkline>
            <x14:sparkline>
              <xm:f>'Financial Projection'!C20:G20</xm:f>
              <xm:sqref>I20</xm:sqref>
            </x14:sparkline>
            <x14:sparkline>
              <xm:f>'Financial Projection'!C21:G21</xm:f>
              <xm:sqref>I21</xm:sqref>
            </x14:sparkline>
            <x14:sparkline>
              <xm:f>'Financial Projection'!C22:G22</xm:f>
              <xm:sqref>I22</xm:sqref>
            </x14:sparkline>
            <x14:sparkline>
              <xm:f>'Financial Projection'!C23:G23</xm:f>
              <xm:sqref>I23</xm:sqref>
            </x14:sparkline>
            <x14:sparkline>
              <xm:f>'Financial Projection'!C24:G24</xm:f>
              <xm:sqref>I24</xm:sqref>
            </x14:sparkline>
            <x14:sparkline>
              <xm:f>'Financial Projection'!C25:G25</xm:f>
              <xm:sqref>I25</xm:sqref>
            </x14:sparkline>
            <x14:sparkline>
              <xm:f>'Financial Projection'!C26:G26</xm:f>
              <xm:sqref>I26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E582-F05B-4DE8-93A9-DEE48D61C20A}">
  <dimension ref="B2:H16"/>
  <sheetViews>
    <sheetView showGridLines="0" workbookViewId="0">
      <selection activeCell="K19" sqref="K19"/>
    </sheetView>
  </sheetViews>
  <sheetFormatPr defaultRowHeight="15" x14ac:dyDescent="0.25"/>
  <cols>
    <col min="6" max="6" width="9.28515625" bestFit="1" customWidth="1"/>
  </cols>
  <sheetData>
    <row r="2" spans="2:8" ht="26.25" x14ac:dyDescent="0.4">
      <c r="B2" s="51" t="s">
        <v>114</v>
      </c>
    </row>
    <row r="4" spans="2:8" ht="18.75" x14ac:dyDescent="0.3">
      <c r="B4" s="75" t="s">
        <v>115</v>
      </c>
    </row>
    <row r="5" spans="2:8" ht="18" customHeight="1" thickBot="1" x14ac:dyDescent="0.3">
      <c r="B5" s="93" t="s">
        <v>117</v>
      </c>
      <c r="C5" s="94"/>
      <c r="D5" s="94"/>
      <c r="E5" s="94"/>
      <c r="F5" s="84"/>
      <c r="G5" s="85"/>
    </row>
    <row r="6" spans="2:8" x14ac:dyDescent="0.25">
      <c r="B6" s="86"/>
      <c r="C6" s="77"/>
      <c r="D6" s="83"/>
      <c r="E6" s="74" t="s">
        <v>116</v>
      </c>
      <c r="F6" s="91">
        <v>10</v>
      </c>
      <c r="G6" s="92"/>
      <c r="H6" s="73"/>
    </row>
    <row r="7" spans="2:8" x14ac:dyDescent="0.25">
      <c r="B7" s="76"/>
      <c r="C7" s="74"/>
      <c r="D7" s="74"/>
      <c r="E7" s="74" t="s">
        <v>111</v>
      </c>
      <c r="F7" s="95">
        <v>8.5</v>
      </c>
      <c r="G7" s="96"/>
      <c r="H7" s="73"/>
    </row>
    <row r="8" spans="2:8" x14ac:dyDescent="0.25">
      <c r="B8" s="76"/>
      <c r="C8" s="74"/>
      <c r="D8" s="74"/>
      <c r="E8" s="74" t="s">
        <v>113</v>
      </c>
      <c r="F8" s="91">
        <v>80000</v>
      </c>
      <c r="G8" s="92"/>
      <c r="H8" s="73"/>
    </row>
    <row r="9" spans="2:8" ht="16.5" thickBot="1" x14ac:dyDescent="0.3">
      <c r="B9" s="93" t="s">
        <v>118</v>
      </c>
      <c r="C9" s="94"/>
      <c r="D9" s="94"/>
      <c r="E9" s="94"/>
      <c r="G9" s="78"/>
      <c r="H9" s="73"/>
    </row>
    <row r="10" spans="2:8" x14ac:dyDescent="0.25">
      <c r="B10" s="76"/>
      <c r="C10" s="74"/>
      <c r="D10" s="74"/>
      <c r="E10" s="74" t="s">
        <v>112</v>
      </c>
      <c r="F10" s="91">
        <f>F7*F11</f>
        <v>453333.33333333337</v>
      </c>
      <c r="G10" s="92"/>
      <c r="H10" s="73"/>
    </row>
    <row r="11" spans="2:8" x14ac:dyDescent="0.25">
      <c r="B11" s="76"/>
      <c r="C11" s="74"/>
      <c r="D11" s="73"/>
      <c r="E11" s="74" t="s">
        <v>109</v>
      </c>
      <c r="F11" s="87">
        <f>IFERROR(F8/(F6-F7),"0")</f>
        <v>53333.333333333336</v>
      </c>
      <c r="G11" s="88"/>
      <c r="H11" s="73"/>
    </row>
    <row r="12" spans="2:8" x14ac:dyDescent="0.25">
      <c r="B12" s="79"/>
      <c r="C12" s="80"/>
      <c r="D12" s="81"/>
      <c r="E12" s="82" t="s">
        <v>110</v>
      </c>
      <c r="F12" s="89">
        <f>F6*F11</f>
        <v>533333.33333333337</v>
      </c>
      <c r="G12" s="90"/>
      <c r="H12" s="73"/>
    </row>
    <row r="13" spans="2:8" x14ac:dyDescent="0.25">
      <c r="B13" s="73"/>
      <c r="C13" s="73"/>
      <c r="D13" s="74"/>
      <c r="H13" s="73"/>
    </row>
    <row r="14" spans="2:8" x14ac:dyDescent="0.25">
      <c r="D14" s="74"/>
    </row>
    <row r="15" spans="2:8" x14ac:dyDescent="0.25">
      <c r="C15" s="74"/>
    </row>
    <row r="16" spans="2:8" x14ac:dyDescent="0.25">
      <c r="C16" s="74"/>
    </row>
  </sheetData>
  <mergeCells count="8">
    <mergeCell ref="F11:G11"/>
    <mergeCell ref="F12:G12"/>
    <mergeCell ref="F6:G6"/>
    <mergeCell ref="B5:E5"/>
    <mergeCell ref="B9:E9"/>
    <mergeCell ref="F7:G7"/>
    <mergeCell ref="F10:G10"/>
    <mergeCell ref="F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Balance Sheet</vt:lpstr>
      <vt:lpstr>Cash Flow Statement</vt:lpstr>
      <vt:lpstr>Ratio Analysis</vt:lpstr>
      <vt:lpstr>Financial Projection</vt:lpstr>
      <vt:lpstr>Break Even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</dc:creator>
  <cp:lastModifiedBy>ST</cp:lastModifiedBy>
  <dcterms:created xsi:type="dcterms:W3CDTF">2015-06-05T18:17:20Z</dcterms:created>
  <dcterms:modified xsi:type="dcterms:W3CDTF">2023-03-24T10:30:16Z</dcterms:modified>
</cp:coreProperties>
</file>