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E37CC8A-0072-48FF-8A75-9025998C9E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nancial Statements" sheetId="3" r:id="rId1"/>
    <sheet name="Ratio Analysis" sheetId="2" r:id="rId2"/>
    <sheet name="Cash Budge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5" i="2"/>
  <c r="C5" i="2"/>
  <c r="H22" i="3"/>
  <c r="D11" i="3"/>
  <c r="D12" i="3" s="1"/>
  <c r="C21" i="3"/>
  <c r="C17" i="3"/>
  <c r="I37" i="3" l="1"/>
  <c r="I31" i="3"/>
  <c r="H19" i="3"/>
  <c r="I23" i="3" s="1"/>
  <c r="G10" i="3"/>
  <c r="H11" i="3" s="1"/>
  <c r="I14" i="3" s="1"/>
  <c r="B27" i="3"/>
  <c r="C28" i="3" s="1"/>
  <c r="D31" i="3" s="1"/>
  <c r="D32" i="3" s="1"/>
  <c r="I24" i="3" l="1"/>
  <c r="I38" i="3"/>
  <c r="G6" i="2"/>
  <c r="G8" i="2" s="1"/>
  <c r="F6" i="2"/>
  <c r="F8" i="2" s="1"/>
  <c r="G4" i="2"/>
  <c r="F4" i="2"/>
  <c r="C22" i="2"/>
  <c r="C24" i="2" s="1"/>
  <c r="B22" i="2"/>
  <c r="B24" i="2" s="1"/>
  <c r="C20" i="2"/>
  <c r="B20" i="2"/>
  <c r="C14" i="2"/>
  <c r="B14" i="2"/>
  <c r="C9" i="2"/>
  <c r="B22" i="1" l="1"/>
  <c r="B17" i="1"/>
  <c r="M6" i="1"/>
  <c r="L6" i="1"/>
  <c r="M7" i="1"/>
  <c r="L7" i="1"/>
  <c r="K6" i="1"/>
  <c r="K7" i="1"/>
  <c r="J6" i="1"/>
  <c r="J7" i="1"/>
  <c r="I6" i="1"/>
  <c r="H6" i="1"/>
  <c r="I7" i="1"/>
  <c r="H7" i="1"/>
  <c r="G6" i="1"/>
  <c r="G7" i="1"/>
  <c r="F6" i="1"/>
  <c r="E6" i="1"/>
  <c r="F7" i="1"/>
  <c r="E7" i="1"/>
  <c r="D6" i="1"/>
  <c r="D7" i="1"/>
  <c r="C6" i="1"/>
  <c r="C8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C10" i="1"/>
  <c r="B6" i="1"/>
  <c r="B8" i="1" l="1"/>
  <c r="B18" i="1" s="1"/>
  <c r="B23" i="1" s="1"/>
  <c r="J8" i="1"/>
  <c r="G8" i="1"/>
  <c r="K8" i="1"/>
  <c r="E8" i="1"/>
  <c r="F8" i="1"/>
  <c r="D8" i="1"/>
  <c r="H8" i="1"/>
  <c r="L8" i="1"/>
  <c r="I8" i="1"/>
  <c r="M8" i="1"/>
  <c r="C17" i="1"/>
  <c r="C18" i="1" s="1"/>
  <c r="D10" i="1"/>
  <c r="D17" i="1" l="1"/>
  <c r="D18" i="1" s="1"/>
  <c r="E10" i="1"/>
  <c r="F10" i="1" l="1"/>
  <c r="E17" i="1"/>
  <c r="E18" i="1" s="1"/>
  <c r="G10" i="1" l="1"/>
  <c r="F17" i="1"/>
  <c r="F18" i="1" s="1"/>
  <c r="H10" i="1" l="1"/>
  <c r="G17" i="1"/>
  <c r="G18" i="1" s="1"/>
  <c r="I10" i="1" l="1"/>
  <c r="H17" i="1"/>
  <c r="H18" i="1" s="1"/>
  <c r="J10" i="1" l="1"/>
  <c r="I17" i="1"/>
  <c r="I18" i="1" s="1"/>
  <c r="K10" i="1" l="1"/>
  <c r="J17" i="1"/>
  <c r="J18" i="1" s="1"/>
  <c r="L10" i="1" l="1"/>
  <c r="K17" i="1"/>
  <c r="K18" i="1" s="1"/>
  <c r="M10" i="1" l="1"/>
  <c r="M17" i="1" s="1"/>
  <c r="M18" i="1" s="1"/>
  <c r="L17" i="1"/>
  <c r="L18" i="1" s="1"/>
</calcChain>
</file>

<file path=xl/sharedStrings.xml><?xml version="1.0" encoding="utf-8"?>
<sst xmlns="http://schemas.openxmlformats.org/spreadsheetml/2006/main" count="126" uniqueCount="108">
  <si>
    <t>Description</t>
  </si>
  <si>
    <t xml:space="preserve">Amount </t>
  </si>
  <si>
    <t>Amount</t>
  </si>
  <si>
    <t>Sales Revenue</t>
  </si>
  <si>
    <t>(-) Cost of goods sold</t>
  </si>
  <si>
    <t>(-)Closing stock</t>
  </si>
  <si>
    <t>Gross Profit</t>
  </si>
  <si>
    <t>(-) Expenses</t>
  </si>
  <si>
    <t>Rent and Rates</t>
  </si>
  <si>
    <t>(-)Advance</t>
  </si>
  <si>
    <t>Wages &amp; Salaries</t>
  </si>
  <si>
    <t>Utility Bills</t>
  </si>
  <si>
    <t>(+)Due</t>
  </si>
  <si>
    <t>Interest on Bank Loan</t>
  </si>
  <si>
    <t>Depreciation of Van</t>
  </si>
  <si>
    <t>Provision for doubtful debts</t>
  </si>
  <si>
    <t>(+) New bad debt</t>
  </si>
  <si>
    <t>Insurance premium</t>
  </si>
  <si>
    <t>Petrol &amp; Reapirs</t>
  </si>
  <si>
    <t>Total Expenses</t>
  </si>
  <si>
    <t>Assets</t>
  </si>
  <si>
    <t>(-) New bad debt</t>
  </si>
  <si>
    <t>Closing stock</t>
  </si>
  <si>
    <t>advance Rent &amp; Rates</t>
  </si>
  <si>
    <t>Total Current asset</t>
  </si>
  <si>
    <t>Fixed Assets</t>
  </si>
  <si>
    <t>Machinery &amp; bequipments</t>
  </si>
  <si>
    <t>Depreciate manchinery &amp; equipment</t>
  </si>
  <si>
    <t>Van</t>
  </si>
  <si>
    <t>(-)Depreciation of Van</t>
  </si>
  <si>
    <t>Total fixed assets</t>
  </si>
  <si>
    <t>Total Assets</t>
  </si>
  <si>
    <t>Liabilities and oweners Equity</t>
  </si>
  <si>
    <t>Trade creditors</t>
  </si>
  <si>
    <t>Utility bill due</t>
  </si>
  <si>
    <t>Total Current liabilities</t>
  </si>
  <si>
    <t>Bank loan</t>
  </si>
  <si>
    <t>Owner's Capital</t>
  </si>
  <si>
    <t>(-)Net loss</t>
  </si>
  <si>
    <t>Total Owners Equity</t>
  </si>
  <si>
    <t>Total liabilities and Owner's equity</t>
  </si>
  <si>
    <t>Village-Wide Catering Company</t>
  </si>
  <si>
    <t>Income statement</t>
  </si>
  <si>
    <t>For the Year ending 31st March 2022</t>
  </si>
  <si>
    <t>Balance Sheet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</si>
  <si>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</si>
  <si>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</si>
  <si>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</si>
  <si>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</si>
  <si>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</si>
  <si>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</si>
  <si>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</si>
  <si>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</si>
  <si>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</si>
  <si>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</si>
  <si>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</si>
  <si>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</si>
  <si>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Bank Loan</t>
  </si>
  <si>
    <t>Cash received from credit sale</t>
  </si>
  <si>
    <t>Cash Disbursement</t>
  </si>
  <si>
    <t>Marketing expences</t>
  </si>
  <si>
    <t>Cash sales</t>
  </si>
  <si>
    <t>Rent/property expenses</t>
  </si>
  <si>
    <t>Purchase</t>
  </si>
  <si>
    <t>Wages &amp; salaries</t>
  </si>
  <si>
    <t>Manchinery &amp; Equipments</t>
  </si>
  <si>
    <t>Utility expenses</t>
  </si>
  <si>
    <t>Loan &amp; interest payment</t>
  </si>
  <si>
    <t>Total disbursement</t>
  </si>
  <si>
    <t>Beginning Cash Balance</t>
  </si>
  <si>
    <t>Add: Cash reciepts</t>
  </si>
  <si>
    <t>Total Cash available</t>
  </si>
  <si>
    <t>Financing</t>
  </si>
  <si>
    <t xml:space="preserve">Excess(deficiency) of cash available over disbursement </t>
  </si>
  <si>
    <t>Total financing</t>
  </si>
  <si>
    <t>Ending Cash balance</t>
  </si>
  <si>
    <t>Cash Budget</t>
  </si>
  <si>
    <t>Profitability ratios</t>
  </si>
  <si>
    <t>Gross profit margin</t>
  </si>
  <si>
    <t>Sales</t>
  </si>
  <si>
    <t xml:space="preserve">Gross profit </t>
  </si>
  <si>
    <t>Net profit margin</t>
  </si>
  <si>
    <t xml:space="preserve">Net profit </t>
  </si>
  <si>
    <t>Liquidity</t>
  </si>
  <si>
    <t>Current assets</t>
  </si>
  <si>
    <t>Current liabilities</t>
  </si>
  <si>
    <t>Current ratio</t>
  </si>
  <si>
    <t>Fixed asset turnover</t>
  </si>
  <si>
    <t xml:space="preserve">Fixed assets </t>
  </si>
  <si>
    <t>Total asset turnover</t>
  </si>
  <si>
    <t>Total asset(fixed+current)</t>
  </si>
  <si>
    <t>Net profit</t>
  </si>
  <si>
    <t>Owner's equity</t>
  </si>
  <si>
    <t>ROE</t>
  </si>
  <si>
    <t>Investment ratios</t>
  </si>
  <si>
    <t>Debts/Equity ratio</t>
  </si>
  <si>
    <t>Debts(current+ long term)</t>
  </si>
  <si>
    <t>Assest usage ratios</t>
  </si>
  <si>
    <t>Opening stock</t>
  </si>
  <si>
    <t>purchase</t>
  </si>
  <si>
    <t>Cash in hand and Bank</t>
  </si>
  <si>
    <t>Debtors</t>
  </si>
  <si>
    <t>Net Loss = ( Gross Profit - Total Expenses)</t>
  </si>
  <si>
    <t>Current Assets:</t>
  </si>
  <si>
    <t>(-)Depr. manchinery &amp; equipment</t>
  </si>
  <si>
    <t>Current Liabilities:</t>
  </si>
  <si>
    <t>Long term liabilities:</t>
  </si>
  <si>
    <t>Owner's Equity: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</si>
</sst>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3" fontId="1" fillId="0" borderId="5" xfId="0" applyNumberFormat="1" applyFont="1" applyBorder="1"/>
    <xf numFmtId="0" fontId="1" fillId="0" borderId="5" xfId="0" applyFont="1" applyBorder="1"/>
    <xf numFmtId="0" fontId="0" fillId="0" borderId="5" xfId="0" applyBorder="1"/>
    <xf numFmtId="0" fontId="1" fillId="0" borderId="12" xfId="0" applyFont="1" applyBorder="1"/>
    <xf numFmtId="3" fontId="1" fillId="0" borderId="12" xfId="0" applyNumberFormat="1" applyFont="1" applyBorder="1"/>
    <xf numFmtId="0" fontId="1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0" fontId="1" fillId="0" borderId="15" xfId="0" applyFont="1" applyBorder="1"/>
    <xf numFmtId="3" fontId="2" fillId="0" borderId="17" xfId="0" applyNumberFormat="1" applyFont="1" applyBorder="1"/>
    <xf numFmtId="0" fontId="0" fillId="0" borderId="12" xfId="0" applyBorder="1"/>
    <xf numFmtId="0" fontId="0" fillId="0" borderId="13" xfId="0" applyBorder="1"/>
    <xf numFmtId="3" fontId="1" fillId="0" borderId="13" xfId="0" applyNumberFormat="1" applyFont="1" applyBorder="1"/>
    <xf numFmtId="0" fontId="1" fillId="0" borderId="11" xfId="0" applyFont="1" applyBorder="1"/>
    <xf numFmtId="3" fontId="2" fillId="0" borderId="3" xfId="0" applyNumberFormat="1" applyFont="1" applyBorder="1"/>
    <xf numFmtId="0" fontId="2" fillId="0" borderId="10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16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2" fillId="0" borderId="12" xfId="0" applyFont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2" fillId="0" borderId="12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indent="1"/>
    </xf>
    <xf numFmtId="0" fontId="2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left" indent="4"/>
    </xf>
    <xf numFmtId="0" fontId="1" fillId="0" borderId="12" xfId="0" applyFont="1" applyBorder="1" applyAlignment="1">
      <alignment horizontal="left" indent="5"/>
    </xf>
    <xf numFmtId="0" fontId="2" fillId="0" borderId="12" xfId="0" applyFont="1" applyBorder="1" applyAlignment="1">
      <alignment horizontal="right" indent="1"/>
    </xf>
    <xf numFmtId="164" fontId="1" fillId="0" borderId="0" xfId="0" applyNumberFormat="1" applyFont="1"/>
    <xf numFmtId="164" fontId="1" fillId="0" borderId="12" xfId="0" applyNumberFormat="1" applyFont="1" applyBorder="1"/>
    <xf numFmtId="164" fontId="1" fillId="0" borderId="5" xfId="0" applyNumberFormat="1" applyFont="1" applyBorder="1"/>
    <xf numFmtId="164" fontId="1" fillId="0" borderId="13" xfId="0" applyNumberFormat="1" applyFont="1" applyBorder="1"/>
    <xf numFmtId="16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/>
    <xf numFmtId="164" fontId="0" fillId="0" borderId="0" xfId="0" applyNumberFormat="1"/>
    <xf numFmtId="164" fontId="0" fillId="0" borderId="12" xfId="0" applyNumberFormat="1" applyBorder="1"/>
    <xf numFmtId="164" fontId="0" fillId="0" borderId="5" xfId="0" applyNumberFormat="1" applyBorder="1"/>
    <xf numFmtId="164" fontId="1" fillId="0" borderId="0" xfId="0" applyNumberFormat="1" applyFont="1" applyAlignment="1">
      <alignment vertical="center"/>
    </xf>
    <xf numFmtId="164" fontId="1" fillId="0" borderId="1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5" xfId="0" applyFont="1" applyBorder="1" applyAlignment="1">
      <alignment horizontal="right" indent="1"/>
    </xf>
    <xf numFmtId="164" fontId="1" fillId="0" borderId="19" xfId="0" applyNumberFormat="1" applyFont="1" applyBorder="1"/>
    <xf numFmtId="164" fontId="1" fillId="0" borderId="15" xfId="0" applyNumberFormat="1" applyFont="1" applyBorder="1"/>
    <xf numFmtId="164" fontId="2" fillId="0" borderId="17" xfId="0" applyNumberFormat="1" applyFont="1" applyBorder="1"/>
    <xf numFmtId="0" fontId="1" fillId="0" borderId="12" xfId="0" applyFont="1" applyBorder="1" applyAlignment="1">
      <alignment horizontal="left" vertical="center" indent="4"/>
    </xf>
    <xf numFmtId="0" fontId="2" fillId="0" borderId="12" xfId="0" applyFont="1" applyBorder="1" applyAlignment="1">
      <alignment horizontal="right" vertical="center" indent="1"/>
    </xf>
    <xf numFmtId="0" fontId="1" fillId="0" borderId="12" xfId="0" applyFont="1" applyBorder="1" applyAlignment="1">
      <alignment horizontal="left" vertical="center" indent="6"/>
    </xf>
    <xf numFmtId="164" fontId="2" fillId="0" borderId="12" xfId="0" applyNumberFormat="1" applyFont="1" applyBorder="1" applyAlignment="1">
      <alignment vertical="center"/>
    </xf>
    <xf numFmtId="0" fontId="2" fillId="0" borderId="15" xfId="0" applyFont="1" applyBorder="1" applyAlignment="1">
      <alignment horizontal="left" vertical="center" indent="1"/>
    </xf>
    <xf numFmtId="164" fontId="1" fillId="0" borderId="19" xfId="0" applyNumberFormat="1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0" fontId="0" fillId="0" borderId="9" xfId="0" applyBorder="1"/>
    <xf numFmtId="164" fontId="0" fillId="0" borderId="9" xfId="0" applyNumberFormat="1" applyBorder="1"/>
    <xf numFmtId="164" fontId="0" fillId="0" borderId="11" xfId="0" applyNumberFormat="1" applyBorder="1"/>
    <xf numFmtId="10" fontId="3" fillId="0" borderId="15" xfId="0" applyNumberFormat="1" applyFont="1" applyBorder="1"/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 indent="1"/>
    </xf>
    <xf numFmtId="0" fontId="2" fillId="0" borderId="15" xfId="0" applyFont="1" applyBorder="1" applyAlignment="1">
      <alignment horizontal="left" indent="1"/>
    </xf>
    <xf numFmtId="0" fontId="1" fillId="0" borderId="13" xfId="0" applyFont="1" applyBorder="1" applyAlignment="1">
      <alignment horizontal="left" indent="1"/>
    </xf>
    <xf numFmtId="3" fontId="0" fillId="0" borderId="5" xfId="0" applyNumberFormat="1" applyBorder="1"/>
    <xf numFmtId="0" fontId="0" fillId="0" borderId="4" xfId="0" applyBorder="1" applyAlignment="1">
      <alignment horizontal="left" indent="2"/>
    </xf>
    <xf numFmtId="3" fontId="0" fillId="0" borderId="11" xfId="0" applyNumberFormat="1" applyBorder="1"/>
    <xf numFmtId="3" fontId="0" fillId="0" borderId="12" xfId="0" applyNumberFormat="1" applyBorder="1"/>
    <xf numFmtId="0" fontId="3" fillId="0" borderId="16" xfId="0" applyFont="1" applyBorder="1" applyAlignment="1">
      <alignment horizontal="right"/>
    </xf>
    <xf numFmtId="2" fontId="3" fillId="0" borderId="15" xfId="0" applyNumberFormat="1" applyFont="1" applyBorder="1"/>
    <xf numFmtId="0" fontId="3" fillId="0" borderId="17" xfId="0" applyFont="1" applyBorder="1"/>
    <xf numFmtId="0" fontId="0" fillId="0" borderId="11" xfId="0" applyBorder="1"/>
    <xf numFmtId="0" fontId="3" fillId="0" borderId="16" xfId="0" applyFont="1" applyBorder="1" applyAlignment="1">
      <alignment horizontal="right" indent="1"/>
    </xf>
    <xf numFmtId="2" fontId="3" fillId="0" borderId="17" xfId="0" applyNumberFormat="1" applyFont="1" applyBorder="1"/>
    <xf numFmtId="0" fontId="0" fillId="0" borderId="16" xfId="0" applyBorder="1" applyAlignment="1">
      <alignment horizontal="right" indent="1"/>
    </xf>
    <xf numFmtId="2" fontId="0" fillId="0" borderId="15" xfId="0" applyNumberFormat="1" applyBorder="1"/>
    <xf numFmtId="2" fontId="0" fillId="0" borderId="17" xfId="0" applyNumberFormat="1" applyBorder="1"/>
    <xf numFmtId="10" fontId="3" fillId="0" borderId="17" xfId="0" applyNumberFormat="1" applyFont="1" applyBorder="1"/>
    <xf numFmtId="164" fontId="6" fillId="0" borderId="5" xfId="0" applyNumberFormat="1" applyFont="1" applyBorder="1"/>
    <xf numFmtId="164" fontId="5" fillId="0" borderId="5" xfId="0" applyNumberFormat="1" applyFont="1" applyBorder="1"/>
    <xf numFmtId="0" fontId="6" fillId="0" borderId="4" xfId="0" applyFont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0" fontId="5" fillId="0" borderId="4" xfId="0" applyFont="1" applyBorder="1" applyAlignment="1">
      <alignment horizontal="left" wrapText="1" indent="1"/>
    </xf>
    <xf numFmtId="164" fontId="6" fillId="0" borderId="1" xfId="0" applyNumberFormat="1" applyFont="1" applyBorder="1"/>
    <xf numFmtId="164" fontId="6" fillId="0" borderId="3" xfId="0" applyNumberFormat="1" applyFont="1" applyBorder="1"/>
    <xf numFmtId="164" fontId="6" fillId="0" borderId="4" xfId="0" applyNumberFormat="1" applyFont="1" applyBorder="1"/>
    <xf numFmtId="164" fontId="5" fillId="0" borderId="4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164" fontId="5" fillId="0" borderId="12" xfId="0" applyNumberFormat="1" applyFont="1" applyBorder="1"/>
    <xf numFmtId="164" fontId="5" fillId="0" borderId="11" xfId="0" applyNumberFormat="1" applyFont="1" applyBorder="1"/>
    <xf numFmtId="0" fontId="5" fillId="0" borderId="1" xfId="0" applyFont="1" applyBorder="1" applyAlignment="1">
      <alignment horizontal="right" indent="1"/>
    </xf>
    <xf numFmtId="0" fontId="6" fillId="0" borderId="4" xfId="0" applyFont="1" applyBorder="1" applyAlignment="1">
      <alignment horizontal="left" indent="3"/>
    </xf>
    <xf numFmtId="0" fontId="5" fillId="0" borderId="16" xfId="0" applyFont="1" applyBorder="1" applyAlignment="1">
      <alignment horizontal="right" indent="1"/>
    </xf>
    <xf numFmtId="164" fontId="5" fillId="0" borderId="15" xfId="0" applyNumberFormat="1" applyFont="1" applyBorder="1"/>
    <xf numFmtId="164" fontId="5" fillId="0" borderId="16" xfId="0" applyNumberFormat="1" applyFont="1" applyBorder="1"/>
    <xf numFmtId="164" fontId="5" fillId="0" borderId="17" xfId="0" applyNumberFormat="1" applyFont="1" applyBorder="1"/>
    <xf numFmtId="0" fontId="5" fillId="0" borderId="16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showGridLines="0" tabSelected="1" zoomScaleNormal="100" workbookViewId="0">
      <selection activeCell="E7" sqref="E7"/>
    </sheetView>
  </sheetViews>
  <sheetFormatPr defaultRowHeight="15" x14ac:dyDescent="0.25"/>
  <cols>
    <col min="1" max="1" width="32.7109375" bestFit="1" customWidth="1"/>
    <col min="2" max="3" width="9" bestFit="1" customWidth="1"/>
    <col min="4" max="4" width="8.42578125" bestFit="1" customWidth="1"/>
    <col min="6" max="6" width="35" bestFit="1" customWidth="1"/>
    <col min="7" max="7" width="11.42578125" bestFit="1" customWidth="1"/>
    <col min="8" max="9" width="12.42578125" bestFit="1" customWidth="1"/>
  </cols>
  <sheetData>
    <row r="2" spans="1:9" x14ac:dyDescent="0.25">
      <c r="A2" s="103" t="s">
        <v>41</v>
      </c>
      <c r="B2" s="104"/>
      <c r="C2" s="104"/>
      <c r="D2" s="105"/>
      <c r="F2" s="112" t="s">
        <v>41</v>
      </c>
      <c r="G2" s="113"/>
      <c r="H2" s="113"/>
      <c r="I2" s="114"/>
    </row>
    <row r="3" spans="1:9" x14ac:dyDescent="0.25">
      <c r="A3" s="106" t="s">
        <v>42</v>
      </c>
      <c r="B3" s="107"/>
      <c r="C3" s="107"/>
      <c r="D3" s="108"/>
      <c r="F3" s="115" t="s">
        <v>44</v>
      </c>
      <c r="G3" s="116"/>
      <c r="H3" s="116"/>
      <c r="I3" s="117"/>
    </row>
    <row r="4" spans="1:9" x14ac:dyDescent="0.25">
      <c r="A4" s="109" t="s">
        <v>43</v>
      </c>
      <c r="B4" s="110"/>
      <c r="C4" s="110"/>
      <c r="D4" s="111"/>
      <c r="F4" s="118" t="s">
        <v>43</v>
      </c>
      <c r="G4" s="119"/>
      <c r="H4" s="119"/>
      <c r="I4" s="120"/>
    </row>
    <row r="5" spans="1:9" x14ac:dyDescent="0.25">
      <c r="A5" s="16" t="s">
        <v>0</v>
      </c>
      <c r="B5" s="7" t="s">
        <v>1</v>
      </c>
      <c r="C5" s="7" t="s">
        <v>1</v>
      </c>
      <c r="D5" s="8" t="s">
        <v>2</v>
      </c>
      <c r="F5" s="26" t="s">
        <v>0</v>
      </c>
      <c r="G5" s="7" t="s">
        <v>1</v>
      </c>
      <c r="H5" s="7" t="s">
        <v>1</v>
      </c>
      <c r="I5" s="7" t="s">
        <v>2</v>
      </c>
    </row>
    <row r="6" spans="1:9" ht="15.75" thickBot="1" x14ac:dyDescent="0.3">
      <c r="A6" s="17" t="s">
        <v>3</v>
      </c>
      <c r="B6" s="4"/>
      <c r="C6" s="4"/>
      <c r="D6" s="1">
        <v>179200</v>
      </c>
      <c r="F6" s="27" t="s">
        <v>20</v>
      </c>
      <c r="G6" s="31"/>
      <c r="H6" s="32"/>
      <c r="I6" s="33"/>
    </row>
    <row r="7" spans="1:9" x14ac:dyDescent="0.25">
      <c r="A7" s="18" t="s">
        <v>4</v>
      </c>
      <c r="B7" s="4"/>
      <c r="C7" s="4"/>
      <c r="D7" s="2"/>
      <c r="F7" s="22" t="s">
        <v>103</v>
      </c>
      <c r="G7" s="31"/>
      <c r="H7" s="32"/>
      <c r="I7" s="33"/>
    </row>
    <row r="8" spans="1:9" x14ac:dyDescent="0.25">
      <c r="A8" s="17" t="s">
        <v>98</v>
      </c>
      <c r="B8" s="4"/>
      <c r="C8" s="5">
        <v>20500</v>
      </c>
      <c r="D8" s="2"/>
      <c r="F8" s="28" t="s">
        <v>100</v>
      </c>
      <c r="G8" s="31"/>
      <c r="H8" s="32">
        <v>27200</v>
      </c>
      <c r="I8" s="33"/>
    </row>
    <row r="9" spans="1:9" x14ac:dyDescent="0.25">
      <c r="A9" s="17" t="s">
        <v>99</v>
      </c>
      <c r="B9" s="4"/>
      <c r="C9" s="5">
        <v>82000</v>
      </c>
      <c r="D9" s="2"/>
      <c r="F9" s="28" t="s">
        <v>101</v>
      </c>
      <c r="G9" s="31">
        <v>16900</v>
      </c>
      <c r="H9" s="32"/>
      <c r="I9" s="33"/>
    </row>
    <row r="10" spans="1:9" x14ac:dyDescent="0.25">
      <c r="A10" s="17" t="s">
        <v>5</v>
      </c>
      <c r="B10" s="4"/>
      <c r="C10" s="13">
        <v>12500</v>
      </c>
      <c r="D10" s="11"/>
      <c r="F10" s="29" t="s">
        <v>21</v>
      </c>
      <c r="G10" s="34">
        <f>16900*20%</f>
        <v>3380</v>
      </c>
      <c r="H10" s="11"/>
      <c r="I10" s="33"/>
    </row>
    <row r="11" spans="1:9" x14ac:dyDescent="0.25">
      <c r="A11" s="17"/>
      <c r="B11" s="4"/>
      <c r="C11" s="5"/>
      <c r="D11" s="1">
        <f>-(SUM(C8:C9)-C10)</f>
        <v>-90000</v>
      </c>
      <c r="F11" s="29"/>
      <c r="G11" s="31"/>
      <c r="H11" s="32">
        <f>G9-G10</f>
        <v>13520</v>
      </c>
      <c r="I11" s="33"/>
    </row>
    <row r="12" spans="1:9" ht="15.75" thickBot="1" x14ac:dyDescent="0.3">
      <c r="A12" s="19" t="s">
        <v>6</v>
      </c>
      <c r="B12" s="9"/>
      <c r="C12" s="9"/>
      <c r="D12" s="10">
        <f>SUM(D6:D11)</f>
        <v>89200</v>
      </c>
      <c r="F12" s="28" t="s">
        <v>22</v>
      </c>
      <c r="G12" s="31"/>
      <c r="H12" s="32">
        <v>12500</v>
      </c>
      <c r="I12" s="33"/>
    </row>
    <row r="13" spans="1:9" ht="15.75" thickTop="1" x14ac:dyDescent="0.25">
      <c r="A13" s="17"/>
      <c r="B13" s="4"/>
      <c r="C13" s="4"/>
      <c r="D13" s="2"/>
      <c r="F13" s="28" t="s">
        <v>23</v>
      </c>
      <c r="G13" s="31"/>
      <c r="H13" s="34">
        <v>1000</v>
      </c>
      <c r="I13" s="33"/>
    </row>
    <row r="14" spans="1:9" x14ac:dyDescent="0.25">
      <c r="A14" s="18" t="s">
        <v>7</v>
      </c>
      <c r="B14" s="4"/>
      <c r="C14" s="4"/>
      <c r="D14" s="2"/>
      <c r="F14" s="30" t="s">
        <v>24</v>
      </c>
      <c r="G14" s="31"/>
      <c r="H14" s="32"/>
      <c r="I14" s="35">
        <f>SUM(H8:H13)</f>
        <v>54220</v>
      </c>
    </row>
    <row r="15" spans="1:9" x14ac:dyDescent="0.25">
      <c r="A15" s="17" t="s">
        <v>8</v>
      </c>
      <c r="B15" s="5">
        <v>14400</v>
      </c>
      <c r="C15" s="4"/>
      <c r="D15" s="2"/>
      <c r="F15" s="23"/>
      <c r="G15" s="31"/>
      <c r="H15" s="32"/>
      <c r="I15" s="33"/>
    </row>
    <row r="16" spans="1:9" x14ac:dyDescent="0.25">
      <c r="A16" s="17" t="s">
        <v>9</v>
      </c>
      <c r="B16" s="6">
        <v>1000</v>
      </c>
      <c r="C16" s="11"/>
      <c r="D16" s="2"/>
      <c r="F16" s="22" t="s">
        <v>25</v>
      </c>
      <c r="G16" s="31"/>
      <c r="H16" s="32"/>
      <c r="I16" s="33"/>
    </row>
    <row r="17" spans="1:9" x14ac:dyDescent="0.25">
      <c r="A17" s="17"/>
      <c r="B17" s="4"/>
      <c r="C17" s="5">
        <f>B15-B16</f>
        <v>13400</v>
      </c>
      <c r="D17" s="2"/>
      <c r="F17" s="28" t="s">
        <v>26</v>
      </c>
      <c r="G17" s="31">
        <v>80000</v>
      </c>
      <c r="H17" s="32"/>
      <c r="I17" s="33"/>
    </row>
    <row r="18" spans="1:9" x14ac:dyDescent="0.25">
      <c r="A18" s="17" t="s">
        <v>10</v>
      </c>
      <c r="B18" s="4"/>
      <c r="C18" s="5">
        <v>65200</v>
      </c>
      <c r="D18" s="2"/>
      <c r="F18" s="29" t="s">
        <v>104</v>
      </c>
      <c r="G18" s="34">
        <v>16000</v>
      </c>
      <c r="H18" s="11"/>
      <c r="I18" s="33"/>
    </row>
    <row r="19" spans="1:9" x14ac:dyDescent="0.25">
      <c r="A19" s="17" t="s">
        <v>11</v>
      </c>
      <c r="B19" s="5">
        <v>8000</v>
      </c>
      <c r="C19" s="5"/>
      <c r="D19" s="2"/>
      <c r="F19" s="29"/>
      <c r="G19" s="31"/>
      <c r="H19" s="32">
        <f>G17-G18</f>
        <v>64000</v>
      </c>
      <c r="I19" s="33"/>
    </row>
    <row r="20" spans="1:9" x14ac:dyDescent="0.25">
      <c r="A20" s="17" t="s">
        <v>12</v>
      </c>
      <c r="B20" s="6">
        <v>500</v>
      </c>
      <c r="C20" s="11"/>
      <c r="D20" s="2"/>
      <c r="F20" s="28" t="s">
        <v>28</v>
      </c>
      <c r="G20" s="31">
        <v>12000</v>
      </c>
      <c r="H20" s="32"/>
      <c r="I20" s="33"/>
    </row>
    <row r="21" spans="1:9" x14ac:dyDescent="0.25">
      <c r="A21" s="17"/>
      <c r="B21" s="4"/>
      <c r="C21" s="5">
        <f>B19+B20</f>
        <v>8500</v>
      </c>
      <c r="D21" s="2"/>
      <c r="F21" s="29" t="s">
        <v>29</v>
      </c>
      <c r="G21" s="34">
        <v>3000</v>
      </c>
      <c r="H21" s="11"/>
      <c r="I21" s="33"/>
    </row>
    <row r="22" spans="1:9" x14ac:dyDescent="0.25">
      <c r="A22" s="17" t="s">
        <v>27</v>
      </c>
      <c r="B22" s="4"/>
      <c r="C22" s="5">
        <v>16000</v>
      </c>
      <c r="D22" s="2"/>
      <c r="F22" s="29"/>
      <c r="G22" s="31"/>
      <c r="H22" s="34">
        <f>G20-G21</f>
        <v>9000</v>
      </c>
      <c r="I22" s="33"/>
    </row>
    <row r="23" spans="1:9" x14ac:dyDescent="0.25">
      <c r="A23" s="17" t="s">
        <v>14</v>
      </c>
      <c r="B23" s="4"/>
      <c r="C23" s="4">
        <v>3000</v>
      </c>
      <c r="D23" s="2"/>
      <c r="F23" s="45" t="s">
        <v>30</v>
      </c>
      <c r="G23" s="31"/>
      <c r="H23" s="32"/>
      <c r="I23" s="46">
        <f>SUM(H19:H22)</f>
        <v>73000</v>
      </c>
    </row>
    <row r="24" spans="1:9" ht="15.75" thickBot="1" x14ac:dyDescent="0.3">
      <c r="A24" s="17" t="s">
        <v>13</v>
      </c>
      <c r="B24" s="4"/>
      <c r="C24" s="4">
        <v>500</v>
      </c>
      <c r="D24" s="2"/>
      <c r="F24" s="47" t="s">
        <v>31</v>
      </c>
      <c r="G24" s="48"/>
      <c r="H24" s="49"/>
      <c r="I24" s="50">
        <f>SUM(I14:I23)</f>
        <v>127220</v>
      </c>
    </row>
    <row r="25" spans="1:9" ht="15.75" thickTop="1" x14ac:dyDescent="0.25">
      <c r="A25" s="17"/>
      <c r="B25" s="4"/>
      <c r="C25" s="4"/>
      <c r="D25" s="2"/>
      <c r="F25" s="22"/>
      <c r="G25" s="31"/>
      <c r="H25" s="32"/>
      <c r="I25" s="36"/>
    </row>
    <row r="26" spans="1:9" x14ac:dyDescent="0.25">
      <c r="A26" s="17" t="s">
        <v>15</v>
      </c>
      <c r="B26" s="5">
        <v>8500</v>
      </c>
      <c r="C26" s="4"/>
      <c r="D26" s="2"/>
      <c r="F26" s="24"/>
      <c r="G26" s="37"/>
      <c r="H26" s="38"/>
      <c r="I26" s="39"/>
    </row>
    <row r="27" spans="1:9" ht="15.75" thickBot="1" x14ac:dyDescent="0.3">
      <c r="A27" s="17" t="s">
        <v>16</v>
      </c>
      <c r="B27" s="6">
        <f>16900*20%</f>
        <v>3380</v>
      </c>
      <c r="C27" s="11"/>
      <c r="D27" s="2"/>
      <c r="F27" s="27" t="s">
        <v>32</v>
      </c>
      <c r="G27" s="40"/>
      <c r="H27" s="41"/>
      <c r="I27" s="42"/>
    </row>
    <row r="28" spans="1:9" x14ac:dyDescent="0.25">
      <c r="A28" s="17"/>
      <c r="B28" s="4"/>
      <c r="C28" s="5">
        <f>B26+B27</f>
        <v>11880</v>
      </c>
      <c r="D28" s="2"/>
      <c r="F28" s="25" t="s">
        <v>105</v>
      </c>
      <c r="G28" s="40"/>
      <c r="H28" s="41"/>
      <c r="I28" s="42"/>
    </row>
    <row r="29" spans="1:9" x14ac:dyDescent="0.25">
      <c r="A29" s="17" t="s">
        <v>17</v>
      </c>
      <c r="B29" s="4"/>
      <c r="C29" s="5">
        <v>2200</v>
      </c>
      <c r="D29" s="2"/>
      <c r="F29" s="51" t="s">
        <v>33</v>
      </c>
      <c r="G29" s="40"/>
      <c r="H29" s="41">
        <v>13700</v>
      </c>
      <c r="I29" s="42"/>
    </row>
    <row r="30" spans="1:9" x14ac:dyDescent="0.25">
      <c r="A30" s="17" t="s">
        <v>18</v>
      </c>
      <c r="B30" s="4"/>
      <c r="C30" s="4">
        <v>500</v>
      </c>
      <c r="D30" s="2"/>
      <c r="F30" s="51" t="s">
        <v>34</v>
      </c>
      <c r="G30" s="40"/>
      <c r="H30" s="44">
        <v>500</v>
      </c>
      <c r="I30" s="42"/>
    </row>
    <row r="31" spans="1:9" x14ac:dyDescent="0.25">
      <c r="A31" s="20" t="s">
        <v>19</v>
      </c>
      <c r="B31" s="14"/>
      <c r="C31" s="14"/>
      <c r="D31" s="15">
        <f>-SUM(C17:C30)</f>
        <v>-121180</v>
      </c>
      <c r="F31" s="52" t="s">
        <v>35</v>
      </c>
      <c r="G31" s="40"/>
      <c r="H31" s="41"/>
      <c r="I31" s="43">
        <f>H30+H29</f>
        <v>14200</v>
      </c>
    </row>
    <row r="32" spans="1:9" ht="15.75" thickBot="1" x14ac:dyDescent="0.3">
      <c r="A32" s="19" t="s">
        <v>102</v>
      </c>
      <c r="B32" s="9"/>
      <c r="C32" s="9"/>
      <c r="D32" s="10">
        <f>D12+D31</f>
        <v>-31980</v>
      </c>
      <c r="F32" s="25" t="s">
        <v>106</v>
      </c>
      <c r="G32" s="40"/>
      <c r="H32" s="41"/>
      <c r="I32" s="42"/>
    </row>
    <row r="33" spans="6:9" ht="15.75" thickTop="1" x14ac:dyDescent="0.25">
      <c r="F33" s="51" t="s">
        <v>36</v>
      </c>
      <c r="G33" s="40"/>
      <c r="H33" s="41"/>
      <c r="I33" s="42">
        <v>45000</v>
      </c>
    </row>
    <row r="34" spans="6:9" x14ac:dyDescent="0.25">
      <c r="F34" s="25" t="s">
        <v>107</v>
      </c>
      <c r="G34" s="40"/>
      <c r="H34" s="41"/>
      <c r="I34" s="42"/>
    </row>
    <row r="35" spans="6:9" x14ac:dyDescent="0.25">
      <c r="F35" s="51" t="s">
        <v>37</v>
      </c>
      <c r="G35" s="40"/>
      <c r="H35" s="41">
        <v>100000</v>
      </c>
      <c r="I35" s="42"/>
    </row>
    <row r="36" spans="6:9" x14ac:dyDescent="0.25">
      <c r="F36" s="53" t="s">
        <v>38</v>
      </c>
      <c r="G36" s="40"/>
      <c r="H36" s="44">
        <v>31980</v>
      </c>
      <c r="I36" s="42"/>
    </row>
    <row r="37" spans="6:9" x14ac:dyDescent="0.25">
      <c r="F37" s="25" t="s">
        <v>39</v>
      </c>
      <c r="G37" s="40"/>
      <c r="H37" s="41"/>
      <c r="I37" s="54">
        <f>H35-H36</f>
        <v>68020</v>
      </c>
    </row>
    <row r="38" spans="6:9" ht="15.75" thickBot="1" x14ac:dyDescent="0.3">
      <c r="F38" s="55" t="s">
        <v>40</v>
      </c>
      <c r="G38" s="56"/>
      <c r="H38" s="57"/>
      <c r="I38" s="58">
        <f>SUM(I31:I37)</f>
        <v>127220</v>
      </c>
    </row>
    <row r="39" spans="6:9" ht="15.75" thickTop="1" x14ac:dyDescent="0.25"/>
  </sheetData>
  <mergeCells count="6">
    <mergeCell ref="A2:D2"/>
    <mergeCell ref="A3:D3"/>
    <mergeCell ref="A4:D4"/>
    <mergeCell ref="F2:I2"/>
    <mergeCell ref="F3:I3"/>
    <mergeCell ref="F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showGridLines="0" workbookViewId="0">
      <selection activeCell="E14" sqref="E14"/>
    </sheetView>
  </sheetViews>
  <sheetFormatPr defaultRowHeight="15" x14ac:dyDescent="0.25"/>
  <cols>
    <col min="1" max="1" width="24.28515625" bestFit="1" customWidth="1"/>
    <col min="2" max="3" width="12.28515625" bestFit="1" customWidth="1"/>
    <col min="4" max="4" width="3.28515625" customWidth="1"/>
    <col min="5" max="5" width="24.42578125" bestFit="1" customWidth="1"/>
    <col min="6" max="7" width="12.28515625" bestFit="1" customWidth="1"/>
  </cols>
  <sheetData>
    <row r="1" spans="1:7" ht="15.75" x14ac:dyDescent="0.25">
      <c r="A1" s="65" t="s">
        <v>77</v>
      </c>
      <c r="B1" s="64">
        <v>2020</v>
      </c>
      <c r="C1" s="64">
        <v>2021</v>
      </c>
      <c r="E1" s="63" t="s">
        <v>94</v>
      </c>
      <c r="F1" s="63">
        <v>2020</v>
      </c>
      <c r="G1" s="63">
        <v>2021</v>
      </c>
    </row>
    <row r="2" spans="1:7" x14ac:dyDescent="0.25">
      <c r="A2" s="66" t="s">
        <v>78</v>
      </c>
      <c r="B2" s="59"/>
      <c r="C2" s="59"/>
      <c r="E2" s="21" t="s">
        <v>91</v>
      </c>
      <c r="F2" s="61">
        <v>32000</v>
      </c>
      <c r="G2" s="39">
        <v>35000</v>
      </c>
    </row>
    <row r="3" spans="1:7" x14ac:dyDescent="0.25">
      <c r="A3" s="66" t="s">
        <v>79</v>
      </c>
      <c r="B3" s="60">
        <v>250000</v>
      </c>
      <c r="C3" s="60">
        <v>280000</v>
      </c>
      <c r="E3" s="21" t="s">
        <v>92</v>
      </c>
      <c r="F3" s="38">
        <v>150000</v>
      </c>
      <c r="G3" s="39">
        <v>185000</v>
      </c>
    </row>
    <row r="4" spans="1:7" ht="15.75" thickBot="1" x14ac:dyDescent="0.3">
      <c r="A4" s="66" t="s">
        <v>80</v>
      </c>
      <c r="B4" s="60">
        <v>110000</v>
      </c>
      <c r="C4" s="60">
        <v>150000</v>
      </c>
      <c r="E4" s="77" t="s">
        <v>93</v>
      </c>
      <c r="F4" s="62">
        <f>F2/F3</f>
        <v>0.21333333333333335</v>
      </c>
      <c r="G4" s="82">
        <f>G2/G3</f>
        <v>0.1891891891891892</v>
      </c>
    </row>
    <row r="5" spans="1:7" ht="16.5" thickTop="1" thickBot="1" x14ac:dyDescent="0.3">
      <c r="A5" s="67" t="s">
        <v>78</v>
      </c>
      <c r="B5" s="62">
        <f>(B4/B3)</f>
        <v>0.44</v>
      </c>
      <c r="C5" s="62">
        <f>C4/C3</f>
        <v>0.5357142857142857</v>
      </c>
      <c r="E5" s="21"/>
      <c r="F5" s="11"/>
      <c r="G5" s="3"/>
    </row>
    <row r="6" spans="1:7" ht="15.75" thickTop="1" x14ac:dyDescent="0.25">
      <c r="A6" s="68" t="s">
        <v>81</v>
      </c>
      <c r="B6" s="12"/>
      <c r="C6" s="12"/>
      <c r="E6" s="21" t="s">
        <v>96</v>
      </c>
      <c r="F6" s="38">
        <f>12100+67000</f>
        <v>79100</v>
      </c>
      <c r="G6" s="39">
        <f>95000+20000</f>
        <v>115000</v>
      </c>
    </row>
    <row r="7" spans="1:7" x14ac:dyDescent="0.25">
      <c r="A7" s="66" t="s">
        <v>82</v>
      </c>
      <c r="B7" s="60">
        <v>32000</v>
      </c>
      <c r="C7" s="60">
        <v>35000</v>
      </c>
      <c r="E7" s="21" t="s">
        <v>92</v>
      </c>
      <c r="F7" s="38">
        <v>150000</v>
      </c>
      <c r="G7" s="39">
        <v>185000</v>
      </c>
    </row>
    <row r="8" spans="1:7" ht="15.75" thickBot="1" x14ac:dyDescent="0.3">
      <c r="A8" s="66" t="s">
        <v>79</v>
      </c>
      <c r="B8" s="60">
        <v>250000</v>
      </c>
      <c r="C8" s="60">
        <v>280000</v>
      </c>
      <c r="E8" s="77" t="s">
        <v>95</v>
      </c>
      <c r="F8" s="74">
        <f>F6/F7</f>
        <v>0.52733333333333332</v>
      </c>
      <c r="G8" s="78">
        <f>G6/G7</f>
        <v>0.6216216216216216</v>
      </c>
    </row>
    <row r="9" spans="1:7" ht="16.5" thickTop="1" thickBot="1" x14ac:dyDescent="0.3">
      <c r="A9" s="67" t="s">
        <v>81</v>
      </c>
      <c r="B9" s="62">
        <f>B7/B8</f>
        <v>0.128</v>
      </c>
      <c r="C9" s="62">
        <f>C7/C8</f>
        <v>0.125</v>
      </c>
    </row>
    <row r="10" spans="1:7" ht="15.75" thickTop="1" x14ac:dyDescent="0.25"/>
    <row r="11" spans="1:7" x14ac:dyDescent="0.25">
      <c r="A11" s="63" t="s">
        <v>83</v>
      </c>
      <c r="B11" s="63">
        <v>2020</v>
      </c>
      <c r="C11" s="63">
        <v>2021</v>
      </c>
    </row>
    <row r="12" spans="1:7" x14ac:dyDescent="0.25">
      <c r="A12" s="70" t="s">
        <v>84</v>
      </c>
      <c r="B12" s="71">
        <v>25500</v>
      </c>
      <c r="C12" s="69">
        <v>30000</v>
      </c>
    </row>
    <row r="13" spans="1:7" x14ac:dyDescent="0.25">
      <c r="A13" s="70" t="s">
        <v>85</v>
      </c>
      <c r="B13" s="72">
        <v>12100</v>
      </c>
      <c r="C13" s="69">
        <v>20000</v>
      </c>
    </row>
    <row r="14" spans="1:7" ht="15.75" thickBot="1" x14ac:dyDescent="0.3">
      <c r="A14" s="73" t="s">
        <v>86</v>
      </c>
      <c r="B14" s="74">
        <f>B12/B13</f>
        <v>2.1074380165289255</v>
      </c>
      <c r="C14" s="75">
        <f>C12/C13</f>
        <v>1.5</v>
      </c>
    </row>
    <row r="15" spans="1:7" ht="15.75" thickTop="1" x14ac:dyDescent="0.25"/>
    <row r="16" spans="1:7" x14ac:dyDescent="0.25">
      <c r="A16" s="63" t="s">
        <v>97</v>
      </c>
      <c r="B16" s="63">
        <v>2020</v>
      </c>
      <c r="C16" s="63">
        <v>2021</v>
      </c>
    </row>
    <row r="17" spans="1:3" x14ac:dyDescent="0.25">
      <c r="A17" s="21" t="s">
        <v>87</v>
      </c>
      <c r="B17" s="76"/>
      <c r="C17" s="3"/>
    </row>
    <row r="18" spans="1:3" x14ac:dyDescent="0.25">
      <c r="A18" s="21" t="s">
        <v>88</v>
      </c>
      <c r="B18" s="38">
        <v>85000</v>
      </c>
      <c r="C18" s="39">
        <v>105000</v>
      </c>
    </row>
    <row r="19" spans="1:3" x14ac:dyDescent="0.25">
      <c r="A19" s="21" t="s">
        <v>79</v>
      </c>
      <c r="B19" s="38">
        <v>250000</v>
      </c>
      <c r="C19" s="39">
        <v>280000</v>
      </c>
    </row>
    <row r="20" spans="1:3" ht="15.75" thickBot="1" x14ac:dyDescent="0.3">
      <c r="A20" s="79" t="s">
        <v>87</v>
      </c>
      <c r="B20" s="80">
        <f>B19/B18</f>
        <v>2.9411764705882355</v>
      </c>
      <c r="C20" s="81">
        <f>C19/C18</f>
        <v>2.6666666666666665</v>
      </c>
    </row>
    <row r="21" spans="1:3" ht="15.75" thickTop="1" x14ac:dyDescent="0.25">
      <c r="A21" s="21" t="s">
        <v>89</v>
      </c>
      <c r="B21" s="11"/>
      <c r="C21" s="3"/>
    </row>
    <row r="22" spans="1:3" x14ac:dyDescent="0.25">
      <c r="A22" s="21" t="s">
        <v>90</v>
      </c>
      <c r="B22" s="38">
        <f>85000+25500</f>
        <v>110500</v>
      </c>
      <c r="C22" s="39">
        <f>105000+30000</f>
        <v>135000</v>
      </c>
    </row>
    <row r="23" spans="1:3" x14ac:dyDescent="0.25">
      <c r="A23" s="21" t="s">
        <v>79</v>
      </c>
      <c r="B23" s="38">
        <v>250000</v>
      </c>
      <c r="C23" s="39">
        <v>280000</v>
      </c>
    </row>
    <row r="24" spans="1:3" ht="15.75" thickBot="1" x14ac:dyDescent="0.3">
      <c r="A24" s="77" t="s">
        <v>89</v>
      </c>
      <c r="B24" s="74">
        <f>B23/B22</f>
        <v>2.2624434389140271</v>
      </c>
      <c r="C24" s="78">
        <f>C23/C22</f>
        <v>2.074074074074074</v>
      </c>
    </row>
    <row r="25" spans="1:3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showGridLines="0" zoomScale="80" zoomScaleNormal="80" workbookViewId="0">
      <selection activeCell="A2" sqref="A2:M2"/>
    </sheetView>
  </sheetViews>
  <sheetFormatPr defaultRowHeight="15" x14ac:dyDescent="0.25"/>
  <cols>
    <col min="1" max="1" width="35.28515625" customWidth="1"/>
    <col min="2" max="13" width="12.5703125" customWidth="1"/>
  </cols>
  <sheetData>
    <row r="1" spans="1:13" ht="15.75" x14ac:dyDescent="0.25">
      <c r="A1" s="121" t="s">
        <v>76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</row>
    <row r="2" spans="1:13" ht="15.75" x14ac:dyDescent="0.25">
      <c r="A2" s="124" t="s">
        <v>41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</row>
    <row r="3" spans="1:13" ht="15.75" x14ac:dyDescent="0.25">
      <c r="A3" s="65" t="s">
        <v>0</v>
      </c>
      <c r="B3" s="65" t="s">
        <v>45</v>
      </c>
      <c r="C3" s="65" t="s">
        <v>46</v>
      </c>
      <c r="D3" s="65" t="s">
        <v>47</v>
      </c>
      <c r="E3" s="65" t="s">
        <v>48</v>
      </c>
      <c r="F3" s="65" t="s">
        <v>49</v>
      </c>
      <c r="G3" s="65" t="s">
        <v>50</v>
      </c>
      <c r="H3" s="65" t="s">
        <v>51</v>
      </c>
      <c r="I3" s="65" t="s">
        <v>52</v>
      </c>
      <c r="J3" s="65" t="s">
        <v>53</v>
      </c>
      <c r="K3" s="65" t="s">
        <v>54</v>
      </c>
      <c r="L3" s="65" t="s">
        <v>55</v>
      </c>
      <c r="M3" s="65" t="s">
        <v>56</v>
      </c>
    </row>
    <row r="4" spans="1:13" ht="15.75" x14ac:dyDescent="0.25">
      <c r="A4" s="85" t="s">
        <v>69</v>
      </c>
      <c r="B4" s="92"/>
      <c r="C4" s="92">
        <v>57500</v>
      </c>
      <c r="D4" s="92">
        <v>58625</v>
      </c>
      <c r="E4" s="92">
        <v>65526</v>
      </c>
      <c r="F4" s="88">
        <v>78111</v>
      </c>
      <c r="G4" s="92">
        <v>101192</v>
      </c>
      <c r="H4" s="92">
        <v>129029</v>
      </c>
      <c r="I4" s="92">
        <v>166503</v>
      </c>
      <c r="J4" s="92">
        <v>215320</v>
      </c>
      <c r="K4" s="92">
        <v>277575</v>
      </c>
      <c r="L4" s="92">
        <v>355821</v>
      </c>
      <c r="M4" s="89">
        <v>453155</v>
      </c>
    </row>
    <row r="5" spans="1:13" ht="15.75" x14ac:dyDescent="0.25">
      <c r="A5" s="86" t="s">
        <v>70</v>
      </c>
      <c r="B5" s="93"/>
      <c r="C5" s="93"/>
      <c r="D5" s="93"/>
      <c r="E5" s="93"/>
      <c r="F5" s="90"/>
      <c r="G5" s="93"/>
      <c r="H5" s="93"/>
      <c r="I5" s="93"/>
      <c r="J5" s="93"/>
      <c r="K5" s="93"/>
      <c r="L5" s="93"/>
      <c r="M5" s="83"/>
    </row>
    <row r="6" spans="1:13" ht="15.75" x14ac:dyDescent="0.25">
      <c r="A6" s="97" t="s">
        <v>61</v>
      </c>
      <c r="B6" s="93">
        <f>20000*80%</f>
        <v>16000</v>
      </c>
      <c r="C6" s="93">
        <f>((20000*20%)+20000)*80%</f>
        <v>19200</v>
      </c>
      <c r="D6" s="93">
        <f>((24000*20%)+24000)*80%</f>
        <v>23040</v>
      </c>
      <c r="E6" s="93">
        <f>((28000*20%)+28000)*80%</f>
        <v>26880</v>
      </c>
      <c r="F6" s="90">
        <f>((33600*20%)+33600)*80%</f>
        <v>32256</v>
      </c>
      <c r="G6" s="93">
        <f>((40320*20%)+40320)*80%</f>
        <v>38707.200000000004</v>
      </c>
      <c r="H6" s="93">
        <f>((48384*20%)+48384)*80%</f>
        <v>46448.640000000007</v>
      </c>
      <c r="I6" s="93">
        <f>((58060*20%)+58060)*80%</f>
        <v>55737.600000000006</v>
      </c>
      <c r="J6" s="93">
        <f>((69672*20%)+69672)*80%</f>
        <v>66885.119999999995</v>
      </c>
      <c r="K6" s="93">
        <f>((83606*20%)+83606)*80%</f>
        <v>80261.760000000009</v>
      </c>
      <c r="L6" s="93">
        <f>((100327*20%)+100327)*80%</f>
        <v>96313.919999999998</v>
      </c>
      <c r="M6" s="83">
        <f>((120392*20%)+120392)*80%</f>
        <v>115576.32000000001</v>
      </c>
    </row>
    <row r="7" spans="1:13" ht="15.75" x14ac:dyDescent="0.25">
      <c r="A7" s="97" t="s">
        <v>58</v>
      </c>
      <c r="B7" s="93"/>
      <c r="C7" s="93">
        <v>4000</v>
      </c>
      <c r="D7" s="93">
        <f>((20000*20%)+20000)*20%</f>
        <v>4800</v>
      </c>
      <c r="E7" s="93">
        <f>((24000*20%)+24000)*20%</f>
        <v>5760</v>
      </c>
      <c r="F7" s="90">
        <f>((28000*20%)+28000)*20%</f>
        <v>6720</v>
      </c>
      <c r="G7" s="93">
        <f>((33600*20%)+33600)*20%</f>
        <v>8064</v>
      </c>
      <c r="H7" s="93">
        <f>((40320*20%)+40320)*20%</f>
        <v>9676.8000000000011</v>
      </c>
      <c r="I7" s="93">
        <f>((48384*20%)+48384)*20%</f>
        <v>11612.160000000002</v>
      </c>
      <c r="J7" s="93">
        <f>((58060*20%)+58060)*20%</f>
        <v>13934.400000000001</v>
      </c>
      <c r="K7" s="93">
        <f>((69672*20%)+69672)*20%</f>
        <v>16721.28</v>
      </c>
      <c r="L7" s="93">
        <f>((83606*20%)+83606)*20%</f>
        <v>20065.440000000002</v>
      </c>
      <c r="M7" s="83">
        <f>((100327*20%)+100327)*20%</f>
        <v>24078.48</v>
      </c>
    </row>
    <row r="8" spans="1:13" ht="16.5" thickBot="1" x14ac:dyDescent="0.3">
      <c r="A8" s="98" t="s">
        <v>71</v>
      </c>
      <c r="B8" s="99">
        <f>SUM(B4:B7)</f>
        <v>16000</v>
      </c>
      <c r="C8" s="99">
        <f t="shared" ref="C8:M8" si="0">SUM(C4:C7)</f>
        <v>80700</v>
      </c>
      <c r="D8" s="99">
        <f t="shared" si="0"/>
        <v>86465</v>
      </c>
      <c r="E8" s="99">
        <f t="shared" si="0"/>
        <v>98166</v>
      </c>
      <c r="F8" s="100">
        <f t="shared" si="0"/>
        <v>117087</v>
      </c>
      <c r="G8" s="99">
        <f t="shared" si="0"/>
        <v>147963.20000000001</v>
      </c>
      <c r="H8" s="99">
        <f t="shared" si="0"/>
        <v>185154.44</v>
      </c>
      <c r="I8" s="99">
        <f t="shared" si="0"/>
        <v>233852.76</v>
      </c>
      <c r="J8" s="99">
        <f t="shared" si="0"/>
        <v>296139.52000000002</v>
      </c>
      <c r="K8" s="99">
        <f t="shared" si="0"/>
        <v>374558.04000000004</v>
      </c>
      <c r="L8" s="99">
        <f t="shared" si="0"/>
        <v>472200.36</v>
      </c>
      <c r="M8" s="101">
        <f t="shared" si="0"/>
        <v>592809.80000000005</v>
      </c>
    </row>
    <row r="9" spans="1:13" ht="16.5" thickTop="1" x14ac:dyDescent="0.25">
      <c r="A9" s="86" t="s">
        <v>59</v>
      </c>
      <c r="B9" s="93"/>
      <c r="C9" s="93"/>
      <c r="D9" s="93"/>
      <c r="E9" s="93"/>
      <c r="F9" s="90"/>
      <c r="G9" s="93"/>
      <c r="H9" s="93"/>
      <c r="I9" s="93"/>
      <c r="J9" s="93"/>
      <c r="K9" s="93"/>
      <c r="L9" s="93"/>
      <c r="M9" s="83"/>
    </row>
    <row r="10" spans="1:13" ht="15.75" x14ac:dyDescent="0.25">
      <c r="A10" s="97" t="s">
        <v>60</v>
      </c>
      <c r="B10" s="93">
        <v>3000</v>
      </c>
      <c r="C10" s="93">
        <f>B10+(B10*10%)</f>
        <v>3300</v>
      </c>
      <c r="D10" s="93">
        <f t="shared" ref="D10:M10" si="1">C10+(C10*10%)</f>
        <v>3630</v>
      </c>
      <c r="E10" s="93">
        <f t="shared" si="1"/>
        <v>3993</v>
      </c>
      <c r="F10" s="90">
        <f>E10+(E10*10%)</f>
        <v>4392.3</v>
      </c>
      <c r="G10" s="93">
        <f t="shared" si="1"/>
        <v>4831.5300000000007</v>
      </c>
      <c r="H10" s="93">
        <f t="shared" si="1"/>
        <v>5314.6830000000009</v>
      </c>
      <c r="I10" s="93">
        <f t="shared" si="1"/>
        <v>5846.1513000000014</v>
      </c>
      <c r="J10" s="93">
        <f t="shared" si="1"/>
        <v>6430.7664300000015</v>
      </c>
      <c r="K10" s="93">
        <f t="shared" si="1"/>
        <v>7073.8430730000018</v>
      </c>
      <c r="L10" s="93">
        <f t="shared" si="1"/>
        <v>7781.2273803000026</v>
      </c>
      <c r="M10" s="83">
        <f t="shared" si="1"/>
        <v>8559.3501183300032</v>
      </c>
    </row>
    <row r="11" spans="1:13" ht="15.75" x14ac:dyDescent="0.25">
      <c r="A11" s="97" t="s">
        <v>62</v>
      </c>
      <c r="B11" s="93">
        <v>11500</v>
      </c>
      <c r="C11" s="93">
        <f>B11-(B11*15%)</f>
        <v>9775</v>
      </c>
      <c r="D11" s="93">
        <f t="shared" ref="D11:M11" si="2">C11-(C11*15%)</f>
        <v>8308.75</v>
      </c>
      <c r="E11" s="93">
        <f t="shared" si="2"/>
        <v>7062.4375</v>
      </c>
      <c r="F11" s="90">
        <f t="shared" si="2"/>
        <v>6003.0718749999996</v>
      </c>
      <c r="G11" s="93">
        <f t="shared" si="2"/>
        <v>5102.6110937499998</v>
      </c>
      <c r="H11" s="93">
        <f t="shared" si="2"/>
        <v>4337.2194296874995</v>
      </c>
      <c r="I11" s="93">
        <f t="shared" si="2"/>
        <v>3686.6365152343747</v>
      </c>
      <c r="J11" s="93">
        <f t="shared" si="2"/>
        <v>3133.6410379492186</v>
      </c>
      <c r="K11" s="93">
        <f t="shared" si="2"/>
        <v>2663.5948822568357</v>
      </c>
      <c r="L11" s="93">
        <f t="shared" si="2"/>
        <v>2264.0556499183103</v>
      </c>
      <c r="M11" s="83">
        <f t="shared" si="2"/>
        <v>1924.4473024305639</v>
      </c>
    </row>
    <row r="12" spans="1:13" ht="15.75" x14ac:dyDescent="0.25">
      <c r="A12" s="97" t="s">
        <v>63</v>
      </c>
      <c r="B12" s="93">
        <v>3500</v>
      </c>
      <c r="C12" s="93">
        <v>3500</v>
      </c>
      <c r="D12" s="93">
        <v>3500</v>
      </c>
      <c r="E12" s="93">
        <v>3500</v>
      </c>
      <c r="F12" s="90"/>
      <c r="G12" s="93">
        <v>3500</v>
      </c>
      <c r="H12" s="93">
        <v>3500</v>
      </c>
      <c r="I12" s="93">
        <v>3500</v>
      </c>
      <c r="J12" s="93">
        <v>3500</v>
      </c>
      <c r="K12" s="93">
        <v>3500</v>
      </c>
      <c r="L12" s="93">
        <v>3500</v>
      </c>
      <c r="M12" s="83">
        <v>3500</v>
      </c>
    </row>
    <row r="13" spans="1:13" ht="15.75" x14ac:dyDescent="0.25">
      <c r="A13" s="97" t="s">
        <v>64</v>
      </c>
      <c r="B13" s="93">
        <v>2500</v>
      </c>
      <c r="C13" s="93">
        <v>2500</v>
      </c>
      <c r="D13" s="93">
        <v>2500</v>
      </c>
      <c r="E13" s="93">
        <v>2500</v>
      </c>
      <c r="F13" s="90">
        <v>2500</v>
      </c>
      <c r="G13" s="93">
        <v>2500</v>
      </c>
      <c r="H13" s="93">
        <v>2500</v>
      </c>
      <c r="I13" s="93">
        <v>2500</v>
      </c>
      <c r="J13" s="93">
        <v>2500</v>
      </c>
      <c r="K13" s="93">
        <v>2500</v>
      </c>
      <c r="L13" s="93">
        <v>2500</v>
      </c>
      <c r="M13" s="83">
        <v>2500</v>
      </c>
    </row>
    <row r="14" spans="1:13" ht="15.75" x14ac:dyDescent="0.25">
      <c r="A14" s="97" t="s">
        <v>65</v>
      </c>
      <c r="B14" s="93">
        <v>85000</v>
      </c>
      <c r="C14" s="93"/>
      <c r="D14" s="93"/>
      <c r="E14" s="93"/>
      <c r="F14" s="90"/>
      <c r="G14" s="93"/>
      <c r="H14" s="93"/>
      <c r="I14" s="93"/>
      <c r="J14" s="93"/>
      <c r="K14" s="93"/>
      <c r="L14" s="93"/>
      <c r="M14" s="83"/>
    </row>
    <row r="15" spans="1:13" ht="15.75" x14ac:dyDescent="0.25">
      <c r="A15" s="97" t="s">
        <v>66</v>
      </c>
      <c r="B15" s="93">
        <v>1000</v>
      </c>
      <c r="C15" s="93">
        <v>1000</v>
      </c>
      <c r="D15" s="93">
        <v>1000</v>
      </c>
      <c r="E15" s="93">
        <v>1000</v>
      </c>
      <c r="F15" s="90">
        <v>1000</v>
      </c>
      <c r="G15" s="93">
        <v>1000</v>
      </c>
      <c r="H15" s="93">
        <v>1000</v>
      </c>
      <c r="I15" s="93">
        <v>1000</v>
      </c>
      <c r="J15" s="93">
        <v>1000</v>
      </c>
      <c r="K15" s="93">
        <v>1000</v>
      </c>
      <c r="L15" s="93">
        <v>1000</v>
      </c>
      <c r="M15" s="83">
        <v>1000</v>
      </c>
    </row>
    <row r="16" spans="1:13" ht="15.75" x14ac:dyDescent="0.25">
      <c r="A16" s="97" t="s">
        <v>67</v>
      </c>
      <c r="B16" s="93">
        <v>2000</v>
      </c>
      <c r="C16" s="93">
        <v>2000</v>
      </c>
      <c r="D16" s="93">
        <v>2000</v>
      </c>
      <c r="E16" s="93">
        <v>2000</v>
      </c>
      <c r="F16" s="90">
        <v>2000</v>
      </c>
      <c r="G16" s="93">
        <v>2000</v>
      </c>
      <c r="H16" s="93">
        <v>2000</v>
      </c>
      <c r="I16" s="93">
        <v>2000</v>
      </c>
      <c r="J16" s="93">
        <v>2000</v>
      </c>
      <c r="K16" s="93">
        <v>2000</v>
      </c>
      <c r="L16" s="93">
        <v>2000</v>
      </c>
      <c r="M16" s="83">
        <v>2000</v>
      </c>
    </row>
    <row r="17" spans="1:13" ht="16.5" thickBot="1" x14ac:dyDescent="0.3">
      <c r="A17" s="98" t="s">
        <v>68</v>
      </c>
      <c r="B17" s="99">
        <f>SUM(B10:B16)</f>
        <v>108500</v>
      </c>
      <c r="C17" s="99">
        <f t="shared" ref="C17:M17" si="3">SUM(C10:C16)</f>
        <v>22075</v>
      </c>
      <c r="D17" s="99">
        <f t="shared" si="3"/>
        <v>20938.75</v>
      </c>
      <c r="E17" s="99">
        <f t="shared" si="3"/>
        <v>20055.4375</v>
      </c>
      <c r="F17" s="100">
        <f t="shared" si="3"/>
        <v>15895.371875000001</v>
      </c>
      <c r="G17" s="99">
        <f t="shared" si="3"/>
        <v>18934.14109375</v>
      </c>
      <c r="H17" s="99">
        <f t="shared" si="3"/>
        <v>18651.9024296875</v>
      </c>
      <c r="I17" s="99">
        <f t="shared" si="3"/>
        <v>18532.787815234376</v>
      </c>
      <c r="J17" s="99">
        <f t="shared" si="3"/>
        <v>18564.407467949219</v>
      </c>
      <c r="K17" s="99">
        <f t="shared" si="3"/>
        <v>18737.437955256835</v>
      </c>
      <c r="L17" s="99">
        <f t="shared" si="3"/>
        <v>19045.283030218314</v>
      </c>
      <c r="M17" s="101">
        <f t="shared" si="3"/>
        <v>19483.797420760566</v>
      </c>
    </row>
    <row r="18" spans="1:13" ht="32.25" thickTop="1" x14ac:dyDescent="0.25">
      <c r="A18" s="87" t="s">
        <v>73</v>
      </c>
      <c r="B18" s="94">
        <f>(B8-B17)</f>
        <v>-92500</v>
      </c>
      <c r="C18" s="94">
        <f t="shared" ref="C18:M18" si="4">C8-C17</f>
        <v>58625</v>
      </c>
      <c r="D18" s="94">
        <f t="shared" si="4"/>
        <v>65526.25</v>
      </c>
      <c r="E18" s="94">
        <f t="shared" si="4"/>
        <v>78110.5625</v>
      </c>
      <c r="F18" s="91">
        <f t="shared" si="4"/>
        <v>101191.628125</v>
      </c>
      <c r="G18" s="94">
        <f t="shared" si="4"/>
        <v>129029.05890625001</v>
      </c>
      <c r="H18" s="94">
        <f t="shared" si="4"/>
        <v>166502.5375703125</v>
      </c>
      <c r="I18" s="94">
        <f t="shared" si="4"/>
        <v>215319.97218476562</v>
      </c>
      <c r="J18" s="94">
        <f t="shared" si="4"/>
        <v>277575.11253205081</v>
      </c>
      <c r="K18" s="94">
        <f t="shared" si="4"/>
        <v>355820.60204474319</v>
      </c>
      <c r="L18" s="94">
        <f t="shared" si="4"/>
        <v>453155.07696978166</v>
      </c>
      <c r="M18" s="84">
        <f t="shared" si="4"/>
        <v>573326.00257923943</v>
      </c>
    </row>
    <row r="19" spans="1:13" ht="15.75" x14ac:dyDescent="0.25">
      <c r="A19" s="86" t="s">
        <v>72</v>
      </c>
      <c r="B19" s="93"/>
      <c r="C19" s="93"/>
      <c r="D19" s="93"/>
      <c r="E19" s="93"/>
      <c r="F19" s="90"/>
      <c r="G19" s="93"/>
      <c r="H19" s="93"/>
      <c r="I19" s="93"/>
      <c r="J19" s="93"/>
      <c r="K19" s="93"/>
      <c r="L19" s="93"/>
      <c r="M19" s="83"/>
    </row>
    <row r="20" spans="1:13" ht="15.75" x14ac:dyDescent="0.25">
      <c r="A20" s="97" t="s">
        <v>37</v>
      </c>
      <c r="B20" s="93">
        <v>100000</v>
      </c>
      <c r="C20" s="93"/>
      <c r="D20" s="93"/>
      <c r="E20" s="93"/>
      <c r="F20" s="90"/>
      <c r="G20" s="93"/>
      <c r="H20" s="93"/>
      <c r="I20" s="93"/>
      <c r="J20" s="93"/>
      <c r="K20" s="93"/>
      <c r="L20" s="93"/>
      <c r="M20" s="83"/>
    </row>
    <row r="21" spans="1:13" ht="15.75" x14ac:dyDescent="0.25">
      <c r="A21" s="97" t="s">
        <v>57</v>
      </c>
      <c r="B21" s="93">
        <v>50000</v>
      </c>
      <c r="C21" s="93"/>
      <c r="D21" s="93"/>
      <c r="E21" s="93"/>
      <c r="F21" s="90"/>
      <c r="G21" s="93"/>
      <c r="H21" s="93"/>
      <c r="I21" s="93"/>
      <c r="J21" s="93"/>
      <c r="K21" s="93"/>
      <c r="L21" s="93"/>
      <c r="M21" s="83"/>
    </row>
    <row r="22" spans="1:13" ht="15.75" x14ac:dyDescent="0.25">
      <c r="A22" s="96" t="s">
        <v>74</v>
      </c>
      <c r="B22" s="95">
        <f>SUM(B20:B21)</f>
        <v>150000</v>
      </c>
      <c r="C22" s="92"/>
      <c r="D22" s="92"/>
      <c r="E22" s="92"/>
      <c r="F22" s="88"/>
      <c r="G22" s="92"/>
      <c r="H22" s="92"/>
      <c r="I22" s="92"/>
      <c r="J22" s="92"/>
      <c r="K22" s="92"/>
      <c r="L22" s="92"/>
      <c r="M22" s="89"/>
    </row>
    <row r="23" spans="1:13" ht="16.5" thickBot="1" x14ac:dyDescent="0.3">
      <c r="A23" s="102" t="s">
        <v>75</v>
      </c>
      <c r="B23" s="99">
        <f>B18+B22</f>
        <v>57500</v>
      </c>
      <c r="C23" s="99">
        <v>58625</v>
      </c>
      <c r="D23" s="99">
        <v>65526</v>
      </c>
      <c r="E23" s="99">
        <v>78111</v>
      </c>
      <c r="F23" s="100">
        <v>101192</v>
      </c>
      <c r="G23" s="99">
        <v>129029</v>
      </c>
      <c r="H23" s="99">
        <v>166503</v>
      </c>
      <c r="I23" s="99">
        <v>215320</v>
      </c>
      <c r="J23" s="99">
        <v>277575</v>
      </c>
      <c r="K23" s="99">
        <v>355821</v>
      </c>
      <c r="L23" s="99">
        <v>453155</v>
      </c>
      <c r="M23" s="101">
        <v>573326</v>
      </c>
    </row>
    <row r="24" spans="1:13" ht="15.75" thickTop="1" x14ac:dyDescent="0.25"/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Statements</vt:lpstr>
      <vt:lpstr>Ratio Analysis</vt:lpstr>
      <vt:lpstr>Cash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2023-03-24T10:31:03Z</dcterms:modified>
</cp:coreProperties>
</file>